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likova\Documents\výsledky hospodaření\2024-vysl-hospodareni\"/>
    </mc:Choice>
  </mc:AlternateContent>
  <bookViews>
    <workbookView xWindow="0" yWindow="0" windowWidth="28800" windowHeight="12135" tabRatio="500" firstSheet="1" activeTab="2"/>
  </bookViews>
  <sheets>
    <sheet name="priloha_1" sheetId="1" state="hidden" r:id="rId1"/>
    <sheet name="2024_priloha_3" sheetId="7" r:id="rId2"/>
    <sheet name="1.pol.24" sheetId="2" r:id="rId3"/>
    <sheet name="1.pol.24koncept" sheetId="10" r:id="rId4"/>
    <sheet name="dle040-I." sheetId="9" r:id="rId5"/>
  </sheets>
  <externalReferences>
    <externalReference r:id="rId6"/>
    <externalReference r:id="rId7"/>
  </externalReferences>
  <definedNames>
    <definedName name="__xlfn_ANCHORARRAY">NA()</definedName>
    <definedName name="_xlnm._FilterDatabase" localSheetId="1" hidden="1">'2024_priloha_3'!$A$5:$O$5</definedName>
    <definedName name="Excel_BuiltIn__FilterDatabase" localSheetId="2">'1.pol.24'!#REF!</definedName>
    <definedName name="Excel_BuiltIn__FilterDatabase" localSheetId="3">'1.pol.24koncept'!#REF!</definedName>
    <definedName name="Excel_BuiltIn_Print_Area" localSheetId="2">'1.pol.24'!$A$1:$D$882</definedName>
    <definedName name="Excel_BuiltIn_Print_Area" localSheetId="3">'1.pol.24koncept'!$A$1:$D$1025</definedName>
    <definedName name="Excel_BuiltIn_Print_Area" localSheetId="0">priloha_1!$A$1:$G$50</definedName>
    <definedName name="Excel_BuiltIn_Print_Titles" localSheetId="2">'1.pol.24'!$1:$1</definedName>
    <definedName name="Excel_BuiltIn_Print_Titles" localSheetId="3">'1.pol.24koncept'!$1:$1</definedName>
    <definedName name="Excel_BuiltIn_Print_Titles" localSheetId="0">priloha_1!$2:$2</definedName>
    <definedName name="kurz">[1]rozhodnutí!$N$31</definedName>
    <definedName name="_xlnm.Print_Titles" localSheetId="2">'1.pol.24'!$1:$1</definedName>
    <definedName name="_xlnm.Print_Titles" localSheetId="3">'1.pol.24koncept'!$1:$1</definedName>
    <definedName name="_xlnm.Print_Titles" localSheetId="0">priloha_1!$2:$2</definedName>
    <definedName name="_xlnm.Print_Area" localSheetId="2">'1.pol.24'!$A$1:$I$882</definedName>
    <definedName name="_xlnm.Print_Area" localSheetId="3">'1.pol.24koncept'!$A$1:$I$1025</definedName>
    <definedName name="_xlnm.Print_Area" localSheetId="4">'dle040-I.'!$A$1:$K$69</definedName>
    <definedName name="_xlnm.Print_Area" localSheetId="0">priloha_1!$A$1:$G$50</definedName>
    <definedName name="Print_Titles" localSheetId="1">'2024_priloha_3'!$3:$5</definedName>
    <definedName name="Z_038CF6B2_7B3F_4A01_A462_2733E395149B_.wvu.Cols" localSheetId="1" hidden="1">'2024_priloha_3'!$B:$B</definedName>
    <definedName name="Z_038CF6B2_7B3F_4A01_A462_2733E395149B_.wvu.PrintArea" localSheetId="1" hidden="1">'2024_priloha_3'!$A$2:$J$31</definedName>
    <definedName name="Z_038CF6B2_7B3F_4A01_A462_2733E395149B_.wvu.PrintTitles" localSheetId="1" hidden="1">'2024_priloha_3'!$3:$5</definedName>
    <definedName name="Z_06955F1B_5DDC_4ACB_AC47_06215168C130_.wvu.Cols" localSheetId="1" hidden="1">'2024_priloha_3'!$B:$B</definedName>
    <definedName name="Z_06955F1B_5DDC_4ACB_AC47_06215168C130_.wvu.PrintArea" localSheetId="1" hidden="1">'2024_priloha_3'!$A$2:$J$31</definedName>
    <definedName name="Z_06955F1B_5DDC_4ACB_AC47_06215168C130_.wvu.PrintTitles" localSheetId="1" hidden="1">'2024_priloha_3'!$3:$5</definedName>
    <definedName name="Z_61B615FA_A35B_4CBE_9433_E2564F62A4F7_.wvu.Cols" localSheetId="1" hidden="1">'2024_priloha_3'!$B:$B</definedName>
    <definedName name="Z_61B615FA_A35B_4CBE_9433_E2564F62A4F7_.wvu.PrintArea" localSheetId="1" hidden="1">'2024_priloha_3'!$A$2:$J$31</definedName>
    <definedName name="Z_61B615FA_A35B_4CBE_9433_E2564F62A4F7_.wvu.PrintTitles" localSheetId="1" hidden="1">'2024_priloha_3'!$3:$5</definedName>
    <definedName name="Z_8135008D_FA09_47D0_A3D6_431443FF0074_.wvu.Cols" localSheetId="1" hidden="1">'2024_priloha_3'!$B:$B</definedName>
    <definedName name="Z_8135008D_FA09_47D0_A3D6_431443FF0074_.wvu.PrintArea" localSheetId="1" hidden="1">'2024_priloha_3'!$A$2:$J$31</definedName>
    <definedName name="Z_8135008D_FA09_47D0_A3D6_431443FF0074_.wvu.PrintTitles" localSheetId="1" hidden="1">'2024_priloha_3'!$3:$5</definedName>
    <definedName name="Z_816DCA7E_FC41_44AE_85AF_FE12F0BC4BE0_.wvu.Cols" localSheetId="1" hidden="1">'[2]Akce reprodukce majetku kraje'!$B:$B,'[2]Akce reprodukce majetku kraje'!#REF!</definedName>
    <definedName name="Z_816DCA7E_FC41_44AE_85AF_FE12F0BC4BE0_.wvu.PrintArea" localSheetId="1" hidden="1">'2024_priloha_3'!$A$2:$J$31</definedName>
    <definedName name="Z_816DCA7E_FC41_44AE_85AF_FE12F0BC4BE0_.wvu.PrintTitles" localSheetId="1" hidden="1">'2024_priloha_3'!$3:$5</definedName>
    <definedName name="Z_A45EA3DE_5B96_4607_A0C5_478ED8E5C5A2_.wvu.Cols" localSheetId="1" hidden="1">'[2]Akce reprodukce majetku kraje'!$B:$B,'[2]Akce reprodukce majetku kraje'!#REF!</definedName>
    <definedName name="Z_A45EA3DE_5B96_4607_A0C5_478ED8E5C5A2_.wvu.PrintArea" localSheetId="1" hidden="1">'2024_priloha_3'!$A$2:$J$31</definedName>
    <definedName name="Z_A45EA3DE_5B96_4607_A0C5_478ED8E5C5A2_.wvu.PrintTitles" localSheetId="1" hidden="1">'2024_priloha_3'!$3:$5</definedName>
    <definedName name="Z_A75D8D73_D84E_45ED_81CC_3AB447ABD77C_.wvu.Cols" localSheetId="1" hidden="1">'[2]Akce reprodukce majetku kraje'!#REF!</definedName>
    <definedName name="Z_A75D8D73_D84E_45ED_81CC_3AB447ABD77C_.wvu.PrintArea" localSheetId="1" hidden="1">'2024_priloha_3'!$A$2:$J$31</definedName>
    <definedName name="Z_A75D8D73_D84E_45ED_81CC_3AB447ABD77C_.wvu.PrintTitles" localSheetId="1" hidden="1">'2024_priloha_3'!$3:$5</definedName>
    <definedName name="Z_AF65B0D2_A89B_4D75_B4AE_5BFEE1615BA9_.wvu.Cols" localSheetId="1" hidden="1">'2024_priloha_3'!$B:$B</definedName>
    <definedName name="Z_AF65B0D2_A89B_4D75_B4AE_5BFEE1615BA9_.wvu.PrintArea" localSheetId="1" hidden="1">'2024_priloha_3'!$A$2:$J$31</definedName>
    <definedName name="Z_AF65B0D2_A89B_4D75_B4AE_5BFEE1615BA9_.wvu.PrintTitles" localSheetId="1" hidden="1">'2024_priloha_3'!$3:$5</definedName>
    <definedName name="Z_C49FCFC9_CF51_484E_9F6E_E5FACC7A48A4_.wvu.Cols" localSheetId="1" hidden="1">'[2]Akce reprodukce majetku kraje'!$B:$B,'[2]Akce reprodukce majetku kraje'!#REF!</definedName>
    <definedName name="Z_C49FCFC9_CF51_484E_9F6E_E5FACC7A48A4_.wvu.PrintArea" localSheetId="1" hidden="1">'2024_priloha_3'!$A$2:$J$31</definedName>
    <definedName name="Z_C49FCFC9_CF51_484E_9F6E_E5FACC7A48A4_.wvu.PrintTitles" localSheetId="1" hidden="1">'2024_priloha_3'!$3:$5</definedName>
    <definedName name="Z_EBE613F2_32CB_4E3D_B0BB_2E9DFB67D43D_.wvu.Cols" localSheetId="1" hidden="1">'2024_priloha_3'!$B:$B</definedName>
    <definedName name="Z_EBE613F2_32CB_4E3D_B0BB_2E9DFB67D43D_.wvu.PrintArea" localSheetId="1" hidden="1">'2024_priloha_3'!$A$2:$J$31</definedName>
    <definedName name="Z_EBE613F2_32CB_4E3D_B0BB_2E9DFB67D43D_.wvu.PrintTitles" localSheetId="1" hidden="1">'2024_priloha_3'!$3:$5</definedName>
  </definedNames>
  <calcPr calcId="152511"/>
</workbook>
</file>

<file path=xl/calcChain.xml><?xml version="1.0" encoding="utf-8"?>
<calcChain xmlns="http://schemas.openxmlformats.org/spreadsheetml/2006/main">
  <c r="I119" i="2" l="1"/>
  <c r="I12" i="2"/>
  <c r="I11" i="2"/>
  <c r="I882" i="2"/>
  <c r="I865" i="2"/>
  <c r="I877" i="2"/>
  <c r="I873" i="2"/>
  <c r="I872" i="2"/>
  <c r="I871" i="2"/>
  <c r="I870" i="2"/>
  <c r="I869" i="2"/>
  <c r="I868" i="2"/>
  <c r="I867" i="2"/>
  <c r="I866" i="2"/>
  <c r="I864" i="2"/>
  <c r="I860" i="2"/>
  <c r="I859" i="2"/>
  <c r="I862" i="2"/>
  <c r="I854" i="2"/>
  <c r="I785" i="2"/>
  <c r="I786" i="2"/>
  <c r="I787" i="2"/>
  <c r="I788" i="2"/>
  <c r="I789" i="2"/>
  <c r="I790" i="2"/>
  <c r="I791" i="2"/>
  <c r="I792" i="2"/>
  <c r="I794" i="2"/>
  <c r="I801" i="2"/>
  <c r="I802" i="2"/>
  <c r="I803" i="2"/>
  <c r="I804" i="2"/>
  <c r="I805" i="2"/>
  <c r="I806" i="2"/>
  <c r="I807" i="2"/>
  <c r="I808" i="2"/>
  <c r="I810" i="2"/>
  <c r="I811" i="2"/>
  <c r="I813" i="2"/>
  <c r="I814" i="2"/>
  <c r="I815" i="2"/>
  <c r="I817" i="2"/>
  <c r="I819" i="2"/>
  <c r="I820" i="2"/>
  <c r="I821" i="2"/>
  <c r="I822" i="2"/>
  <c r="I823" i="2"/>
  <c r="I824" i="2"/>
  <c r="I829" i="2"/>
  <c r="I831" i="2"/>
  <c r="I836" i="2"/>
  <c r="I837" i="2"/>
  <c r="I841" i="2"/>
  <c r="I843" i="2"/>
  <c r="I844" i="2"/>
  <c r="I845" i="2"/>
  <c r="I847" i="2"/>
  <c r="I848" i="2"/>
  <c r="I849" i="2"/>
  <c r="I784" i="2"/>
  <c r="I781" i="2"/>
  <c r="I775" i="2"/>
  <c r="I780" i="2"/>
  <c r="I774" i="2"/>
  <c r="I772" i="2"/>
  <c r="I770" i="2"/>
  <c r="I754" i="2"/>
  <c r="I755" i="2"/>
  <c r="I756" i="2"/>
  <c r="I757" i="2"/>
  <c r="I758" i="2"/>
  <c r="I759" i="2"/>
  <c r="I761" i="2"/>
  <c r="I765" i="2"/>
  <c r="I766" i="2"/>
  <c r="I767" i="2"/>
  <c r="I768" i="2"/>
  <c r="I769" i="2"/>
  <c r="I749" i="2"/>
  <c r="I748" i="2"/>
  <c r="I747" i="2"/>
  <c r="I746" i="2"/>
  <c r="I745" i="2"/>
  <c r="I731" i="2"/>
  <c r="I732" i="2"/>
  <c r="I736" i="2"/>
  <c r="I738" i="2"/>
  <c r="I739" i="2"/>
  <c r="I740" i="2"/>
  <c r="I741" i="2"/>
  <c r="I730" i="2"/>
  <c r="I729" i="2"/>
  <c r="I728" i="2"/>
  <c r="I727" i="2"/>
  <c r="I725" i="2"/>
  <c r="I724" i="2"/>
  <c r="I723" i="2"/>
  <c r="I722" i="2"/>
  <c r="I721" i="2"/>
  <c r="I717" i="2"/>
  <c r="I718" i="2"/>
  <c r="I716" i="2"/>
  <c r="I715" i="2"/>
  <c r="I702" i="2"/>
  <c r="I703" i="2"/>
  <c r="I704" i="2"/>
  <c r="I705" i="2"/>
  <c r="I706" i="2"/>
  <c r="I708" i="2"/>
  <c r="I710" i="2"/>
  <c r="I711" i="2"/>
  <c r="I712" i="2"/>
  <c r="I701" i="2"/>
  <c r="I700" i="2"/>
  <c r="I686" i="2"/>
  <c r="I687" i="2"/>
  <c r="I688" i="2"/>
  <c r="I690" i="2"/>
  <c r="I691" i="2"/>
  <c r="I692" i="2"/>
  <c r="I693" i="2"/>
  <c r="I694" i="2"/>
  <c r="I695" i="2"/>
  <c r="I697" i="2"/>
  <c r="I714" i="2"/>
  <c r="I699" i="2"/>
  <c r="I684" i="2"/>
  <c r="I683" i="2"/>
  <c r="I676" i="2"/>
  <c r="I677" i="2"/>
  <c r="I678" i="2"/>
  <c r="I679" i="2"/>
  <c r="I680" i="2"/>
  <c r="I681" i="2"/>
  <c r="I675" i="2"/>
  <c r="I674" i="2"/>
  <c r="I667" i="2"/>
  <c r="I668" i="2"/>
  <c r="I669" i="2"/>
  <c r="I670" i="2"/>
  <c r="I671" i="2"/>
  <c r="I672" i="2"/>
  <c r="I659" i="2"/>
  <c r="I660" i="2"/>
  <c r="I662" i="2"/>
  <c r="I663" i="2"/>
  <c r="I664" i="2"/>
  <c r="I665" i="2"/>
  <c r="I658" i="2"/>
  <c r="I655" i="2"/>
  <c r="I654" i="2"/>
  <c r="I643" i="2"/>
  <c r="I644" i="2"/>
  <c r="I645" i="2"/>
  <c r="I646" i="2"/>
  <c r="I647" i="2"/>
  <c r="I648" i="2"/>
  <c r="I649" i="2"/>
  <c r="I650" i="2"/>
  <c r="I651" i="2"/>
  <c r="I642" i="2"/>
  <c r="I641" i="2"/>
  <c r="I618" i="2"/>
  <c r="I619" i="2"/>
  <c r="I620" i="2"/>
  <c r="I621" i="2"/>
  <c r="I624" i="2"/>
  <c r="I626" i="2"/>
  <c r="I627" i="2"/>
  <c r="I630" i="2"/>
  <c r="I632" i="2"/>
  <c r="I633" i="2"/>
  <c r="I637" i="2"/>
  <c r="I638" i="2"/>
  <c r="I615" i="2"/>
  <c r="I614" i="2"/>
  <c r="I572" i="2"/>
  <c r="I574" i="2"/>
  <c r="I575" i="2"/>
  <c r="I576" i="2"/>
  <c r="I578" i="2"/>
  <c r="I579" i="2"/>
  <c r="I582" i="2"/>
  <c r="I583" i="2"/>
  <c r="I586" i="2"/>
  <c r="I587" i="2"/>
  <c r="I588" i="2"/>
  <c r="I589" i="2"/>
  <c r="I590" i="2"/>
  <c r="I591" i="2"/>
  <c r="I592" i="2"/>
  <c r="I593" i="2"/>
  <c r="I595" i="2"/>
  <c r="I596" i="2"/>
  <c r="I598" i="2"/>
  <c r="I599" i="2"/>
  <c r="I600" i="2"/>
  <c r="I601" i="2"/>
  <c r="I602" i="2"/>
  <c r="I603" i="2"/>
  <c r="I604" i="2"/>
  <c r="I605" i="2"/>
  <c r="I606" i="2"/>
  <c r="I607" i="2"/>
  <c r="I608" i="2"/>
  <c r="I609" i="2"/>
  <c r="I610" i="2"/>
  <c r="I611" i="2"/>
  <c r="I570" i="2"/>
  <c r="I571" i="2"/>
  <c r="I562" i="2"/>
  <c r="I561" i="2"/>
  <c r="G565" i="2"/>
  <c r="H566" i="2"/>
  <c r="H565" i="2"/>
  <c r="H562" i="2"/>
  <c r="H561" i="2"/>
  <c r="I657" i="2"/>
  <c r="I653" i="2"/>
  <c r="I640" i="2"/>
  <c r="I613" i="2"/>
  <c r="I569" i="2"/>
  <c r="I568" i="2"/>
  <c r="I564" i="2"/>
  <c r="I560" i="2"/>
  <c r="I554" i="2"/>
  <c r="I555" i="2"/>
  <c r="I556" i="2"/>
  <c r="I557" i="2"/>
  <c r="I553" i="2"/>
  <c r="I552" i="2"/>
  <c r="I551" i="2"/>
  <c r="I549" i="2"/>
  <c r="I548" i="2"/>
  <c r="I547" i="2"/>
  <c r="I546" i="2"/>
  <c r="I543" i="2"/>
  <c r="I540" i="2"/>
  <c r="I532" i="2"/>
  <c r="I529" i="2"/>
  <c r="I521" i="2"/>
  <c r="I510" i="2"/>
  <c r="I502" i="2"/>
  <c r="I488" i="2"/>
  <c r="I483" i="2"/>
  <c r="I460" i="2"/>
  <c r="I447" i="2"/>
  <c r="I448" i="2"/>
  <c r="I449" i="2"/>
  <c r="I450" i="2"/>
  <c r="I452" i="2"/>
  <c r="I446" i="2"/>
  <c r="I378" i="2"/>
  <c r="I385" i="2"/>
  <c r="I386" i="2"/>
  <c r="I388" i="2"/>
  <c r="I389" i="2"/>
  <c r="I391" i="2"/>
  <c r="I393" i="2"/>
  <c r="I394" i="2"/>
  <c r="I397" i="2"/>
  <c r="I398" i="2"/>
  <c r="I405" i="2"/>
  <c r="I415" i="2"/>
  <c r="I416" i="2"/>
  <c r="I417" i="2"/>
  <c r="I367" i="2"/>
  <c r="I366" i="2"/>
  <c r="I358" i="2"/>
  <c r="I357" i="2"/>
  <c r="I346" i="2" l="1"/>
  <c r="I345" i="2"/>
  <c r="I344" i="2"/>
  <c r="I340" i="2"/>
  <c r="I339" i="2"/>
  <c r="I338" i="2"/>
  <c r="I337" i="2"/>
  <c r="I333" i="2"/>
  <c r="I329" i="2"/>
  <c r="I326" i="2"/>
  <c r="I325" i="2"/>
  <c r="I324" i="2"/>
  <c r="I320" i="2"/>
  <c r="I317" i="2"/>
  <c r="I316" i="2"/>
  <c r="I315" i="2"/>
  <c r="I306" i="2"/>
  <c r="I308" i="2"/>
  <c r="I309" i="2"/>
  <c r="I313" i="2"/>
  <c r="I305" i="2"/>
  <c r="I545" i="2"/>
  <c r="I542" i="2"/>
  <c r="I350" i="2"/>
  <c r="I539" i="2"/>
  <c r="I520" i="2"/>
  <c r="I482" i="2"/>
  <c r="I453" i="2"/>
  <c r="I442" i="2"/>
  <c r="I365" i="2"/>
  <c r="I351" i="2"/>
  <c r="I297" i="2"/>
  <c r="I300" i="2"/>
  <c r="I299" i="2"/>
  <c r="I298" i="2"/>
  <c r="I296" i="2"/>
  <c r="I294" i="2"/>
  <c r="I293" i="2"/>
  <c r="I290" i="2"/>
  <c r="I289" i="2"/>
  <c r="I288" i="2"/>
  <c r="I283" i="2"/>
  <c r="I274" i="2"/>
  <c r="I273" i="2"/>
  <c r="I270" i="2"/>
  <c r="I268" i="2"/>
  <c r="I267" i="2"/>
  <c r="I261" i="2"/>
  <c r="I287" i="2"/>
  <c r="I260" i="2"/>
  <c r="I255" i="2"/>
  <c r="I254" i="2"/>
  <c r="I253" i="2"/>
  <c r="I252" i="2"/>
  <c r="I249" i="2"/>
  <c r="I247" i="2"/>
  <c r="I246" i="2"/>
  <c r="I245" i="2"/>
  <c r="I243" i="2"/>
  <c r="I239" i="2"/>
  <c r="I235" i="2"/>
  <c r="I238" i="2"/>
  <c r="I236" i="2"/>
  <c r="I234" i="2"/>
  <c r="I215" i="2"/>
  <c r="I216" i="2"/>
  <c r="I226" i="2"/>
  <c r="I211" i="2"/>
  <c r="I212" i="2"/>
  <c r="I213" i="2"/>
  <c r="I209" i="2"/>
  <c r="I207" i="2"/>
  <c r="I204" i="2"/>
  <c r="I198" i="2"/>
  <c r="I202" i="2"/>
  <c r="I201" i="2"/>
  <c r="I200" i="2"/>
  <c r="I206" i="2"/>
  <c r="I197" i="2"/>
  <c r="I192" i="2"/>
  <c r="I187" i="2"/>
  <c r="I190" i="2"/>
  <c r="I189" i="2"/>
  <c r="I167" i="2"/>
  <c r="I166" i="2"/>
  <c r="I232" i="2"/>
  <c r="I185" i="2"/>
  <c r="K213" i="2"/>
  <c r="I155" i="2" l="1"/>
  <c r="I126" i="2"/>
  <c r="I165" i="2"/>
  <c r="I66" i="2"/>
  <c r="I91" i="2" l="1"/>
  <c r="I52" i="2"/>
  <c r="I68" i="2"/>
  <c r="I71" i="2"/>
  <c r="G879" i="2"/>
  <c r="G866" i="2"/>
  <c r="H866" i="2"/>
  <c r="G867" i="2"/>
  <c r="H867" i="2"/>
  <c r="G868" i="2"/>
  <c r="H868" i="2"/>
  <c r="G869" i="2"/>
  <c r="H869" i="2"/>
  <c r="G871" i="2"/>
  <c r="G872" i="2"/>
  <c r="H872" i="2"/>
  <c r="G857" i="2"/>
  <c r="G858" i="2"/>
  <c r="H858" i="2"/>
  <c r="G860" i="2"/>
  <c r="H856" i="2"/>
  <c r="G856" i="2"/>
  <c r="G764" i="2"/>
  <c r="H764" i="2"/>
  <c r="G767" i="2"/>
  <c r="H767" i="2"/>
  <c r="G770" i="2"/>
  <c r="H770" i="2"/>
  <c r="G771" i="2"/>
  <c r="H771" i="2"/>
  <c r="G772" i="2"/>
  <c r="H772" i="2"/>
  <c r="G773" i="2"/>
  <c r="H773" i="2"/>
  <c r="G775" i="2"/>
  <c r="H775" i="2"/>
  <c r="G777" i="2"/>
  <c r="H777" i="2"/>
  <c r="G778" i="2"/>
  <c r="H778" i="2"/>
  <c r="G779" i="2"/>
  <c r="H779" i="2"/>
  <c r="G781" i="2"/>
  <c r="H781" i="2"/>
  <c r="G783" i="2"/>
  <c r="H783" i="2"/>
  <c r="G784" i="2"/>
  <c r="H784" i="2"/>
  <c r="G785" i="2"/>
  <c r="H785" i="2"/>
  <c r="G786" i="2"/>
  <c r="H786" i="2"/>
  <c r="G787" i="2"/>
  <c r="H787" i="2"/>
  <c r="G789" i="2"/>
  <c r="H789" i="2"/>
  <c r="G790" i="2"/>
  <c r="H790" i="2"/>
  <c r="G791" i="2"/>
  <c r="H791" i="2"/>
  <c r="G792" i="2"/>
  <c r="H792" i="2"/>
  <c r="G793" i="2"/>
  <c r="H793" i="2"/>
  <c r="G796" i="2"/>
  <c r="H796" i="2"/>
  <c r="G797" i="2"/>
  <c r="H797" i="2"/>
  <c r="G798" i="2"/>
  <c r="G799" i="2"/>
  <c r="H799" i="2"/>
  <c r="G800" i="2"/>
  <c r="H800" i="2"/>
  <c r="G801" i="2"/>
  <c r="H801" i="2"/>
  <c r="G802" i="2"/>
  <c r="H802" i="2"/>
  <c r="G804" i="2"/>
  <c r="H804" i="2"/>
  <c r="G805" i="2"/>
  <c r="H805" i="2"/>
  <c r="G806" i="2"/>
  <c r="H806" i="2"/>
  <c r="G807" i="2"/>
  <c r="H807" i="2"/>
  <c r="G809" i="2"/>
  <c r="H809" i="2"/>
  <c r="G810" i="2"/>
  <c r="H810" i="2"/>
  <c r="G811" i="2"/>
  <c r="H811" i="2"/>
  <c r="G812" i="2"/>
  <c r="H812" i="2"/>
  <c r="G813" i="2"/>
  <c r="H813" i="2"/>
  <c r="G814" i="2"/>
  <c r="H814" i="2"/>
  <c r="G815" i="2"/>
  <c r="H815" i="2"/>
  <c r="G816" i="2"/>
  <c r="H816" i="2"/>
  <c r="G817" i="2"/>
  <c r="H817" i="2"/>
  <c r="G818" i="2"/>
  <c r="H818" i="2"/>
  <c r="G820" i="2"/>
  <c r="H820" i="2"/>
  <c r="G822" i="2"/>
  <c r="G825" i="2"/>
  <c r="H825" i="2"/>
  <c r="G826" i="2"/>
  <c r="H826" i="2"/>
  <c r="G827" i="2"/>
  <c r="H827" i="2"/>
  <c r="G828" i="2"/>
  <c r="H828" i="2"/>
  <c r="G830" i="2"/>
  <c r="H830" i="2"/>
  <c r="G831" i="2"/>
  <c r="H831" i="2"/>
  <c r="G832" i="2"/>
  <c r="H832" i="2"/>
  <c r="G833" i="2"/>
  <c r="H833" i="2"/>
  <c r="G834" i="2"/>
  <c r="H834" i="2"/>
  <c r="G835" i="2"/>
  <c r="H835" i="2"/>
  <c r="G837" i="2"/>
  <c r="H837" i="2"/>
  <c r="G838" i="2"/>
  <c r="H838" i="2"/>
  <c r="G839" i="2"/>
  <c r="H839" i="2"/>
  <c r="G840" i="2"/>
  <c r="H840" i="2"/>
  <c r="G842" i="2"/>
  <c r="H842" i="2"/>
  <c r="G843" i="2"/>
  <c r="H843" i="2"/>
  <c r="G845" i="2"/>
  <c r="H845" i="2"/>
  <c r="G846" i="2"/>
  <c r="H846" i="2"/>
  <c r="G848" i="2"/>
  <c r="H848" i="2"/>
  <c r="G849" i="2"/>
  <c r="H849" i="2"/>
  <c r="G850" i="2"/>
  <c r="H850" i="2"/>
  <c r="G851" i="2"/>
  <c r="H851" i="2"/>
  <c r="G852" i="2"/>
  <c r="H852" i="2"/>
  <c r="G750" i="2"/>
  <c r="H750" i="2"/>
  <c r="H751" i="2"/>
  <c r="G753" i="2"/>
  <c r="H753" i="2"/>
  <c r="G755" i="2"/>
  <c r="G756" i="2"/>
  <c r="G759" i="2"/>
  <c r="G761" i="2"/>
  <c r="H761" i="2"/>
  <c r="G763" i="2"/>
  <c r="H763" i="2"/>
  <c r="H746" i="2"/>
  <c r="G746" i="2"/>
  <c r="H743" i="2"/>
  <c r="G743" i="2"/>
  <c r="G724" i="2"/>
  <c r="H724" i="2"/>
  <c r="G725" i="2"/>
  <c r="H725" i="2"/>
  <c r="G726" i="2"/>
  <c r="G727" i="2"/>
  <c r="H727" i="2"/>
  <c r="G728" i="2"/>
  <c r="H728" i="2"/>
  <c r="G730" i="2"/>
  <c r="G731" i="2"/>
  <c r="H731" i="2"/>
  <c r="G732" i="2"/>
  <c r="H732" i="2"/>
  <c r="G733" i="2"/>
  <c r="H733" i="2"/>
  <c r="G734" i="2"/>
  <c r="H734" i="2"/>
  <c r="G735" i="2"/>
  <c r="H735" i="2"/>
  <c r="G737" i="2"/>
  <c r="H737" i="2"/>
  <c r="G738" i="2"/>
  <c r="H738" i="2"/>
  <c r="G739" i="2"/>
  <c r="H739" i="2"/>
  <c r="G740" i="2"/>
  <c r="H740" i="2"/>
  <c r="G741" i="2"/>
  <c r="H741" i="2"/>
  <c r="G723" i="2"/>
  <c r="H722" i="2"/>
  <c r="G722" i="2"/>
  <c r="G717" i="2"/>
  <c r="G718" i="2"/>
  <c r="G719" i="2"/>
  <c r="H719" i="2"/>
  <c r="G716" i="2"/>
  <c r="G702" i="2"/>
  <c r="H702" i="2"/>
  <c r="G703" i="2"/>
  <c r="G704" i="2"/>
  <c r="H704" i="2"/>
  <c r="G705" i="2"/>
  <c r="H705" i="2"/>
  <c r="G706" i="2"/>
  <c r="H706" i="2"/>
  <c r="G707" i="2"/>
  <c r="H707" i="2"/>
  <c r="G708" i="2"/>
  <c r="H708" i="2"/>
  <c r="G709" i="2"/>
  <c r="H709" i="2"/>
  <c r="G711" i="2"/>
  <c r="H711" i="2"/>
  <c r="H712" i="2"/>
  <c r="G688" i="2"/>
  <c r="H688" i="2"/>
  <c r="G689" i="2"/>
  <c r="H689" i="2"/>
  <c r="G691" i="2"/>
  <c r="H691" i="2"/>
  <c r="G693" i="2"/>
  <c r="H693" i="2"/>
  <c r="G694" i="2"/>
  <c r="H694" i="2"/>
  <c r="G695" i="2"/>
  <c r="H695" i="2"/>
  <c r="G696" i="2"/>
  <c r="H696" i="2"/>
  <c r="G697" i="2"/>
  <c r="H697" i="2"/>
  <c r="G698" i="2"/>
  <c r="H701" i="2"/>
  <c r="G701" i="2"/>
  <c r="H686" i="2"/>
  <c r="G686" i="2"/>
  <c r="H685" i="2"/>
  <c r="G685" i="2"/>
  <c r="G681" i="2"/>
  <c r="H681" i="2"/>
  <c r="H675" i="2"/>
  <c r="G675" i="2"/>
  <c r="G666" i="2"/>
  <c r="H666" i="2"/>
  <c r="G667" i="2"/>
  <c r="H667" i="2"/>
  <c r="G668" i="2"/>
  <c r="H668" i="2"/>
  <c r="G669" i="2"/>
  <c r="H669" i="2"/>
  <c r="G670" i="2"/>
  <c r="H670" i="2"/>
  <c r="G671" i="2"/>
  <c r="H671" i="2"/>
  <c r="G672" i="2"/>
  <c r="H672" i="2"/>
  <c r="G659" i="2"/>
  <c r="H659" i="2"/>
  <c r="G660" i="2"/>
  <c r="H660" i="2"/>
  <c r="G661" i="2"/>
  <c r="H661" i="2"/>
  <c r="G662" i="2"/>
  <c r="H662" i="2"/>
  <c r="G663" i="2"/>
  <c r="H663" i="2"/>
  <c r="G665" i="2"/>
  <c r="H665" i="2"/>
  <c r="H658" i="2"/>
  <c r="G658" i="2"/>
  <c r="G643" i="2"/>
  <c r="H643" i="2"/>
  <c r="G645" i="2"/>
  <c r="H645" i="2"/>
  <c r="G646" i="2"/>
  <c r="H646" i="2"/>
  <c r="G648" i="2"/>
  <c r="G649" i="2"/>
  <c r="H649" i="2"/>
  <c r="G650" i="2"/>
  <c r="H650" i="2"/>
  <c r="H642" i="2"/>
  <c r="G642" i="2"/>
  <c r="G619" i="2"/>
  <c r="H619" i="2"/>
  <c r="G620" i="2"/>
  <c r="H620" i="2"/>
  <c r="G622" i="2"/>
  <c r="H622" i="2"/>
  <c r="G623" i="2"/>
  <c r="H623" i="2"/>
  <c r="G624" i="2"/>
  <c r="H624" i="2"/>
  <c r="G625" i="2"/>
  <c r="G626" i="2"/>
  <c r="G628" i="2"/>
  <c r="G629" i="2"/>
  <c r="H629" i="2"/>
  <c r="G631" i="2"/>
  <c r="H631" i="2"/>
  <c r="G633" i="2"/>
  <c r="G638" i="2"/>
  <c r="H638" i="2"/>
  <c r="G615" i="2"/>
  <c r="G611" i="2"/>
  <c r="G608" i="2"/>
  <c r="H605" i="2"/>
  <c r="G605" i="2"/>
  <c r="G604" i="2"/>
  <c r="H603" i="2"/>
  <c r="G603" i="2"/>
  <c r="H600" i="2"/>
  <c r="G600" i="2"/>
  <c r="G599" i="2"/>
  <c r="H597" i="2"/>
  <c r="G597" i="2"/>
  <c r="G596" i="2"/>
  <c r="H594" i="2"/>
  <c r="G594" i="2"/>
  <c r="G593" i="2"/>
  <c r="G592" i="2"/>
  <c r="G587" i="2"/>
  <c r="H585" i="2"/>
  <c r="G585" i="2"/>
  <c r="H584" i="2"/>
  <c r="G584" i="2"/>
  <c r="G583" i="2"/>
  <c r="H581" i="2"/>
  <c r="G581" i="2"/>
  <c r="H580" i="2"/>
  <c r="G580" i="2"/>
  <c r="H576" i="2"/>
  <c r="G576" i="2"/>
  <c r="H575" i="2"/>
  <c r="G575" i="2"/>
  <c r="C821" i="2"/>
  <c r="G821" i="2" s="1"/>
  <c r="F768" i="2"/>
  <c r="F765" i="2"/>
  <c r="F769" i="2"/>
  <c r="F780" i="2"/>
  <c r="G12" i="2" l="1"/>
  <c r="H12" i="2"/>
  <c r="G555" i="2"/>
  <c r="H555" i="2"/>
  <c r="G556" i="2"/>
  <c r="H556" i="2"/>
  <c r="G557" i="2"/>
  <c r="H557" i="2"/>
  <c r="G558" i="2"/>
  <c r="H558" i="2"/>
  <c r="H554" i="2"/>
  <c r="G554" i="2"/>
  <c r="H552" i="2"/>
  <c r="G552" i="2"/>
  <c r="G549" i="2"/>
  <c r="H548" i="2"/>
  <c r="G548" i="2"/>
  <c r="G547" i="2"/>
  <c r="H546" i="2"/>
  <c r="G546" i="2"/>
  <c r="H543" i="2"/>
  <c r="G543" i="2"/>
  <c r="H540" i="2"/>
  <c r="G540" i="2"/>
  <c r="G524" i="2"/>
  <c r="H524" i="2"/>
  <c r="G525" i="2"/>
  <c r="G526" i="2"/>
  <c r="H526" i="2"/>
  <c r="G528" i="2"/>
  <c r="H528" i="2"/>
  <c r="G530" i="2"/>
  <c r="G531" i="2"/>
  <c r="G533" i="2"/>
  <c r="H533" i="2"/>
  <c r="G534" i="2"/>
  <c r="H534" i="2"/>
  <c r="G535" i="2"/>
  <c r="H535" i="2"/>
  <c r="G536" i="2"/>
  <c r="H536" i="2"/>
  <c r="G538" i="2"/>
  <c r="H538" i="2"/>
  <c r="G523" i="2"/>
  <c r="G522" i="2"/>
  <c r="G515" i="2"/>
  <c r="H517" i="2"/>
  <c r="H519" i="2"/>
  <c r="G485" i="2"/>
  <c r="H485" i="2"/>
  <c r="G486" i="2"/>
  <c r="H486" i="2"/>
  <c r="G487" i="2"/>
  <c r="H487" i="2"/>
  <c r="G489" i="2"/>
  <c r="H489" i="2"/>
  <c r="G490" i="2"/>
  <c r="G491" i="2"/>
  <c r="H491" i="2"/>
  <c r="G492" i="2"/>
  <c r="H492" i="2"/>
  <c r="G493" i="2"/>
  <c r="G494" i="2"/>
  <c r="H494" i="2"/>
  <c r="G495" i="2"/>
  <c r="H495" i="2"/>
  <c r="G496" i="2"/>
  <c r="H496" i="2"/>
  <c r="G497" i="2"/>
  <c r="H497" i="2"/>
  <c r="G498" i="2"/>
  <c r="H498" i="2"/>
  <c r="H499" i="2"/>
  <c r="G500" i="2"/>
  <c r="G501" i="2"/>
  <c r="G503" i="2"/>
  <c r="H503" i="2"/>
  <c r="G504" i="2"/>
  <c r="G505" i="2"/>
  <c r="G506" i="2"/>
  <c r="G507" i="2"/>
  <c r="G508" i="2"/>
  <c r="H508" i="2"/>
  <c r="G509" i="2"/>
  <c r="H509" i="2"/>
  <c r="G511" i="2"/>
  <c r="H511" i="2"/>
  <c r="G512" i="2"/>
  <c r="H512" i="2"/>
  <c r="G513" i="2"/>
  <c r="H513" i="2"/>
  <c r="G514" i="2"/>
  <c r="H514" i="2"/>
  <c r="G474" i="2"/>
  <c r="H474" i="2"/>
  <c r="G476" i="2"/>
  <c r="H476" i="2"/>
  <c r="G478" i="2"/>
  <c r="G479" i="2"/>
  <c r="H479" i="2"/>
  <c r="G481" i="2"/>
  <c r="H481" i="2"/>
  <c r="H484" i="2"/>
  <c r="G484" i="2"/>
  <c r="H472" i="2"/>
  <c r="G472" i="2"/>
  <c r="G468" i="2"/>
  <c r="G469" i="2"/>
  <c r="H467" i="2"/>
  <c r="G456" i="2"/>
  <c r="H456" i="2"/>
  <c r="G457" i="2"/>
  <c r="H457" i="2"/>
  <c r="G459" i="2"/>
  <c r="H459" i="2"/>
  <c r="G461" i="2"/>
  <c r="G462" i="2"/>
  <c r="H462" i="2"/>
  <c r="G463" i="2"/>
  <c r="G464" i="2"/>
  <c r="H455" i="2"/>
  <c r="G455" i="2"/>
  <c r="G446" i="2"/>
  <c r="G448" i="2"/>
  <c r="H448" i="2"/>
  <c r="G449" i="2"/>
  <c r="G450" i="2"/>
  <c r="G452" i="2"/>
  <c r="H452" i="2"/>
  <c r="G440" i="2"/>
  <c r="G441" i="2"/>
  <c r="G421" i="2"/>
  <c r="H421" i="2"/>
  <c r="G422" i="2"/>
  <c r="H422" i="2"/>
  <c r="G423" i="2"/>
  <c r="G424" i="2"/>
  <c r="G425" i="2"/>
  <c r="H425" i="2"/>
  <c r="G426" i="2"/>
  <c r="G427" i="2"/>
  <c r="H427" i="2"/>
  <c r="G429" i="2"/>
  <c r="H429" i="2"/>
  <c r="G430" i="2"/>
  <c r="H430" i="2"/>
  <c r="G431" i="2"/>
  <c r="H431" i="2"/>
  <c r="G432" i="2"/>
  <c r="G433" i="2"/>
  <c r="G434" i="2"/>
  <c r="G435" i="2"/>
  <c r="G436" i="2"/>
  <c r="H436" i="2"/>
  <c r="G438" i="2"/>
  <c r="H438" i="2"/>
  <c r="G420" i="2"/>
  <c r="G417" i="2"/>
  <c r="H417" i="2"/>
  <c r="G392" i="2"/>
  <c r="H392" i="2"/>
  <c r="G395" i="2"/>
  <c r="H395" i="2"/>
  <c r="G396" i="2"/>
  <c r="G401" i="2"/>
  <c r="G402" i="2"/>
  <c r="G403" i="2"/>
  <c r="G405" i="2"/>
  <c r="H405" i="2"/>
  <c r="G406" i="2"/>
  <c r="G407" i="2"/>
  <c r="G408" i="2"/>
  <c r="H408" i="2"/>
  <c r="G409" i="2"/>
  <c r="G410" i="2"/>
  <c r="G411" i="2"/>
  <c r="G412" i="2"/>
  <c r="G413" i="2"/>
  <c r="H413" i="2"/>
  <c r="G414" i="2"/>
  <c r="H414" i="2"/>
  <c r="G404" i="2"/>
  <c r="H404" i="2"/>
  <c r="G416" i="2"/>
  <c r="H416" i="2"/>
  <c r="G376" i="2"/>
  <c r="G369" i="2"/>
  <c r="H369" i="2"/>
  <c r="G379" i="2"/>
  <c r="H379" i="2"/>
  <c r="G370" i="2"/>
  <c r="H370" i="2"/>
  <c r="G380" i="2"/>
  <c r="H380" i="2"/>
  <c r="G377" i="2"/>
  <c r="G371" i="2"/>
  <c r="G381" i="2"/>
  <c r="H381" i="2"/>
  <c r="G382" i="2"/>
  <c r="H382" i="2"/>
  <c r="G373" i="2"/>
  <c r="H373" i="2"/>
  <c r="G383" i="2"/>
  <c r="H383" i="2"/>
  <c r="G378" i="2"/>
  <c r="G384" i="2"/>
  <c r="H384" i="2"/>
  <c r="G372" i="2"/>
  <c r="G375" i="2"/>
  <c r="H375" i="2"/>
  <c r="G374" i="2"/>
  <c r="H374" i="2"/>
  <c r="G386" i="2"/>
  <c r="H386" i="2"/>
  <c r="G387" i="2"/>
  <c r="H387" i="2"/>
  <c r="G388" i="2"/>
  <c r="G389" i="2"/>
  <c r="H389" i="2"/>
  <c r="G390" i="2"/>
  <c r="G391" i="2"/>
  <c r="H391" i="2"/>
  <c r="G397" i="2"/>
  <c r="G398" i="2"/>
  <c r="G393" i="2"/>
  <c r="H393" i="2"/>
  <c r="G399" i="2"/>
  <c r="G400" i="2"/>
  <c r="H400" i="2"/>
  <c r="G394" i="2"/>
  <c r="H368" i="2"/>
  <c r="G368" i="2"/>
  <c r="G367" i="2"/>
  <c r="G355" i="2"/>
  <c r="H355" i="2"/>
  <c r="G356" i="2"/>
  <c r="H356" i="2"/>
  <c r="G358" i="2"/>
  <c r="H358" i="2"/>
  <c r="G360" i="2"/>
  <c r="H360" i="2"/>
  <c r="G361" i="2"/>
  <c r="H361" i="2"/>
  <c r="G359" i="2"/>
  <c r="G362" i="2"/>
  <c r="H362" i="2"/>
  <c r="G363" i="2"/>
  <c r="H363" i="2"/>
  <c r="G364" i="2"/>
  <c r="G322" i="2"/>
  <c r="H322" i="2"/>
  <c r="G323" i="2"/>
  <c r="G324" i="2"/>
  <c r="H324" i="2"/>
  <c r="G325" i="2"/>
  <c r="G327" i="2"/>
  <c r="G329" i="2"/>
  <c r="H329" i="2"/>
  <c r="H330" i="2"/>
  <c r="H331" i="2"/>
  <c r="G332" i="2"/>
  <c r="H332" i="2"/>
  <c r="G333" i="2"/>
  <c r="H333" i="2"/>
  <c r="G334" i="2"/>
  <c r="H334" i="2"/>
  <c r="G335" i="2"/>
  <c r="H335" i="2"/>
  <c r="G336" i="2"/>
  <c r="H336" i="2"/>
  <c r="G340" i="2"/>
  <c r="H340" i="2"/>
  <c r="G341" i="2"/>
  <c r="H341" i="2"/>
  <c r="G343" i="2"/>
  <c r="H343" i="2"/>
  <c r="G345" i="2"/>
  <c r="H345" i="2"/>
  <c r="G346" i="2"/>
  <c r="H346" i="2"/>
  <c r="H348" i="2"/>
  <c r="G314" i="2"/>
  <c r="H314" i="2"/>
  <c r="G315" i="2"/>
  <c r="H315" i="2"/>
  <c r="G316" i="2"/>
  <c r="H316" i="2"/>
  <c r="G317" i="2"/>
  <c r="H317" i="2"/>
  <c r="G318" i="2"/>
  <c r="H318" i="2"/>
  <c r="G319" i="2"/>
  <c r="G321" i="2"/>
  <c r="H321" i="2"/>
  <c r="G310" i="2"/>
  <c r="H309" i="2"/>
  <c r="G309" i="2"/>
  <c r="G308" i="2"/>
  <c r="H307" i="2"/>
  <c r="G307" i="2"/>
  <c r="H306" i="2"/>
  <c r="G306" i="2"/>
  <c r="H304" i="2"/>
  <c r="G302" i="2"/>
  <c r="G301" i="2"/>
  <c r="G300" i="2"/>
  <c r="G299" i="2"/>
  <c r="G296" i="2"/>
  <c r="G295" i="2"/>
  <c r="H294" i="2"/>
  <c r="G294" i="2"/>
  <c r="H293" i="2"/>
  <c r="G293" i="2"/>
  <c r="H292" i="2"/>
  <c r="G292" i="2"/>
  <c r="G291" i="2"/>
  <c r="G290" i="2"/>
  <c r="H289" i="2"/>
  <c r="G289" i="2"/>
  <c r="G263" i="2"/>
  <c r="G265" i="2"/>
  <c r="H265" i="2"/>
  <c r="G267" i="2"/>
  <c r="H267" i="2"/>
  <c r="G268" i="2"/>
  <c r="G269" i="2"/>
  <c r="H269" i="2"/>
  <c r="G270" i="2"/>
  <c r="H270" i="2"/>
  <c r="G271" i="2"/>
  <c r="H271" i="2"/>
  <c r="G273" i="2"/>
  <c r="G276" i="2"/>
  <c r="H276" i="2"/>
  <c r="G277" i="2"/>
  <c r="H277" i="2"/>
  <c r="G278" i="2"/>
  <c r="H278" i="2"/>
  <c r="G280" i="2"/>
  <c r="H280" i="2"/>
  <c r="G281" i="2"/>
  <c r="H281" i="2"/>
  <c r="G282" i="2"/>
  <c r="G283" i="2"/>
  <c r="G285" i="2"/>
  <c r="H285" i="2"/>
  <c r="G286" i="2"/>
  <c r="H286" i="2"/>
  <c r="G262" i="2"/>
  <c r="G250" i="2"/>
  <c r="H250" i="2"/>
  <c r="G251" i="2"/>
  <c r="G253" i="2"/>
  <c r="H253" i="2"/>
  <c r="G254" i="2"/>
  <c r="H254" i="2"/>
  <c r="G255" i="2"/>
  <c r="H255" i="2"/>
  <c r="G256" i="2"/>
  <c r="H256" i="2"/>
  <c r="G258" i="2"/>
  <c r="H258" i="2"/>
  <c r="G259" i="2"/>
  <c r="H259" i="2"/>
  <c r="G249" i="2"/>
  <c r="H248" i="2"/>
  <c r="G248" i="2"/>
  <c r="H230" i="2"/>
  <c r="G230" i="2"/>
  <c r="H229" i="2"/>
  <c r="G229" i="2"/>
  <c r="H227" i="2"/>
  <c r="H225" i="2"/>
  <c r="H224" i="2"/>
  <c r="H221" i="2"/>
  <c r="G221" i="2"/>
  <c r="H217" i="2"/>
  <c r="G217" i="2"/>
  <c r="H215" i="2"/>
  <c r="H188" i="2"/>
  <c r="H191" i="2"/>
  <c r="H194" i="2"/>
  <c r="H195" i="2"/>
  <c r="G196" i="2"/>
  <c r="H196" i="2"/>
  <c r="G198" i="2"/>
  <c r="H198" i="2"/>
  <c r="G199" i="2"/>
  <c r="H199" i="2"/>
  <c r="G200" i="2"/>
  <c r="H200" i="2"/>
  <c r="G201" i="2"/>
  <c r="H201" i="2"/>
  <c r="G202" i="2"/>
  <c r="H202" i="2"/>
  <c r="G203" i="2"/>
  <c r="H203" i="2"/>
  <c r="G204" i="2"/>
  <c r="H204" i="2"/>
  <c r="H207" i="2"/>
  <c r="H209" i="2"/>
  <c r="H187" i="2"/>
  <c r="G169" i="2"/>
  <c r="H169" i="2"/>
  <c r="G170" i="2"/>
  <c r="H170" i="2"/>
  <c r="G171" i="2"/>
  <c r="H171" i="2"/>
  <c r="G172" i="2"/>
  <c r="H172" i="2"/>
  <c r="G173" i="2"/>
  <c r="H173" i="2"/>
  <c r="G174" i="2"/>
  <c r="H174" i="2"/>
  <c r="G176" i="2"/>
  <c r="H176" i="2"/>
  <c r="G178" i="2"/>
  <c r="H178" i="2"/>
  <c r="G179" i="2"/>
  <c r="G180" i="2"/>
  <c r="G181" i="2"/>
  <c r="G182" i="2"/>
  <c r="H182" i="2"/>
  <c r="G183" i="2"/>
  <c r="H183" i="2"/>
  <c r="H167" i="2"/>
  <c r="G167" i="2"/>
  <c r="H166" i="2"/>
  <c r="G166" i="2"/>
  <c r="G143" i="2"/>
  <c r="H143" i="2"/>
  <c r="G146" i="2"/>
  <c r="H146" i="2"/>
  <c r="G148" i="2"/>
  <c r="H148" i="2"/>
  <c r="H149" i="2"/>
  <c r="G150" i="2"/>
  <c r="H150" i="2"/>
  <c r="G151" i="2"/>
  <c r="H151" i="2"/>
  <c r="G152" i="2"/>
  <c r="G154" i="2"/>
  <c r="H154" i="2"/>
  <c r="G155" i="2"/>
  <c r="H155" i="2"/>
  <c r="G156" i="2"/>
  <c r="H156" i="2"/>
  <c r="G157" i="2"/>
  <c r="H157" i="2"/>
  <c r="G158" i="2"/>
  <c r="H158" i="2"/>
  <c r="G159" i="2"/>
  <c r="H159" i="2"/>
  <c r="G160" i="2"/>
  <c r="H160" i="2"/>
  <c r="G162" i="2"/>
  <c r="H163" i="2"/>
  <c r="G109" i="2"/>
  <c r="H109" i="2"/>
  <c r="H112" i="2"/>
  <c r="H114" i="2"/>
  <c r="H115" i="2"/>
  <c r="H116" i="2"/>
  <c r="G117" i="2"/>
  <c r="H121" i="2"/>
  <c r="G126" i="2"/>
  <c r="H126" i="2"/>
  <c r="G127" i="2"/>
  <c r="G129" i="2"/>
  <c r="H129" i="2"/>
  <c r="G130" i="2"/>
  <c r="H130" i="2"/>
  <c r="G132" i="2"/>
  <c r="H132" i="2"/>
  <c r="G133" i="2"/>
  <c r="G134" i="2"/>
  <c r="H134" i="2"/>
  <c r="H135" i="2"/>
  <c r="G136" i="2"/>
  <c r="H136" i="2"/>
  <c r="G137" i="2"/>
  <c r="H138" i="2"/>
  <c r="H139" i="2"/>
  <c r="G140" i="2"/>
  <c r="H140" i="2"/>
  <c r="G141" i="2"/>
  <c r="H141" i="2"/>
  <c r="G84" i="2"/>
  <c r="H84" i="2"/>
  <c r="G85" i="2"/>
  <c r="H85" i="2"/>
  <c r="G86" i="2"/>
  <c r="H86" i="2"/>
  <c r="G87" i="2"/>
  <c r="H87" i="2"/>
  <c r="G88" i="2"/>
  <c r="H88" i="2"/>
  <c r="G89" i="2"/>
  <c r="H89" i="2"/>
  <c r="G90" i="2"/>
  <c r="H90" i="2"/>
  <c r="G91" i="2"/>
  <c r="G93" i="2"/>
  <c r="H93" i="2"/>
  <c r="G94" i="2"/>
  <c r="H94" i="2"/>
  <c r="G95" i="2"/>
  <c r="H95" i="2"/>
  <c r="G97" i="2"/>
  <c r="H97" i="2"/>
  <c r="G98" i="2"/>
  <c r="H98" i="2"/>
  <c r="G100" i="2"/>
  <c r="H100" i="2"/>
  <c r="G101" i="2"/>
  <c r="H101" i="2"/>
  <c r="G102" i="2"/>
  <c r="H102" i="2"/>
  <c r="G104" i="2"/>
  <c r="H104" i="2"/>
  <c r="G105" i="2"/>
  <c r="H105" i="2"/>
  <c r="H106" i="2"/>
  <c r="G107" i="2"/>
  <c r="H107" i="2"/>
  <c r="G108" i="2"/>
  <c r="H108" i="2"/>
  <c r="G70" i="2"/>
  <c r="G72" i="2"/>
  <c r="G73" i="2"/>
  <c r="G74" i="2"/>
  <c r="G76" i="2"/>
  <c r="G77" i="2"/>
  <c r="G78" i="2"/>
  <c r="G79" i="2"/>
  <c r="G81" i="2"/>
  <c r="G83" i="2"/>
  <c r="G69" i="2"/>
  <c r="H81" i="2"/>
  <c r="H83" i="2"/>
  <c r="H69" i="2"/>
  <c r="H70" i="2"/>
  <c r="H72" i="2"/>
  <c r="H73" i="2"/>
  <c r="H74" i="2"/>
  <c r="H76" i="2"/>
  <c r="H77" i="2"/>
  <c r="H78" i="2"/>
  <c r="H79" i="2"/>
  <c r="G55" i="2"/>
  <c r="H55" i="2"/>
  <c r="G56" i="2"/>
  <c r="H56" i="2"/>
  <c r="G57" i="2"/>
  <c r="H57" i="2"/>
  <c r="G58" i="2"/>
  <c r="H58" i="2"/>
  <c r="G59" i="2"/>
  <c r="H59" i="2"/>
  <c r="G60" i="2"/>
  <c r="H60" i="2"/>
  <c r="G61" i="2"/>
  <c r="G64" i="2"/>
  <c r="H64" i="2"/>
  <c r="G35" i="2"/>
  <c r="H35" i="2"/>
  <c r="G36" i="2"/>
  <c r="H36" i="2"/>
  <c r="G38" i="2"/>
  <c r="G39" i="2"/>
  <c r="H39" i="2"/>
  <c r="G40" i="2"/>
  <c r="H40" i="2"/>
  <c r="G41" i="2"/>
  <c r="H41" i="2"/>
  <c r="G43" i="2"/>
  <c r="H43" i="2"/>
  <c r="G45" i="2"/>
  <c r="H45" i="2"/>
  <c r="G46" i="2"/>
  <c r="H46" i="2"/>
  <c r="G47" i="2"/>
  <c r="H47" i="2"/>
  <c r="G48" i="2"/>
  <c r="H48" i="2"/>
  <c r="G49" i="2"/>
  <c r="H49" i="2"/>
  <c r="G50" i="2"/>
  <c r="H50" i="2"/>
  <c r="G51" i="2"/>
  <c r="H51" i="2"/>
  <c r="G54" i="2"/>
  <c r="H54" i="2"/>
  <c r="H34" i="2"/>
  <c r="G34" i="2"/>
  <c r="H33" i="2"/>
  <c r="G33" i="2"/>
  <c r="F613" i="2"/>
  <c r="F627" i="2"/>
  <c r="F590" i="2"/>
  <c r="F589" i="2"/>
  <c r="F588" i="2"/>
  <c r="F607" i="2"/>
  <c r="F569" i="2"/>
  <c r="F573" i="2"/>
  <c r="F572" i="2"/>
  <c r="F571" i="2"/>
  <c r="F632" i="2"/>
  <c r="F621" i="2"/>
  <c r="F618" i="2"/>
  <c r="F877" i="2"/>
  <c r="F873" i="2"/>
  <c r="F870" i="2"/>
  <c r="F862" i="2"/>
  <c r="C864" i="2"/>
  <c r="F855" i="2"/>
  <c r="F854" i="2"/>
  <c r="F836" i="2"/>
  <c r="F829" i="2"/>
  <c r="F808" i="2"/>
  <c r="F803" i="2"/>
  <c r="F794" i="2"/>
  <c r="F774" i="2"/>
  <c r="F745" i="2"/>
  <c r="D844" i="2"/>
  <c r="H844" i="2" s="1"/>
  <c r="C844" i="2"/>
  <c r="G844" i="2" s="1"/>
  <c r="D829" i="2"/>
  <c r="H829" i="2" s="1"/>
  <c r="F847" i="2"/>
  <c r="F844" i="2"/>
  <c r="F788" i="2"/>
  <c r="F762" i="2"/>
  <c r="F757" i="2"/>
  <c r="F754" i="2"/>
  <c r="F749" i="2"/>
  <c r="F748" i="2"/>
  <c r="F747" i="2"/>
  <c r="D756" i="2"/>
  <c r="H756" i="2" s="1"/>
  <c r="F729" i="2"/>
  <c r="F721" i="2"/>
  <c r="F715" i="2"/>
  <c r="F700" i="2"/>
  <c r="F692" i="2" l="1"/>
  <c r="F687" i="2"/>
  <c r="F677" i="2"/>
  <c r="F657" i="2"/>
  <c r="F664" i="2"/>
  <c r="F674" i="2"/>
  <c r="F586" i="2"/>
  <c r="F366" i="2" l="1"/>
  <c r="F602" i="2"/>
  <c r="F598" i="2"/>
  <c r="F595" i="2"/>
  <c r="F591" i="2"/>
  <c r="F582" i="2"/>
  <c r="F578" i="2"/>
  <c r="F574" i="2"/>
  <c r="C564" i="2"/>
  <c r="G564" i="2" s="1"/>
  <c r="D611" i="2"/>
  <c r="H611" i="2" s="1"/>
  <c r="D608" i="2"/>
  <c r="H608" i="2" s="1"/>
  <c r="D587" i="2"/>
  <c r="H587" i="2" s="1"/>
  <c r="F520" i="2" l="1"/>
  <c r="F532" i="2"/>
  <c r="F521" i="2"/>
  <c r="F510" i="2"/>
  <c r="F502" i="2"/>
  <c r="F488" i="2"/>
  <c r="F483" i="2"/>
  <c r="F470" i="2"/>
  <c r="F460" i="2"/>
  <c r="F453" i="2"/>
  <c r="F447" i="2"/>
  <c r="F442" i="2"/>
  <c r="F444" i="2"/>
  <c r="D449" i="2"/>
  <c r="H449" i="2" s="1"/>
  <c r="D446" i="2"/>
  <c r="H446" i="2" s="1"/>
  <c r="D445" i="2"/>
  <c r="H445" i="2" s="1"/>
  <c r="D450" i="2"/>
  <c r="H450" i="2" s="1"/>
  <c r="F437" i="2"/>
  <c r="F439" i="2"/>
  <c r="F428" i="2"/>
  <c r="F419" i="2"/>
  <c r="F418" i="2"/>
  <c r="F365" i="2"/>
  <c r="F415" i="2"/>
  <c r="F385" i="2"/>
  <c r="D465" i="10"/>
  <c r="D456" i="10"/>
  <c r="D399" i="2"/>
  <c r="H399" i="2" s="1"/>
  <c r="D403" i="2"/>
  <c r="H403" i="2" s="1"/>
  <c r="C190" i="2" l="1"/>
  <c r="G190" i="2" s="1"/>
  <c r="F326" i="2"/>
  <c r="F320" i="2"/>
  <c r="F297" i="2"/>
  <c r="F337" i="2"/>
  <c r="F313" i="2"/>
  <c r="F305" i="2"/>
  <c r="F298" i="2"/>
  <c r="F284" i="2"/>
  <c r="F274" i="2"/>
  <c r="F261" i="2"/>
  <c r="F252" i="2"/>
  <c r="F246" i="2"/>
  <c r="F257" i="2"/>
  <c r="F247" i="2"/>
  <c r="F185" i="2"/>
  <c r="C220" i="2"/>
  <c r="G220" i="2" s="1"/>
  <c r="D220" i="2"/>
  <c r="H220" i="2" s="1"/>
  <c r="L28" i="9"/>
  <c r="F222" i="2"/>
  <c r="F206" i="2"/>
  <c r="F197" i="2"/>
  <c r="F190" i="2"/>
  <c r="F168" i="2"/>
  <c r="F177" i="2"/>
  <c r="F165" i="2"/>
  <c r="F66" i="2"/>
  <c r="F145" i="2"/>
  <c r="F128" i="2"/>
  <c r="F111" i="2"/>
  <c r="F96" i="2"/>
  <c r="F82" i="2"/>
  <c r="I154" i="2"/>
  <c r="D91" i="2"/>
  <c r="H91" i="2" s="1"/>
  <c r="I74" i="2"/>
  <c r="F32" i="2"/>
  <c r="I61" i="2"/>
  <c r="D61" i="2"/>
  <c r="H61" i="2" s="1"/>
  <c r="F1028" i="10" l="1"/>
  <c r="D1022" i="10"/>
  <c r="D1021" i="10"/>
  <c r="D1020" i="10" s="1"/>
  <c r="C1021" i="10"/>
  <c r="C1020" i="10"/>
  <c r="C998" i="10" s="1"/>
  <c r="D1016" i="10"/>
  <c r="D1015" i="10"/>
  <c r="D1014" i="10"/>
  <c r="D1011" i="10"/>
  <c r="C1011" i="10"/>
  <c r="D1009" i="10"/>
  <c r="D1008" i="10"/>
  <c r="C1008" i="10"/>
  <c r="D1001" i="10"/>
  <c r="D1000" i="10" s="1"/>
  <c r="D998" i="10" s="1"/>
  <c r="D29" i="10" s="1"/>
  <c r="C1000" i="10"/>
  <c r="D995" i="10"/>
  <c r="C995" i="10"/>
  <c r="D994" i="10"/>
  <c r="D993" i="10"/>
  <c r="C993" i="10"/>
  <c r="D990" i="10"/>
  <c r="D988" i="10" s="1"/>
  <c r="D987" i="10" s="1"/>
  <c r="D28" i="10" s="1"/>
  <c r="C988" i="10"/>
  <c r="C987" i="10"/>
  <c r="C28" i="10" s="1"/>
  <c r="D979" i="10"/>
  <c r="C979" i="10"/>
  <c r="D976" i="10"/>
  <c r="C976" i="10"/>
  <c r="D975" i="10"/>
  <c r="C975" i="10"/>
  <c r="D971" i="10"/>
  <c r="C971" i="10"/>
  <c r="D966" i="10"/>
  <c r="C966" i="10"/>
  <c r="D959" i="10"/>
  <c r="C959" i="10"/>
  <c r="D952" i="10"/>
  <c r="C952" i="10"/>
  <c r="D950" i="10"/>
  <c r="C950" i="10"/>
  <c r="D948" i="10"/>
  <c r="D946" i="10" s="1"/>
  <c r="C948" i="10"/>
  <c r="D947" i="10"/>
  <c r="C946" i="10"/>
  <c r="C943" i="10" s="1"/>
  <c r="C913" i="10" s="1"/>
  <c r="D931" i="10"/>
  <c r="C931" i="10"/>
  <c r="D926" i="10"/>
  <c r="C926" i="10"/>
  <c r="D919" i="10"/>
  <c r="D914" i="10"/>
  <c r="C914" i="10"/>
  <c r="D907" i="10"/>
  <c r="C907" i="10"/>
  <c r="D894" i="10"/>
  <c r="C894" i="10"/>
  <c r="C892" i="10" s="1"/>
  <c r="D892" i="10"/>
  <c r="D888" i="10"/>
  <c r="C888" i="10"/>
  <c r="C886" i="10" s="1"/>
  <c r="D886" i="10"/>
  <c r="D881" i="10"/>
  <c r="C881" i="10"/>
  <c r="D878" i="10"/>
  <c r="C878" i="10"/>
  <c r="D872" i="10"/>
  <c r="C872" i="10"/>
  <c r="D870" i="10"/>
  <c r="D868" i="10" s="1"/>
  <c r="D869" i="10"/>
  <c r="C868" i="10"/>
  <c r="D865" i="10"/>
  <c r="C865" i="10"/>
  <c r="C864" i="10" s="1"/>
  <c r="D862" i="10"/>
  <c r="D861" i="10"/>
  <c r="C860" i="10"/>
  <c r="C847" i="10" s="1"/>
  <c r="C846" i="10" s="1"/>
  <c r="D852" i="10"/>
  <c r="C852" i="10"/>
  <c r="D848" i="10"/>
  <c r="C848" i="10"/>
  <c r="D840" i="10"/>
  <c r="C840" i="10"/>
  <c r="D834" i="10"/>
  <c r="C834" i="10"/>
  <c r="D828" i="10"/>
  <c r="C827" i="10"/>
  <c r="D824" i="10"/>
  <c r="D821" i="10"/>
  <c r="C819" i="10"/>
  <c r="D816" i="10"/>
  <c r="D815" i="10"/>
  <c r="D814" i="10"/>
  <c r="D813" i="10"/>
  <c r="C813" i="10"/>
  <c r="C812" i="10"/>
  <c r="D808" i="10"/>
  <c r="D800" i="10"/>
  <c r="C797" i="10"/>
  <c r="C796" i="10" s="1"/>
  <c r="D795" i="10"/>
  <c r="D788" i="10"/>
  <c r="C788" i="10"/>
  <c r="D786" i="10"/>
  <c r="C786" i="10"/>
  <c r="D783" i="10"/>
  <c r="C783" i="10"/>
  <c r="C780" i="10"/>
  <c r="C779" i="10" s="1"/>
  <c r="D776" i="10"/>
  <c r="C776" i="10"/>
  <c r="D775" i="10"/>
  <c r="C775" i="10"/>
  <c r="C773" i="10" s="1"/>
  <c r="D774" i="10"/>
  <c r="C774" i="10"/>
  <c r="D772" i="10"/>
  <c r="C772" i="10"/>
  <c r="D759" i="10"/>
  <c r="C759" i="10"/>
  <c r="C751" i="10" s="1"/>
  <c r="D751" i="10"/>
  <c r="D749" i="10"/>
  <c r="C749" i="10"/>
  <c r="C748" i="10" s="1"/>
  <c r="C747" i="10" s="1"/>
  <c r="D748" i="10"/>
  <c r="D745" i="10"/>
  <c r="C745" i="10"/>
  <c r="D742" i="10"/>
  <c r="D741" i="10"/>
  <c r="C741" i="10"/>
  <c r="C735" i="10" s="1"/>
  <c r="C734" i="10" s="1"/>
  <c r="D738" i="10"/>
  <c r="C738" i="10"/>
  <c r="D735" i="10"/>
  <c r="D731" i="10"/>
  <c r="C731" i="10"/>
  <c r="D727" i="10"/>
  <c r="D726" i="10"/>
  <c r="D724" i="10" s="1"/>
  <c r="C726" i="10"/>
  <c r="C724" i="10"/>
  <c r="C707" i="10" s="1"/>
  <c r="D722" i="10"/>
  <c r="D721" i="10"/>
  <c r="C721" i="10"/>
  <c r="D720" i="10"/>
  <c r="D719" i="10"/>
  <c r="C715" i="10"/>
  <c r="D712" i="10"/>
  <c r="C712" i="10"/>
  <c r="D709" i="10"/>
  <c r="D708" i="10"/>
  <c r="C708" i="10"/>
  <c r="D702" i="10"/>
  <c r="D701" i="10"/>
  <c r="C701" i="10"/>
  <c r="C700" i="10"/>
  <c r="D698" i="10"/>
  <c r="C696" i="10"/>
  <c r="D695" i="10"/>
  <c r="D693" i="10"/>
  <c r="D692" i="10"/>
  <c r="C692" i="10"/>
  <c r="D690" i="10"/>
  <c r="D689" i="10"/>
  <c r="C689" i="10"/>
  <c r="D687" i="10"/>
  <c r="D686" i="10"/>
  <c r="D685" i="10"/>
  <c r="C685" i="10"/>
  <c r="D684" i="10"/>
  <c r="C684" i="10"/>
  <c r="C680" i="10" s="1"/>
  <c r="D683" i="10"/>
  <c r="C683" i="10"/>
  <c r="D682" i="10"/>
  <c r="C682" i="10"/>
  <c r="D681" i="10"/>
  <c r="D677" i="10"/>
  <c r="D676" i="10"/>
  <c r="C676" i="10"/>
  <c r="D673" i="10"/>
  <c r="C673" i="10"/>
  <c r="C665" i="10" s="1"/>
  <c r="C664" i="10" s="1"/>
  <c r="C663" i="10" s="1"/>
  <c r="C662" i="10" s="1"/>
  <c r="C20" i="10" s="1"/>
  <c r="C672" i="10"/>
  <c r="D668" i="10"/>
  <c r="C668" i="10"/>
  <c r="D667" i="10"/>
  <c r="C667" i="10"/>
  <c r="D666" i="10"/>
  <c r="C666" i="10"/>
  <c r="D665" i="10"/>
  <c r="D664" i="10" s="1"/>
  <c r="D659" i="10"/>
  <c r="C657" i="10"/>
  <c r="D653" i="10"/>
  <c r="C653" i="10"/>
  <c r="D646" i="10"/>
  <c r="C646" i="10"/>
  <c r="C644" i="10" s="1"/>
  <c r="D644" i="10"/>
  <c r="D642" i="10"/>
  <c r="D640" i="10"/>
  <c r="D638" i="10"/>
  <c r="C638" i="10"/>
  <c r="D635" i="10"/>
  <c r="C635" i="10"/>
  <c r="D632" i="10"/>
  <c r="C632" i="10"/>
  <c r="D629" i="10"/>
  <c r="C629" i="10"/>
  <c r="D624" i="10"/>
  <c r="C624" i="10"/>
  <c r="D622" i="10"/>
  <c r="D618" i="10" s="1"/>
  <c r="D619" i="10"/>
  <c r="C618" i="10"/>
  <c r="D616" i="10"/>
  <c r="C616" i="10"/>
  <c r="D614" i="10"/>
  <c r="D612" i="10"/>
  <c r="D611" i="10"/>
  <c r="D608" i="10" s="1"/>
  <c r="C608" i="10"/>
  <c r="C607" i="10" s="1"/>
  <c r="D605" i="10"/>
  <c r="C605" i="10"/>
  <c r="D603" i="10"/>
  <c r="C603" i="10"/>
  <c r="D602" i="10"/>
  <c r="D591" i="10"/>
  <c r="C591" i="10"/>
  <c r="C556" i="10" s="1"/>
  <c r="D588" i="10"/>
  <c r="D585" i="10"/>
  <c r="D582" i="10"/>
  <c r="D581" i="10"/>
  <c r="D579" i="10" s="1"/>
  <c r="C579" i="10"/>
  <c r="D578" i="10"/>
  <c r="D577" i="10"/>
  <c r="D570" i="10"/>
  <c r="D565" i="10"/>
  <c r="D563" i="10" s="1"/>
  <c r="C563" i="10"/>
  <c r="D557" i="10"/>
  <c r="C557" i="10"/>
  <c r="D554" i="10"/>
  <c r="C554" i="10"/>
  <c r="D552" i="10"/>
  <c r="D551" i="10" s="1"/>
  <c r="C551" i="10"/>
  <c r="C543" i="10" s="1"/>
  <c r="D549" i="10"/>
  <c r="C549" i="10"/>
  <c r="D547" i="10"/>
  <c r="C547" i="10"/>
  <c r="D544" i="10"/>
  <c r="C544" i="10"/>
  <c r="D542" i="10"/>
  <c r="D541" i="10"/>
  <c r="D537" i="10"/>
  <c r="C537" i="10"/>
  <c r="D536" i="10"/>
  <c r="C536" i="10"/>
  <c r="D535" i="10"/>
  <c r="D534" i="10"/>
  <c r="D531" i="10"/>
  <c r="C530" i="10"/>
  <c r="D528" i="10"/>
  <c r="C528" i="10"/>
  <c r="D524" i="10"/>
  <c r="C524" i="10"/>
  <c r="D518" i="10"/>
  <c r="D517" i="10"/>
  <c r="D516" i="10"/>
  <c r="D513" i="10" s="1"/>
  <c r="C513" i="10"/>
  <c r="D510" i="10"/>
  <c r="D508" i="10" s="1"/>
  <c r="C510" i="10"/>
  <c r="D509" i="10"/>
  <c r="C508" i="10"/>
  <c r="D506" i="10"/>
  <c r="C506" i="10"/>
  <c r="D505" i="10"/>
  <c r="D504" i="10"/>
  <c r="D503" i="10"/>
  <c r="C503" i="10"/>
  <c r="C481" i="10" s="1"/>
  <c r="D501" i="10"/>
  <c r="D500" i="10"/>
  <c r="D499" i="10"/>
  <c r="D498" i="10"/>
  <c r="C492" i="10"/>
  <c r="D490" i="10"/>
  <c r="D488" i="10"/>
  <c r="D487" i="10"/>
  <c r="D483" i="10"/>
  <c r="C482" i="10"/>
  <c r="D477" i="10"/>
  <c r="C477" i="10"/>
  <c r="C418" i="10" s="1"/>
  <c r="D473" i="10"/>
  <c r="D472" i="10"/>
  <c r="D471" i="10"/>
  <c r="D470" i="10"/>
  <c r="D468" i="10"/>
  <c r="D467" i="10"/>
  <c r="D464" i="10"/>
  <c r="D463" i="10"/>
  <c r="D462" i="10"/>
  <c r="D459" i="10"/>
  <c r="D449" i="10"/>
  <c r="D448" i="10"/>
  <c r="D445" i="10"/>
  <c r="D443" i="10"/>
  <c r="D440" i="10"/>
  <c r="C440" i="10"/>
  <c r="D437" i="10"/>
  <c r="D435" i="10"/>
  <c r="D429" i="10"/>
  <c r="D428" i="10"/>
  <c r="D422" i="10"/>
  <c r="D420" i="10"/>
  <c r="C419" i="10"/>
  <c r="D417" i="10"/>
  <c r="D414" i="10"/>
  <c r="C410" i="10"/>
  <c r="D407" i="10"/>
  <c r="D406" i="10"/>
  <c r="D405" i="10" s="1"/>
  <c r="C405" i="10"/>
  <c r="C404" i="10" s="1"/>
  <c r="D400" i="10"/>
  <c r="D397" i="10"/>
  <c r="C397" i="10"/>
  <c r="D394" i="10"/>
  <c r="C394" i="10"/>
  <c r="D392" i="10"/>
  <c r="C392" i="10"/>
  <c r="D387" i="10"/>
  <c r="C387" i="10"/>
  <c r="C385" i="10" s="1"/>
  <c r="D386" i="10"/>
  <c r="C386" i="10"/>
  <c r="D385" i="10"/>
  <c r="D376" i="10"/>
  <c r="D374" i="10" s="1"/>
  <c r="D375" i="10"/>
  <c r="C374" i="10"/>
  <c r="D373" i="10"/>
  <c r="D371" i="10"/>
  <c r="C368" i="10"/>
  <c r="D366" i="10"/>
  <c r="D359" i="10"/>
  <c r="C359" i="10"/>
  <c r="D358" i="10"/>
  <c r="D357" i="10"/>
  <c r="C357" i="10"/>
  <c r="D353" i="10"/>
  <c r="D351" i="10"/>
  <c r="D348" i="10"/>
  <c r="C348" i="10"/>
  <c r="D346" i="10"/>
  <c r="C346" i="10"/>
  <c r="D345" i="10"/>
  <c r="D344" i="10"/>
  <c r="D343" i="10"/>
  <c r="D342" i="10"/>
  <c r="C341" i="10"/>
  <c r="C340" i="10" s="1"/>
  <c r="D339" i="10"/>
  <c r="D338" i="10"/>
  <c r="D334" i="10"/>
  <c r="D333" i="10"/>
  <c r="C331" i="10"/>
  <c r="C330" i="10" s="1"/>
  <c r="D326" i="10"/>
  <c r="C326" i="10"/>
  <c r="D325" i="10"/>
  <c r="C325" i="10"/>
  <c r="D324" i="10"/>
  <c r="D323" i="10"/>
  <c r="D320" i="10"/>
  <c r="D315" i="10"/>
  <c r="C315" i="10"/>
  <c r="C314" i="10" s="1"/>
  <c r="D314" i="10"/>
  <c r="D312" i="10"/>
  <c r="D311" i="10"/>
  <c r="D310" i="10"/>
  <c r="D309" i="10"/>
  <c r="C309" i="10"/>
  <c r="D305" i="10"/>
  <c r="D302" i="10"/>
  <c r="C302" i="10"/>
  <c r="C298" i="10" s="1"/>
  <c r="D299" i="10"/>
  <c r="D298" i="10"/>
  <c r="D297" i="10" s="1"/>
  <c r="D294" i="10"/>
  <c r="C294" i="10"/>
  <c r="D289" i="10"/>
  <c r="C289" i="10"/>
  <c r="D287" i="10"/>
  <c r="D285" i="10"/>
  <c r="C283" i="10"/>
  <c r="C282" i="10" s="1"/>
  <c r="D276" i="10"/>
  <c r="C276" i="10"/>
  <c r="D275" i="10"/>
  <c r="C275" i="10"/>
  <c r="D274" i="10"/>
  <c r="C274" i="10"/>
  <c r="C272" i="10" s="1"/>
  <c r="C8" i="10" s="1"/>
  <c r="D273" i="10"/>
  <c r="C273" i="10"/>
  <c r="D272" i="10"/>
  <c r="D263" i="10"/>
  <c r="C263" i="10"/>
  <c r="D253" i="10"/>
  <c r="D251" i="10" s="1"/>
  <c r="D195" i="10" s="1"/>
  <c r="D6" i="10" s="1"/>
  <c r="C251" i="10"/>
  <c r="D245" i="10"/>
  <c r="C245" i="10"/>
  <c r="D242" i="10"/>
  <c r="C242" i="10"/>
  <c r="D239" i="10"/>
  <c r="D238" i="10"/>
  <c r="D237" i="10"/>
  <c r="D236" i="10"/>
  <c r="D230" i="10"/>
  <c r="D228" i="10"/>
  <c r="C228" i="10"/>
  <c r="D220" i="10"/>
  <c r="C220" i="10"/>
  <c r="D209" i="10"/>
  <c r="D200" i="10"/>
  <c r="C200" i="10"/>
  <c r="D199" i="10"/>
  <c r="C199" i="10"/>
  <c r="D196" i="10"/>
  <c r="C196" i="10"/>
  <c r="C195" i="10" s="1"/>
  <c r="C6" i="10" s="1"/>
  <c r="D191" i="10"/>
  <c r="D190" i="10"/>
  <c r="D189" i="10"/>
  <c r="D184" i="10"/>
  <c r="C184" i="10"/>
  <c r="D182" i="10"/>
  <c r="C182" i="10"/>
  <c r="D179" i="10"/>
  <c r="C179" i="10"/>
  <c r="D171" i="10"/>
  <c r="C171" i="10"/>
  <c r="D168" i="10"/>
  <c r="D5" i="10" s="1"/>
  <c r="C168" i="10"/>
  <c r="D165" i="10"/>
  <c r="D147" i="10" s="1"/>
  <c r="D153" i="10"/>
  <c r="C147" i="10"/>
  <c r="D138" i="10"/>
  <c r="D126" i="10" s="1"/>
  <c r="D132" i="10"/>
  <c r="C126" i="10"/>
  <c r="D125" i="10"/>
  <c r="D121" i="10"/>
  <c r="D120" i="10"/>
  <c r="D119" i="10"/>
  <c r="D117" i="10"/>
  <c r="D116" i="10"/>
  <c r="D113" i="10"/>
  <c r="D107" i="10" s="1"/>
  <c r="D109" i="10"/>
  <c r="C107" i="10"/>
  <c r="D93" i="10"/>
  <c r="C93" i="10"/>
  <c r="D89" i="10"/>
  <c r="D80" i="10"/>
  <c r="C80" i="10"/>
  <c r="D78" i="10"/>
  <c r="C78" i="10"/>
  <c r="D65" i="10"/>
  <c r="C65" i="10"/>
  <c r="C64" i="10"/>
  <c r="D61" i="10"/>
  <c r="D53" i="10"/>
  <c r="C53" i="10"/>
  <c r="D44" i="10"/>
  <c r="C44" i="10"/>
  <c r="D42" i="10"/>
  <c r="D38" i="10"/>
  <c r="D37" i="10"/>
  <c r="C37" i="10"/>
  <c r="C32" i="10"/>
  <c r="C3" i="10" s="1"/>
  <c r="C29" i="10"/>
  <c r="C26" i="10"/>
  <c r="C25" i="10"/>
  <c r="C24" i="10"/>
  <c r="D22" i="10"/>
  <c r="C22" i="10"/>
  <c r="C21" i="10"/>
  <c r="C19" i="10"/>
  <c r="D18" i="10"/>
  <c r="C18" i="10"/>
  <c r="D17" i="10"/>
  <c r="C17" i="10"/>
  <c r="C16" i="10"/>
  <c r="D15" i="10"/>
  <c r="C15" i="10"/>
  <c r="I1028" i="10"/>
  <c r="H1028" i="10"/>
  <c r="G1028" i="10"/>
  <c r="E1028" i="10"/>
  <c r="C5" i="10"/>
  <c r="C4" i="10"/>
  <c r="C297" i="10" l="1"/>
  <c r="C281" i="10" s="1"/>
  <c r="D410" i="10"/>
  <c r="D715" i="10"/>
  <c r="D8" i="10"/>
  <c r="D32" i="10"/>
  <c r="D64" i="10"/>
  <c r="C270" i="10"/>
  <c r="D283" i="10"/>
  <c r="C299" i="10"/>
  <c r="D331" i="10"/>
  <c r="D341" i="10"/>
  <c r="C523" i="10"/>
  <c r="C403" i="10" s="1"/>
  <c r="C14" i="10" s="1"/>
  <c r="D543" i="10"/>
  <c r="D556" i="10"/>
  <c r="D607" i="10"/>
  <c r="D680" i="10"/>
  <c r="C770" i="10"/>
  <c r="C23" i="10" s="1"/>
  <c r="C880" i="10"/>
  <c r="C877" i="10" s="1"/>
  <c r="C844" i="10" s="1"/>
  <c r="C27" i="10" s="1"/>
  <c r="D943" i="10"/>
  <c r="D913" i="10" s="1"/>
  <c r="D860" i="10"/>
  <c r="D419" i="10"/>
  <c r="D734" i="10"/>
  <c r="D747" i="10"/>
  <c r="D773" i="10"/>
  <c r="D880" i="10"/>
  <c r="D482" i="10"/>
  <c r="D16" i="10"/>
  <c r="D368" i="10"/>
  <c r="D492" i="10"/>
  <c r="D780" i="10"/>
  <c r="D797" i="10"/>
  <c r="D827" i="10"/>
  <c r="D864" i="10"/>
  <c r="D657" i="10"/>
  <c r="D672" i="10"/>
  <c r="D696" i="10"/>
  <c r="D700" i="10"/>
  <c r="D812" i="10"/>
  <c r="D530" i="10"/>
  <c r="C1025" i="10" l="1"/>
  <c r="C30" i="10" s="1"/>
  <c r="C11" i="10" s="1"/>
  <c r="C13" i="10"/>
  <c r="D523" i="10"/>
  <c r="D481" i="10"/>
  <c r="D770" i="10"/>
  <c r="D282" i="10"/>
  <c r="D21" i="10"/>
  <c r="D418" i="10"/>
  <c r="D340" i="10"/>
  <c r="C7" i="10"/>
  <c r="C279" i="10"/>
  <c r="C9" i="10" s="1"/>
  <c r="D819" i="10"/>
  <c r="D877" i="10"/>
  <c r="D707" i="10"/>
  <c r="D847" i="10"/>
  <c r="D330" i="10"/>
  <c r="D4" i="10"/>
  <c r="D404" i="10"/>
  <c r="D25" i="10"/>
  <c r="D19" i="10"/>
  <c r="D796" i="10"/>
  <c r="D663" i="10"/>
  <c r="D3" i="10"/>
  <c r="D270" i="10"/>
  <c r="D279" i="10" l="1"/>
  <c r="D7" i="10"/>
  <c r="D281" i="10"/>
  <c r="D26" i="10"/>
  <c r="D779" i="10"/>
  <c r="D403" i="10"/>
  <c r="C1028" i="10"/>
  <c r="D23" i="10"/>
  <c r="D662" i="10"/>
  <c r="D846" i="10"/>
  <c r="D20" i="10" l="1"/>
  <c r="D1025" i="10"/>
  <c r="D30" i="10" s="1"/>
  <c r="D11" i="10" s="1"/>
  <c r="D13" i="10"/>
  <c r="D9" i="10"/>
  <c r="D24" i="10"/>
  <c r="D844" i="10"/>
  <c r="D14" i="10"/>
  <c r="D27" i="10" l="1"/>
  <c r="D1028" i="10"/>
  <c r="D879" i="2" l="1"/>
  <c r="H879" i="2" s="1"/>
  <c r="D878" i="2"/>
  <c r="H878" i="2" s="1"/>
  <c r="D451" i="2" l="1"/>
  <c r="D523" i="2"/>
  <c r="H523" i="2" s="1"/>
  <c r="D522" i="2"/>
  <c r="H522" i="2" s="1"/>
  <c r="D525" i="2"/>
  <c r="H525" i="2" s="1"/>
  <c r="D291" i="2"/>
  <c r="H291" i="2" s="1"/>
  <c r="D290" i="2"/>
  <c r="H290" i="2" s="1"/>
  <c r="D279" i="2"/>
  <c r="H279" i="2" s="1"/>
  <c r="D282" i="2"/>
  <c r="H282" i="2" s="1"/>
  <c r="D301" i="2"/>
  <c r="H301" i="2" s="1"/>
  <c r="D302" i="2"/>
  <c r="H302" i="2" s="1"/>
  <c r="D371" i="2"/>
  <c r="H371" i="2" s="1"/>
  <c r="D367" i="2"/>
  <c r="H367" i="2" s="1"/>
  <c r="D755" i="2"/>
  <c r="H755" i="2" s="1"/>
  <c r="D760" i="2"/>
  <c r="H760" i="2" s="1"/>
  <c r="D759" i="2"/>
  <c r="H759" i="2" s="1"/>
  <c r="D651" i="2"/>
  <c r="H651" i="2" s="1"/>
  <c r="D633" i="2"/>
  <c r="H633" i="2" s="1"/>
  <c r="D303" i="2"/>
  <c r="H303" i="2" s="1"/>
  <c r="C303" i="2"/>
  <c r="D310" i="2"/>
  <c r="H310" i="2" s="1"/>
  <c r="D723" i="2"/>
  <c r="H723" i="2" s="1"/>
  <c r="D726" i="2"/>
  <c r="H726" i="2" s="1"/>
  <c r="D468" i="2"/>
  <c r="H468" i="2" s="1"/>
  <c r="D515" i="2"/>
  <c r="H515" i="2" s="1"/>
  <c r="D378" i="2"/>
  <c r="H378" i="2" s="1"/>
  <c r="D390" i="2"/>
  <c r="H390" i="2" s="1"/>
  <c r="D420" i="2"/>
  <c r="H420" i="2" s="1"/>
  <c r="D441" i="2"/>
  <c r="H441" i="2" s="1"/>
  <c r="D500" i="2"/>
  <c r="H500" i="2" s="1"/>
  <c r="D464" i="2"/>
  <c r="H464" i="2" s="1"/>
  <c r="D501" i="2"/>
  <c r="H501" i="2" s="1"/>
  <c r="D312" i="2"/>
  <c r="H312" i="2" s="1"/>
  <c r="D308" i="2"/>
  <c r="H308" i="2" s="1"/>
  <c r="D599" i="2"/>
  <c r="H599" i="2" s="1"/>
  <c r="D447" i="2" l="1"/>
  <c r="H447" i="2" s="1"/>
  <c r="H451" i="2"/>
  <c r="D347" i="2"/>
  <c r="H347" i="2" s="1"/>
  <c r="F348" i="2"/>
  <c r="D268" i="2"/>
  <c r="H268" i="2" s="1"/>
  <c r="D710" i="2"/>
  <c r="H710" i="2" s="1"/>
  <c r="D698" i="2"/>
  <c r="H698" i="2" s="1"/>
  <c r="D319" i="2"/>
  <c r="H319" i="2" s="1"/>
  <c r="D323" i="2"/>
  <c r="H323" i="2" s="1"/>
  <c r="D127" i="2"/>
  <c r="H127" i="2" s="1"/>
  <c r="D162" i="2"/>
  <c r="H162" i="2" s="1"/>
  <c r="D716" i="2" l="1"/>
  <c r="H716" i="2" s="1"/>
  <c r="D717" i="2"/>
  <c r="H717" i="2" s="1"/>
  <c r="D718" i="2"/>
  <c r="H718" i="2" s="1"/>
  <c r="D296" i="2"/>
  <c r="H296" i="2" s="1"/>
  <c r="D295" i="2"/>
  <c r="D402" i="2"/>
  <c r="H402" i="2" s="1"/>
  <c r="D397" i="2"/>
  <c r="H397" i="2" s="1"/>
  <c r="D410" i="2"/>
  <c r="H410" i="2" s="1"/>
  <c r="D409" i="2"/>
  <c r="H409" i="2" s="1"/>
  <c r="D372" i="2"/>
  <c r="H372" i="2" s="1"/>
  <c r="D376" i="2"/>
  <c r="D412" i="2"/>
  <c r="H412" i="2" s="1"/>
  <c r="D181" i="2"/>
  <c r="D648" i="2"/>
  <c r="H648" i="2" s="1"/>
  <c r="D601" i="2"/>
  <c r="H601" i="2" s="1"/>
  <c r="D223" i="2"/>
  <c r="D193" i="2"/>
  <c r="D566" i="2"/>
  <c r="D564" i="2" s="1"/>
  <c r="H564" i="2" s="1"/>
  <c r="D327" i="2"/>
  <c r="D328" i="2"/>
  <c r="H328" i="2" s="1"/>
  <c r="D325" i="2"/>
  <c r="H325" i="2" s="1"/>
  <c r="D180" i="2"/>
  <c r="D432" i="2"/>
  <c r="H432" i="2" s="1"/>
  <c r="D478" i="2"/>
  <c r="H478" i="2" s="1"/>
  <c r="D273" i="2"/>
  <c r="H273" i="2" s="1"/>
  <c r="D190" i="2" l="1"/>
  <c r="H190" i="2" s="1"/>
  <c r="H193" i="2"/>
  <c r="D222" i="2"/>
  <c r="H222" i="2" s="1"/>
  <c r="H223" i="2"/>
  <c r="D364" i="2"/>
  <c r="H364" i="2" s="1"/>
  <c r="D359" i="2"/>
  <c r="H359" i="2" s="1"/>
  <c r="D530" i="2"/>
  <c r="H530" i="2" s="1"/>
  <c r="D531" i="2"/>
  <c r="H531" i="2" s="1"/>
  <c r="D547" i="2"/>
  <c r="H547" i="2" s="1"/>
  <c r="D208" i="2"/>
  <c r="H208" i="2" s="1"/>
  <c r="D311" i="2"/>
  <c r="H311" i="2" s="1"/>
  <c r="C311" i="2"/>
  <c r="D549" i="2"/>
  <c r="H549" i="2" s="1"/>
  <c r="D593" i="2"/>
  <c r="H593" i="2" s="1"/>
  <c r="D871" i="2"/>
  <c r="H871" i="2" s="1"/>
  <c r="D38" i="2"/>
  <c r="H38" i="2" s="1"/>
  <c r="D80" i="2"/>
  <c r="H80" i="2" s="1"/>
  <c r="D583" i="2"/>
  <c r="H583" i="2" s="1"/>
  <c r="D396" i="2" l="1"/>
  <c r="H396" i="2" s="1"/>
  <c r="D353" i="2"/>
  <c r="H353" i="2" s="1"/>
  <c r="D354" i="2"/>
  <c r="H354" i="2" s="1"/>
  <c r="D406" i="2"/>
  <c r="H406" i="2" s="1"/>
  <c r="D401" i="2"/>
  <c r="H401" i="2" s="1"/>
  <c r="D493" i="2"/>
  <c r="D424" i="2"/>
  <c r="H424" i="2" s="1"/>
  <c r="D426" i="2"/>
  <c r="H426" i="2" s="1"/>
  <c r="D798" i="2"/>
  <c r="H798" i="2" s="1"/>
  <c r="D822" i="2"/>
  <c r="D463" i="2"/>
  <c r="H463" i="2" s="1"/>
  <c r="D461" i="2"/>
  <c r="H461" i="2" s="1"/>
  <c r="D423" i="2"/>
  <c r="H423" i="2" s="1"/>
  <c r="C111" i="2"/>
  <c r="G111" i="2" s="1"/>
  <c r="D119" i="2"/>
  <c r="H119" i="2" s="1"/>
  <c r="D133" i="2"/>
  <c r="H133" i="2" s="1"/>
  <c r="D152" i="2"/>
  <c r="D120" i="2"/>
  <c r="H120" i="2" s="1"/>
  <c r="D821" i="2" l="1"/>
  <c r="H821" i="2" s="1"/>
  <c r="H822" i="2"/>
  <c r="D42" i="2"/>
  <c r="H42" i="2" s="1"/>
  <c r="D137" i="2"/>
  <c r="D615" i="2"/>
  <c r="H615" i="2" s="1"/>
  <c r="D860" i="2" l="1"/>
  <c r="H860" i="2" s="1"/>
  <c r="D857" i="2"/>
  <c r="H857" i="2" s="1"/>
  <c r="D875" i="2"/>
  <c r="H875" i="2" s="1"/>
  <c r="D874" i="2"/>
  <c r="H874" i="2" s="1"/>
  <c r="D124" i="2"/>
  <c r="H124" i="2" s="1"/>
  <c r="D123" i="2"/>
  <c r="H123" i="2" s="1"/>
  <c r="D377" i="2"/>
  <c r="H377" i="2" s="1"/>
  <c r="D507" i="2"/>
  <c r="H507" i="2" s="1"/>
  <c r="D505" i="2"/>
  <c r="H505" i="2" s="1"/>
  <c r="D398" i="2"/>
  <c r="H398" i="2" s="1"/>
  <c r="D490" i="2"/>
  <c r="D443" i="2"/>
  <c r="H443" i="2" s="1"/>
  <c r="D703" i="2"/>
  <c r="H703" i="2" s="1"/>
  <c r="D488" i="2" l="1"/>
  <c r="H488" i="2" s="1"/>
  <c r="H490" i="2"/>
  <c r="C206" i="2"/>
  <c r="D210" i="2" l="1"/>
  <c r="H210" i="2" s="1"/>
  <c r="D596" i="2"/>
  <c r="H596" i="2" s="1"/>
  <c r="D213" i="2"/>
  <c r="D212" i="2"/>
  <c r="D211" i="2"/>
  <c r="D592" i="2"/>
  <c r="H592" i="2" s="1"/>
  <c r="D117" i="2"/>
  <c r="H117" i="2" s="1"/>
  <c r="I117" i="2"/>
  <c r="D676" i="2"/>
  <c r="H676" i="2" s="1"/>
  <c r="D588" i="2" l="1"/>
  <c r="H588" i="2" s="1"/>
  <c r="D206" i="2"/>
  <c r="H206" i="2" s="1"/>
  <c r="D434" i="2"/>
  <c r="H434" i="2" s="1"/>
  <c r="D433" i="2"/>
  <c r="H433" i="2" s="1"/>
  <c r="D388" i="2"/>
  <c r="H388" i="2" s="1"/>
  <c r="D460" i="2"/>
  <c r="H460" i="2" s="1"/>
  <c r="C460" i="2"/>
  <c r="G460" i="2" s="1"/>
  <c r="D458" i="2"/>
  <c r="H458" i="2" s="1"/>
  <c r="C458" i="2"/>
  <c r="G458" i="2" s="1"/>
  <c r="D876" i="2"/>
  <c r="H876" i="2" s="1"/>
  <c r="D122" i="2"/>
  <c r="H122" i="2" s="1"/>
  <c r="D628" i="2" l="1"/>
  <c r="H628" i="2" s="1"/>
  <c r="D626" i="2"/>
  <c r="H626" i="2" s="1"/>
  <c r="D625" i="2"/>
  <c r="H625" i="2" s="1"/>
  <c r="D283" i="2"/>
  <c r="H283" i="2" s="1"/>
  <c r="D678" i="2"/>
  <c r="H678" i="2" s="1"/>
  <c r="D865" i="2"/>
  <c r="D864" i="2" l="1"/>
  <c r="H864" i="2" s="1"/>
  <c r="H865" i="2"/>
  <c r="I113" i="2"/>
  <c r="D113" i="2"/>
  <c r="D111" i="2" l="1"/>
  <c r="H111" i="2" s="1"/>
  <c r="H113" i="2"/>
  <c r="D440" i="2"/>
  <c r="H440" i="2" s="1"/>
  <c r="D300" i="2"/>
  <c r="H300" i="2" s="1"/>
  <c r="D299" i="2"/>
  <c r="H299" i="2" s="1"/>
  <c r="C298" i="2"/>
  <c r="G298" i="2" s="1"/>
  <c r="C288" i="2"/>
  <c r="G288" i="2" s="1"/>
  <c r="C313" i="2"/>
  <c r="G313" i="2" s="1"/>
  <c r="D326" i="2"/>
  <c r="C326" i="2"/>
  <c r="C729" i="2"/>
  <c r="G729" i="2" s="1"/>
  <c r="D263" i="2"/>
  <c r="H263" i="2" s="1"/>
  <c r="D262" i="2"/>
  <c r="H262" i="2" s="1"/>
  <c r="D469" i="2"/>
  <c r="H469" i="2" s="1"/>
  <c r="D407" i="2"/>
  <c r="H407" i="2" s="1"/>
  <c r="D394" i="2"/>
  <c r="H394" i="2" s="1"/>
  <c r="D411" i="2"/>
  <c r="D251" i="2"/>
  <c r="D352" i="2"/>
  <c r="H352" i="2" s="1"/>
  <c r="C352" i="2"/>
  <c r="G352" i="2" s="1"/>
  <c r="D249" i="2"/>
  <c r="D504" i="2"/>
  <c r="D506" i="2"/>
  <c r="C518" i="2"/>
  <c r="F518" i="2"/>
  <c r="D518" i="2"/>
  <c r="H518" i="2" s="1"/>
  <c r="C516" i="2"/>
  <c r="D516" i="2"/>
  <c r="H516" i="2" s="1"/>
  <c r="F516" i="2"/>
  <c r="D604" i="2"/>
  <c r="H604" i="2" s="1"/>
  <c r="D435" i="2"/>
  <c r="D730" i="2"/>
  <c r="D179" i="2"/>
  <c r="D729" i="2" l="1"/>
  <c r="H729" i="2" s="1"/>
  <c r="H730" i="2"/>
  <c r="C320" i="2"/>
  <c r="G320" i="2" s="1"/>
  <c r="G326" i="2"/>
  <c r="D320" i="2"/>
  <c r="H320" i="2" s="1"/>
  <c r="H326" i="2"/>
  <c r="D298" i="2"/>
  <c r="H298" i="2" s="1"/>
  <c r="I65" i="9" l="1"/>
  <c r="G65" i="9"/>
  <c r="I57" i="9"/>
  <c r="G57" i="9"/>
  <c r="I43" i="9"/>
  <c r="G43" i="9"/>
  <c r="G40" i="9"/>
  <c r="G42" i="9" s="1"/>
  <c r="G45" i="9" s="1"/>
  <c r="G55" i="9" s="1"/>
  <c r="G56" i="9" s="1"/>
  <c r="I37" i="9"/>
  <c r="I40" i="9" s="1"/>
  <c r="I42" i="9" s="1"/>
  <c r="I45" i="9" s="1"/>
  <c r="I55" i="9" s="1"/>
  <c r="I56" i="9" s="1"/>
  <c r="I59" i="9" s="1"/>
  <c r="I25" i="9"/>
  <c r="I30" i="9" s="1"/>
  <c r="I28" i="9" s="1"/>
  <c r="I23" i="9"/>
  <c r="G23" i="9"/>
  <c r="G25" i="9" s="1"/>
  <c r="G30" i="9" s="1"/>
  <c r="G28" i="9" s="1"/>
  <c r="E23" i="9"/>
  <c r="I13" i="9"/>
  <c r="I17" i="9" s="1"/>
  <c r="G13" i="9"/>
  <c r="G17" i="9" s="1"/>
  <c r="I161" i="2"/>
  <c r="C878" i="2"/>
  <c r="C873" i="2"/>
  <c r="C870" i="2"/>
  <c r="G870" i="2" s="1"/>
  <c r="C859" i="2"/>
  <c r="G859" i="2" s="1"/>
  <c r="C855" i="2"/>
  <c r="G855" i="2" s="1"/>
  <c r="C847" i="2"/>
  <c r="G847" i="2" s="1"/>
  <c r="C841" i="2"/>
  <c r="C829" i="2"/>
  <c r="G829" i="2" s="1"/>
  <c r="C824" i="2"/>
  <c r="C808" i="2"/>
  <c r="G808" i="2" s="1"/>
  <c r="C803" i="2"/>
  <c r="G803" i="2" s="1"/>
  <c r="C795" i="2"/>
  <c r="G795" i="2" s="1"/>
  <c r="C788" i="2"/>
  <c r="G788" i="2" s="1"/>
  <c r="C782" i="2"/>
  <c r="C776" i="2"/>
  <c r="C769" i="2"/>
  <c r="G769" i="2" s="1"/>
  <c r="C766" i="2"/>
  <c r="G766" i="2" s="1"/>
  <c r="C762" i="2"/>
  <c r="G762" i="2" s="1"/>
  <c r="C758" i="2"/>
  <c r="G758" i="2" s="1"/>
  <c r="C754" i="2"/>
  <c r="G754" i="2" s="1"/>
  <c r="C752" i="2"/>
  <c r="G752" i="2" s="1"/>
  <c r="C749" i="2"/>
  <c r="G749" i="2" s="1"/>
  <c r="C742" i="2"/>
  <c r="G742" i="2" s="1"/>
  <c r="C736" i="2"/>
  <c r="G736" i="2" s="1"/>
  <c r="C715" i="2"/>
  <c r="C700" i="2"/>
  <c r="C692" i="2"/>
  <c r="G692" i="2" s="1"/>
  <c r="C690" i="2"/>
  <c r="G690" i="2" s="1"/>
  <c r="C687" i="2"/>
  <c r="G687" i="2" s="1"/>
  <c r="C680" i="2"/>
  <c r="G680" i="2" s="1"/>
  <c r="C679" i="2"/>
  <c r="G679" i="2" s="1"/>
  <c r="C678" i="2"/>
  <c r="G678" i="2" s="1"/>
  <c r="C676" i="2"/>
  <c r="G676" i="2" s="1"/>
  <c r="C664" i="2"/>
  <c r="G664" i="2" s="1"/>
  <c r="C655" i="2"/>
  <c r="C651" i="2"/>
  <c r="G651" i="2" s="1"/>
  <c r="C647" i="2"/>
  <c r="G647" i="2" s="1"/>
  <c r="C644" i="2"/>
  <c r="G644" i="2" s="1"/>
  <c r="C637" i="2"/>
  <c r="G637" i="2" s="1"/>
  <c r="C632" i="2"/>
  <c r="C627" i="2"/>
  <c r="G627" i="2" s="1"/>
  <c r="C621" i="2"/>
  <c r="G621" i="2" s="1"/>
  <c r="C618" i="2"/>
  <c r="G618" i="2" s="1"/>
  <c r="C614" i="2"/>
  <c r="G614" i="2" s="1"/>
  <c r="C607" i="2"/>
  <c r="C602" i="2"/>
  <c r="G602" i="2" s="1"/>
  <c r="C598" i="2"/>
  <c r="G598" i="2" s="1"/>
  <c r="C595" i="2"/>
  <c r="G595" i="2" s="1"/>
  <c r="C591" i="2"/>
  <c r="G591" i="2" s="1"/>
  <c r="C590" i="2"/>
  <c r="G590" i="2" s="1"/>
  <c r="C589" i="2"/>
  <c r="G589" i="2" s="1"/>
  <c r="C588" i="2"/>
  <c r="G588" i="2" s="1"/>
  <c r="C582" i="2"/>
  <c r="G582" i="2" s="1"/>
  <c r="C579" i="2"/>
  <c r="C574" i="2"/>
  <c r="G574" i="2" s="1"/>
  <c r="C573" i="2"/>
  <c r="G573" i="2" s="1"/>
  <c r="C572" i="2"/>
  <c r="G572" i="2" s="1"/>
  <c r="C19" i="2"/>
  <c r="C560" i="2"/>
  <c r="C553" i="2"/>
  <c r="C545" i="2"/>
  <c r="C542" i="2"/>
  <c r="C539" i="2"/>
  <c r="G539" i="2" s="1"/>
  <c r="C537" i="2"/>
  <c r="G537" i="2" s="1"/>
  <c r="C532" i="2"/>
  <c r="G532" i="2" s="1"/>
  <c r="C529" i="2"/>
  <c r="G529" i="2" s="1"/>
  <c r="C527" i="2"/>
  <c r="G527" i="2" s="1"/>
  <c r="C521" i="2"/>
  <c r="G521" i="2" s="1"/>
  <c r="C510" i="2"/>
  <c r="G510" i="2" s="1"/>
  <c r="C502" i="2"/>
  <c r="G502" i="2" s="1"/>
  <c r="C488" i="2"/>
  <c r="G488" i="2" s="1"/>
  <c r="C483" i="2"/>
  <c r="G483" i="2" s="1"/>
  <c r="C480" i="2"/>
  <c r="G480" i="2" s="1"/>
  <c r="C477" i="2"/>
  <c r="G477" i="2" s="1"/>
  <c r="C475" i="2"/>
  <c r="G475" i="2" s="1"/>
  <c r="C473" i="2"/>
  <c r="G473" i="2" s="1"/>
  <c r="C471" i="2"/>
  <c r="G471" i="2" s="1"/>
  <c r="C466" i="2"/>
  <c r="C454" i="2"/>
  <c r="C447" i="2"/>
  <c r="G447" i="2" s="1"/>
  <c r="C444" i="2"/>
  <c r="G444" i="2" s="1"/>
  <c r="C437" i="2"/>
  <c r="G437" i="2" s="1"/>
  <c r="C439" i="2"/>
  <c r="G439" i="2" s="1"/>
  <c r="C428" i="2"/>
  <c r="G428" i="2" s="1"/>
  <c r="C419" i="2"/>
  <c r="G419" i="2" s="1"/>
  <c r="C415" i="2"/>
  <c r="G415" i="2" s="1"/>
  <c r="C385" i="2"/>
  <c r="G385" i="2" s="1"/>
  <c r="C366" i="2"/>
  <c r="G366" i="2" s="1"/>
  <c r="C357" i="2"/>
  <c r="G357" i="2" s="1"/>
  <c r="C344" i="2"/>
  <c r="G344" i="2" s="1"/>
  <c r="C342" i="2"/>
  <c r="G342" i="2" s="1"/>
  <c r="C339" i="2"/>
  <c r="C305" i="2"/>
  <c r="G305" i="2" s="1"/>
  <c r="C287" i="2"/>
  <c r="G287" i="2" s="1"/>
  <c r="C284" i="2"/>
  <c r="G284" i="2" s="1"/>
  <c r="C275" i="2"/>
  <c r="C272" i="2"/>
  <c r="G272" i="2" s="1"/>
  <c r="C266" i="2"/>
  <c r="G266" i="2" s="1"/>
  <c r="C257" i="2"/>
  <c r="G257" i="2" s="1"/>
  <c r="C252" i="2"/>
  <c r="G252" i="2" s="1"/>
  <c r="C247" i="2"/>
  <c r="G247" i="2" s="1"/>
  <c r="C238" i="2"/>
  <c r="C237" i="2"/>
  <c r="G237" i="2" s="1"/>
  <c r="C236" i="2"/>
  <c r="G236" i="2" s="1"/>
  <c r="C235" i="2"/>
  <c r="G235" i="2" s="1"/>
  <c r="C226" i="2"/>
  <c r="G226" i="2" s="1"/>
  <c r="C222" i="2"/>
  <c r="C216" i="2"/>
  <c r="G216" i="2" s="1"/>
  <c r="C197" i="2"/>
  <c r="G197" i="2" s="1"/>
  <c r="C189" i="2"/>
  <c r="G189" i="2" s="1"/>
  <c r="C186" i="2"/>
  <c r="C177" i="2"/>
  <c r="G177" i="2" s="1"/>
  <c r="C175" i="2"/>
  <c r="G175" i="2" s="1"/>
  <c r="C168" i="2"/>
  <c r="G168" i="2" s="1"/>
  <c r="C145" i="2"/>
  <c r="G145" i="2" s="1"/>
  <c r="C128" i="2"/>
  <c r="G128" i="2" s="1"/>
  <c r="C96" i="2"/>
  <c r="G96" i="2" s="1"/>
  <c r="C82" i="2"/>
  <c r="G82" i="2" s="1"/>
  <c r="C80" i="2"/>
  <c r="G80" i="2" s="1"/>
  <c r="C67" i="2"/>
  <c r="G67" i="2" s="1"/>
  <c r="C53" i="2"/>
  <c r="G53" i="2" s="1"/>
  <c r="C44" i="2"/>
  <c r="G44" i="2" s="1"/>
  <c r="C37" i="2"/>
  <c r="G37" i="2" s="1"/>
  <c r="E28" i="2"/>
  <c r="I28" i="2"/>
  <c r="E29" i="2"/>
  <c r="E27" i="2"/>
  <c r="E25" i="2"/>
  <c r="E26" i="2"/>
  <c r="I26" i="2"/>
  <c r="E23" i="2"/>
  <c r="E24" i="2"/>
  <c r="E21" i="2"/>
  <c r="E22" i="2"/>
  <c r="E20" i="2"/>
  <c r="E19" i="2"/>
  <c r="I19" i="2"/>
  <c r="E18" i="2"/>
  <c r="E17" i="2"/>
  <c r="E16" i="2"/>
  <c r="E15" i="2"/>
  <c r="E14" i="2"/>
  <c r="E13" i="2"/>
  <c r="E9" i="2"/>
  <c r="E7" i="2"/>
  <c r="E8" i="2"/>
  <c r="E6" i="2"/>
  <c r="E5" i="2"/>
  <c r="E3" i="2"/>
  <c r="E4" i="2"/>
  <c r="I15" i="2"/>
  <c r="F475" i="2"/>
  <c r="F456" i="2"/>
  <c r="I6" i="2"/>
  <c r="C606" i="2" l="1"/>
  <c r="G606" i="2" s="1"/>
  <c r="G607" i="2"/>
  <c r="C823" i="2"/>
  <c r="G824" i="2"/>
  <c r="C877" i="2"/>
  <c r="G877" i="2" s="1"/>
  <c r="G878" i="2"/>
  <c r="C654" i="2"/>
  <c r="G655" i="2"/>
  <c r="C774" i="2"/>
  <c r="G774" i="2" s="1"/>
  <c r="G776" i="2"/>
  <c r="C836" i="2"/>
  <c r="G836" i="2" s="1"/>
  <c r="G841" i="2"/>
  <c r="C714" i="2"/>
  <c r="G715" i="2"/>
  <c r="C630" i="2"/>
  <c r="G630" i="2" s="1"/>
  <c r="G632" i="2"/>
  <c r="C578" i="2"/>
  <c r="G578" i="2" s="1"/>
  <c r="G579" i="2"/>
  <c r="C699" i="2"/>
  <c r="G699" i="2" s="1"/>
  <c r="G700" i="2"/>
  <c r="C780" i="2"/>
  <c r="G780" i="2" s="1"/>
  <c r="G782" i="2"/>
  <c r="C465" i="2"/>
  <c r="G465" i="2" s="1"/>
  <c r="G466" i="2"/>
  <c r="C15" i="2"/>
  <c r="G542" i="2"/>
  <c r="C16" i="2"/>
  <c r="G545" i="2"/>
  <c r="C453" i="2"/>
  <c r="G453" i="2" s="1"/>
  <c r="G454" i="2"/>
  <c r="C18" i="2"/>
  <c r="G560" i="2"/>
  <c r="C274" i="2"/>
  <c r="G274" i="2" s="1"/>
  <c r="G275" i="2"/>
  <c r="C338" i="2"/>
  <c r="G338" i="2" s="1"/>
  <c r="G339" i="2"/>
  <c r="C551" i="2"/>
  <c r="G553" i="2"/>
  <c r="C854" i="2"/>
  <c r="G854" i="2" s="1"/>
  <c r="C657" i="2"/>
  <c r="C757" i="2"/>
  <c r="G757" i="2" s="1"/>
  <c r="C246" i="2"/>
  <c r="G246" i="2" s="1"/>
  <c r="C264" i="2"/>
  <c r="G264" i="2" s="1"/>
  <c r="C261" i="2"/>
  <c r="C185" i="2"/>
  <c r="G59" i="9"/>
  <c r="C442" i="2"/>
  <c r="G442" i="2" s="1"/>
  <c r="C365" i="2"/>
  <c r="G365" i="2" s="1"/>
  <c r="C482" i="2"/>
  <c r="G482" i="2" s="1"/>
  <c r="C748" i="2"/>
  <c r="G748" i="2" s="1"/>
  <c r="C520" i="2"/>
  <c r="G520" i="2" s="1"/>
  <c r="C351" i="2"/>
  <c r="G351" i="2" s="1"/>
  <c r="C418" i="2"/>
  <c r="G418" i="2" s="1"/>
  <c r="C66" i="2"/>
  <c r="C234" i="2"/>
  <c r="C470" i="2"/>
  <c r="G470" i="2" s="1"/>
  <c r="C586" i="2"/>
  <c r="G586" i="2" s="1"/>
  <c r="C641" i="2"/>
  <c r="C721" i="2"/>
  <c r="C165" i="2"/>
  <c r="C32" i="2"/>
  <c r="C571" i="2"/>
  <c r="C677" i="2"/>
  <c r="C684" i="2"/>
  <c r="C337" i="2"/>
  <c r="C768" i="2" l="1"/>
  <c r="C765" i="2" s="1"/>
  <c r="G765" i="2" s="1"/>
  <c r="C862" i="2"/>
  <c r="G862" i="2" s="1"/>
  <c r="G823" i="2"/>
  <c r="C819" i="2"/>
  <c r="C683" i="2"/>
  <c r="G684" i="2"/>
  <c r="C640" i="2"/>
  <c r="G640" i="2" s="1"/>
  <c r="G641" i="2"/>
  <c r="C28" i="2"/>
  <c r="C570" i="2"/>
  <c r="G570" i="2" s="1"/>
  <c r="G571" i="2"/>
  <c r="G768" i="2"/>
  <c r="C26" i="2"/>
  <c r="G721" i="2"/>
  <c r="G26" i="2" s="1"/>
  <c r="C653" i="2"/>
  <c r="G654" i="2"/>
  <c r="C674" i="2"/>
  <c r="G677" i="2"/>
  <c r="C613" i="2"/>
  <c r="G613" i="2" s="1"/>
  <c r="C22" i="2"/>
  <c r="G657" i="2"/>
  <c r="C25" i="2"/>
  <c r="G714" i="2"/>
  <c r="C5" i="2"/>
  <c r="G165" i="2"/>
  <c r="C4" i="2"/>
  <c r="G66" i="2"/>
  <c r="C260" i="2"/>
  <c r="G260" i="2" s="1"/>
  <c r="G261" i="2"/>
  <c r="C17" i="2"/>
  <c r="G551" i="2"/>
  <c r="C6" i="2"/>
  <c r="G185" i="2"/>
  <c r="G6" i="2" s="1"/>
  <c r="C8" i="2"/>
  <c r="G234" i="2"/>
  <c r="C297" i="2"/>
  <c r="G297" i="2" s="1"/>
  <c r="G337" i="2"/>
  <c r="C3" i="2"/>
  <c r="G32" i="2"/>
  <c r="C350" i="2"/>
  <c r="C747" i="2"/>
  <c r="C232" i="2"/>
  <c r="C29" i="2" l="1"/>
  <c r="C23" i="2"/>
  <c r="G674" i="2"/>
  <c r="C569" i="2"/>
  <c r="C24" i="2"/>
  <c r="G683" i="2"/>
  <c r="G24" i="2" s="1"/>
  <c r="C21" i="2"/>
  <c r="G653" i="2"/>
  <c r="G819" i="2"/>
  <c r="C794" i="2"/>
  <c r="G794" i="2" s="1"/>
  <c r="G747" i="2"/>
  <c r="C245" i="2"/>
  <c r="C13" i="2" s="1"/>
  <c r="C243" i="2"/>
  <c r="G232" i="2"/>
  <c r="G7" i="2" s="1"/>
  <c r="C14" i="2"/>
  <c r="G350" i="2"/>
  <c r="G14" i="2" s="1"/>
  <c r="C7" i="2"/>
  <c r="F885" i="2"/>
  <c r="I30" i="2"/>
  <c r="I29" i="2"/>
  <c r="G29" i="2"/>
  <c r="G28" i="2"/>
  <c r="I779" i="2"/>
  <c r="I778" i="2"/>
  <c r="I773" i="2"/>
  <c r="I27" i="2"/>
  <c r="F736" i="2"/>
  <c r="I25" i="2"/>
  <c r="G25" i="2"/>
  <c r="F684" i="2"/>
  <c r="I24" i="2"/>
  <c r="F683" i="2"/>
  <c r="I23" i="2"/>
  <c r="I22" i="2"/>
  <c r="G22" i="2"/>
  <c r="I21" i="2"/>
  <c r="F641" i="2"/>
  <c r="F614" i="2"/>
  <c r="F570" i="2"/>
  <c r="I20" i="2"/>
  <c r="F568" i="2"/>
  <c r="H19" i="2"/>
  <c r="G19" i="2"/>
  <c r="G562" i="2"/>
  <c r="I18" i="2"/>
  <c r="G18" i="2"/>
  <c r="F560" i="2"/>
  <c r="F553" i="2"/>
  <c r="I17" i="2"/>
  <c r="G17" i="2"/>
  <c r="F551" i="2"/>
  <c r="I16" i="2"/>
  <c r="F545" i="2"/>
  <c r="F482" i="2"/>
  <c r="F466" i="2"/>
  <c r="F454" i="2"/>
  <c r="F357" i="2"/>
  <c r="F352" i="2"/>
  <c r="F351" i="2"/>
  <c r="I14" i="2"/>
  <c r="F350" i="2"/>
  <c r="F287" i="2"/>
  <c r="F260" i="2"/>
  <c r="I13" i="2"/>
  <c r="F245" i="2"/>
  <c r="F243" i="2"/>
  <c r="I8" i="2"/>
  <c r="F234" i="2"/>
  <c r="I7" i="2"/>
  <c r="F232" i="2"/>
  <c r="F186" i="2"/>
  <c r="I5" i="2"/>
  <c r="G5" i="2"/>
  <c r="I150" i="2"/>
  <c r="I149" i="2"/>
  <c r="I145" i="2"/>
  <c r="I144" i="2"/>
  <c r="I143" i="2"/>
  <c r="I141" i="2"/>
  <c r="I140" i="2"/>
  <c r="I139" i="2"/>
  <c r="I138" i="2"/>
  <c r="I136" i="2"/>
  <c r="I134" i="2"/>
  <c r="I133" i="2"/>
  <c r="I132" i="2"/>
  <c r="I130" i="2"/>
  <c r="I129" i="2"/>
  <c r="I128" i="2"/>
  <c r="I127" i="2"/>
  <c r="I120" i="2"/>
  <c r="I118" i="2"/>
  <c r="I116" i="2"/>
  <c r="I115" i="2"/>
  <c r="I114" i="2"/>
  <c r="I111" i="2"/>
  <c r="I109" i="2"/>
  <c r="I108" i="2"/>
  <c r="I107" i="2"/>
  <c r="I106" i="2"/>
  <c r="I101" i="2"/>
  <c r="I100" i="2"/>
  <c r="I98" i="2"/>
  <c r="I97" i="2"/>
  <c r="I96" i="2"/>
  <c r="I95" i="2"/>
  <c r="I94" i="2"/>
  <c r="I93" i="2"/>
  <c r="I90" i="2"/>
  <c r="I89" i="2"/>
  <c r="I88" i="2"/>
  <c r="I87" i="2"/>
  <c r="I85" i="2"/>
  <c r="I84" i="2"/>
  <c r="I83" i="2"/>
  <c r="I82" i="2"/>
  <c r="I81" i="2"/>
  <c r="I80" i="2"/>
  <c r="I79" i="2"/>
  <c r="I78" i="2"/>
  <c r="I76" i="2"/>
  <c r="I73" i="2"/>
  <c r="I72" i="2"/>
  <c r="I70" i="2"/>
  <c r="I69" i="2"/>
  <c r="I67" i="2"/>
  <c r="F67" i="2"/>
  <c r="I4" i="2"/>
  <c r="I64" i="2"/>
  <c r="I60" i="2"/>
  <c r="I59" i="2"/>
  <c r="I58" i="2"/>
  <c r="I57" i="2"/>
  <c r="I56" i="2"/>
  <c r="I55" i="2"/>
  <c r="I54" i="2"/>
  <c r="I53" i="2"/>
  <c r="F53" i="2"/>
  <c r="I51" i="2"/>
  <c r="I50" i="2"/>
  <c r="I49" i="2"/>
  <c r="I48" i="2"/>
  <c r="I47" i="2"/>
  <c r="I46" i="2"/>
  <c r="I45" i="2"/>
  <c r="I44" i="2"/>
  <c r="F44" i="2"/>
  <c r="I43" i="2"/>
  <c r="I42" i="2"/>
  <c r="I41" i="2"/>
  <c r="I40" i="2"/>
  <c r="I39" i="2"/>
  <c r="I38" i="2"/>
  <c r="I37" i="2"/>
  <c r="I36" i="2"/>
  <c r="I35" i="2"/>
  <c r="I34" i="2"/>
  <c r="I33" i="2"/>
  <c r="I32" i="2"/>
  <c r="I3" i="2" s="1"/>
  <c r="E30" i="2"/>
  <c r="E11" i="2" s="1"/>
  <c r="E885" i="2"/>
  <c r="D877" i="2"/>
  <c r="H877" i="2" s="1"/>
  <c r="D873" i="2"/>
  <c r="H873" i="2" s="1"/>
  <c r="D870" i="2"/>
  <c r="H870" i="2" s="1"/>
  <c r="D859" i="2"/>
  <c r="H859" i="2" s="1"/>
  <c r="D855" i="2"/>
  <c r="H855" i="2" s="1"/>
  <c r="D847" i="2"/>
  <c r="H847" i="2" s="1"/>
  <c r="D841" i="2"/>
  <c r="D824" i="2"/>
  <c r="D808" i="2"/>
  <c r="H808" i="2" s="1"/>
  <c r="D803" i="2"/>
  <c r="H803" i="2" s="1"/>
  <c r="D795" i="2"/>
  <c r="H795" i="2" s="1"/>
  <c r="D788" i="2"/>
  <c r="H788" i="2" s="1"/>
  <c r="D782" i="2"/>
  <c r="D776" i="2"/>
  <c r="H776" i="2" s="1"/>
  <c r="D769" i="2"/>
  <c r="H769" i="2" s="1"/>
  <c r="D766" i="2"/>
  <c r="H766" i="2" s="1"/>
  <c r="D762" i="2"/>
  <c r="H762" i="2" s="1"/>
  <c r="D758" i="2"/>
  <c r="H758" i="2" s="1"/>
  <c r="D754" i="2"/>
  <c r="H754" i="2" s="1"/>
  <c r="D752" i="2"/>
  <c r="H752" i="2" s="1"/>
  <c r="D749" i="2"/>
  <c r="H749" i="2" s="1"/>
  <c r="D742" i="2"/>
  <c r="H742" i="2" s="1"/>
  <c r="D736" i="2"/>
  <c r="H736" i="2" s="1"/>
  <c r="D715" i="2"/>
  <c r="D700" i="2"/>
  <c r="H700" i="2" s="1"/>
  <c r="D692" i="2"/>
  <c r="H692" i="2" s="1"/>
  <c r="D690" i="2"/>
  <c r="H690" i="2" s="1"/>
  <c r="D687" i="2"/>
  <c r="H687" i="2" s="1"/>
  <c r="D680" i="2"/>
  <c r="H680" i="2" s="1"/>
  <c r="D679" i="2"/>
  <c r="H679" i="2" s="1"/>
  <c r="D664" i="2"/>
  <c r="D655" i="2"/>
  <c r="D647" i="2"/>
  <c r="H647" i="2" s="1"/>
  <c r="D644" i="2"/>
  <c r="H644" i="2" s="1"/>
  <c r="D637" i="2"/>
  <c r="H637" i="2" s="1"/>
  <c r="D632" i="2"/>
  <c r="D627" i="2"/>
  <c r="H627" i="2" s="1"/>
  <c r="D621" i="2"/>
  <c r="H621" i="2" s="1"/>
  <c r="D618" i="2"/>
  <c r="H618" i="2" s="1"/>
  <c r="D614" i="2"/>
  <c r="H614" i="2" s="1"/>
  <c r="D607" i="2"/>
  <c r="H607" i="2" s="1"/>
  <c r="D602" i="2"/>
  <c r="H602" i="2" s="1"/>
  <c r="D598" i="2"/>
  <c r="H598" i="2" s="1"/>
  <c r="D595" i="2"/>
  <c r="D591" i="2"/>
  <c r="H591" i="2" s="1"/>
  <c r="D590" i="2"/>
  <c r="H590" i="2" s="1"/>
  <c r="D589" i="2"/>
  <c r="H589" i="2" s="1"/>
  <c r="D582" i="2"/>
  <c r="H582" i="2" s="1"/>
  <c r="D579" i="2"/>
  <c r="D574" i="2"/>
  <c r="H574" i="2" s="1"/>
  <c r="D573" i="2"/>
  <c r="H573" i="2" s="1"/>
  <c r="D572" i="2"/>
  <c r="D560" i="2"/>
  <c r="H560" i="2" s="1"/>
  <c r="H18" i="2" s="1"/>
  <c r="D553" i="2"/>
  <c r="D545" i="2"/>
  <c r="H545" i="2" s="1"/>
  <c r="D542" i="2"/>
  <c r="H542" i="2" s="1"/>
  <c r="D539" i="2"/>
  <c r="D537" i="2"/>
  <c r="D532" i="2"/>
  <c r="H532" i="2" s="1"/>
  <c r="D529" i="2"/>
  <c r="H529" i="2" s="1"/>
  <c r="D527" i="2"/>
  <c r="H527" i="2" s="1"/>
  <c r="D521" i="2"/>
  <c r="D510" i="2"/>
  <c r="H510" i="2" s="1"/>
  <c r="D502" i="2"/>
  <c r="H502" i="2" s="1"/>
  <c r="G561" i="2"/>
  <c r="D483" i="2"/>
  <c r="H483" i="2" s="1"/>
  <c r="D480" i="2"/>
  <c r="H480" i="2" s="1"/>
  <c r="D477" i="2"/>
  <c r="H477" i="2" s="1"/>
  <c r="D475" i="2"/>
  <c r="H475" i="2" s="1"/>
  <c r="D473" i="2"/>
  <c r="D471" i="2"/>
  <c r="H471" i="2" s="1"/>
  <c r="D466" i="2"/>
  <c r="H466" i="2" s="1"/>
  <c r="D454" i="2"/>
  <c r="D444" i="2"/>
  <c r="H444" i="2" s="1"/>
  <c r="D437" i="2"/>
  <c r="H437" i="2" s="1"/>
  <c r="D439" i="2"/>
  <c r="H439" i="2" s="1"/>
  <c r="D428" i="2"/>
  <c r="H428" i="2" s="1"/>
  <c r="D419" i="2"/>
  <c r="H419" i="2" s="1"/>
  <c r="D415" i="2"/>
  <c r="H415" i="2" s="1"/>
  <c r="D385" i="2"/>
  <c r="H385" i="2" s="1"/>
  <c r="D366" i="2"/>
  <c r="H366" i="2" s="1"/>
  <c r="D357" i="2"/>
  <c r="H357" i="2" s="1"/>
  <c r="D344" i="2"/>
  <c r="H344" i="2" s="1"/>
  <c r="D342" i="2"/>
  <c r="H342" i="2" s="1"/>
  <c r="D339" i="2"/>
  <c r="D313" i="2"/>
  <c r="H313" i="2" s="1"/>
  <c r="D305" i="2"/>
  <c r="H305" i="2" s="1"/>
  <c r="D288" i="2"/>
  <c r="D284" i="2"/>
  <c r="H284" i="2" s="1"/>
  <c r="D275" i="2"/>
  <c r="D272" i="2"/>
  <c r="H272" i="2" s="1"/>
  <c r="D266" i="2"/>
  <c r="H266" i="2" s="1"/>
  <c r="D257" i="2"/>
  <c r="H257" i="2" s="1"/>
  <c r="D252" i="2"/>
  <c r="H252" i="2" s="1"/>
  <c r="D247" i="2"/>
  <c r="H247" i="2" s="1"/>
  <c r="D238" i="2"/>
  <c r="D237" i="2"/>
  <c r="H237" i="2" s="1"/>
  <c r="D236" i="2"/>
  <c r="H236" i="2" s="1"/>
  <c r="D235" i="2"/>
  <c r="H235" i="2" s="1"/>
  <c r="D226" i="2"/>
  <c r="H226" i="2" s="1"/>
  <c r="G8" i="2"/>
  <c r="D216" i="2"/>
  <c r="H216" i="2" s="1"/>
  <c r="D197" i="2"/>
  <c r="H197" i="2" s="1"/>
  <c r="D189" i="2"/>
  <c r="H189" i="2" s="1"/>
  <c r="D186" i="2"/>
  <c r="H186" i="2" s="1"/>
  <c r="D177" i="2"/>
  <c r="H177" i="2" s="1"/>
  <c r="D175" i="2"/>
  <c r="H175" i="2" s="1"/>
  <c r="D168" i="2"/>
  <c r="H168" i="2" s="1"/>
  <c r="D145" i="2"/>
  <c r="H145" i="2" s="1"/>
  <c r="D128" i="2"/>
  <c r="H128" i="2" s="1"/>
  <c r="D96" i="2"/>
  <c r="H96" i="2" s="1"/>
  <c r="D82" i="2"/>
  <c r="H82" i="2" s="1"/>
  <c r="D67" i="2"/>
  <c r="H67" i="2" s="1"/>
  <c r="D53" i="2"/>
  <c r="H53" i="2" s="1"/>
  <c r="D44" i="2"/>
  <c r="H44" i="2" s="1"/>
  <c r="D37" i="2"/>
  <c r="H37" i="2" s="1"/>
  <c r="C745" i="2" l="1"/>
  <c r="G745" i="2" s="1"/>
  <c r="G27" i="2" s="1"/>
  <c r="G245" i="2"/>
  <c r="G13" i="2" s="1"/>
  <c r="D578" i="2"/>
  <c r="H578" i="2" s="1"/>
  <c r="H579" i="2"/>
  <c r="G21" i="2"/>
  <c r="H572" i="2"/>
  <c r="G23" i="2"/>
  <c r="H595" i="2"/>
  <c r="D630" i="2"/>
  <c r="H630" i="2" s="1"/>
  <c r="H632" i="2"/>
  <c r="D654" i="2"/>
  <c r="H655" i="2"/>
  <c r="D714" i="2"/>
  <c r="H714" i="2" s="1"/>
  <c r="H25" i="2" s="1"/>
  <c r="H715" i="2"/>
  <c r="D823" i="2"/>
  <c r="H823" i="2" s="1"/>
  <c r="H824" i="2"/>
  <c r="C27" i="2"/>
  <c r="D780" i="2"/>
  <c r="H780" i="2" s="1"/>
  <c r="H782" i="2"/>
  <c r="C568" i="2"/>
  <c r="G569" i="2"/>
  <c r="D657" i="2"/>
  <c r="H657" i="2" s="1"/>
  <c r="H22" i="2" s="1"/>
  <c r="H664" i="2"/>
  <c r="D836" i="2"/>
  <c r="H836" i="2" s="1"/>
  <c r="H841" i="2"/>
  <c r="D274" i="2"/>
  <c r="H274" i="2" s="1"/>
  <c r="H275" i="2"/>
  <c r="G16" i="2"/>
  <c r="H473" i="2"/>
  <c r="H521" i="2"/>
  <c r="H537" i="2"/>
  <c r="H553" i="2"/>
  <c r="D338" i="2"/>
  <c r="H338" i="2" s="1"/>
  <c r="H339" i="2"/>
  <c r="D453" i="2"/>
  <c r="H453" i="2" s="1"/>
  <c r="H454" i="2"/>
  <c r="H539" i="2"/>
  <c r="D287" i="2"/>
  <c r="H287" i="2" s="1"/>
  <c r="H288" i="2"/>
  <c r="C9" i="2"/>
  <c r="G243" i="2"/>
  <c r="G9" i="2" s="1"/>
  <c r="D862" i="2"/>
  <c r="H862" i="2" s="1"/>
  <c r="H29" i="2" s="1"/>
  <c r="D854" i="2"/>
  <c r="D757" i="2"/>
  <c r="H757" i="2" s="1"/>
  <c r="D261" i="2"/>
  <c r="D185" i="2"/>
  <c r="D264" i="2"/>
  <c r="H264" i="2" s="1"/>
  <c r="D442" i="2"/>
  <c r="H442" i="2" s="1"/>
  <c r="D482" i="2"/>
  <c r="H482" i="2" s="1"/>
  <c r="D165" i="2"/>
  <c r="H165" i="2" s="1"/>
  <c r="H5" i="2" s="1"/>
  <c r="D18" i="2"/>
  <c r="D19" i="2"/>
  <c r="D16" i="2"/>
  <c r="I9" i="2"/>
  <c r="I885" i="2" s="1"/>
  <c r="D15" i="2"/>
  <c r="D774" i="2"/>
  <c r="H774" i="2" s="1"/>
  <c r="G15" i="2"/>
  <c r="D246" i="2"/>
  <c r="H246" i="2" s="1"/>
  <c r="D337" i="2"/>
  <c r="H337" i="2" s="1"/>
  <c r="D551" i="2"/>
  <c r="H551" i="2" s="1"/>
  <c r="H17" i="2" s="1"/>
  <c r="D606" i="2"/>
  <c r="H606" i="2" s="1"/>
  <c r="D699" i="2"/>
  <c r="H699" i="2" s="1"/>
  <c r="D465" i="2"/>
  <c r="H465" i="2" s="1"/>
  <c r="D641" i="2"/>
  <c r="H641" i="2" s="1"/>
  <c r="D418" i="2"/>
  <c r="H418" i="2" s="1"/>
  <c r="D684" i="2"/>
  <c r="H684" i="2" s="1"/>
  <c r="D748" i="2"/>
  <c r="H748" i="2" s="1"/>
  <c r="D351" i="2"/>
  <c r="H351" i="2" s="1"/>
  <c r="D470" i="2"/>
  <c r="H470" i="2" s="1"/>
  <c r="D721" i="2"/>
  <c r="H721" i="2" s="1"/>
  <c r="H26" i="2" s="1"/>
  <c r="D365" i="2"/>
  <c r="H365" i="2" s="1"/>
  <c r="D66" i="2"/>
  <c r="H66" i="2" s="1"/>
  <c r="D234" i="2"/>
  <c r="H234" i="2" s="1"/>
  <c r="D520" i="2"/>
  <c r="D32" i="2"/>
  <c r="H32" i="2" s="1"/>
  <c r="D677" i="2"/>
  <c r="H677" i="2" s="1"/>
  <c r="D586" i="2"/>
  <c r="H586" i="2" s="1"/>
  <c r="D613" i="2"/>
  <c r="H613" i="2" s="1"/>
  <c r="D571" i="2"/>
  <c r="D29" i="2" l="1"/>
  <c r="D819" i="2"/>
  <c r="D794" i="2" s="1"/>
  <c r="H794" i="2" s="1"/>
  <c r="D28" i="2"/>
  <c r="H854" i="2"/>
  <c r="H28" i="2" s="1"/>
  <c r="C20" i="2"/>
  <c r="G568" i="2"/>
  <c r="G20" i="2" s="1"/>
  <c r="D570" i="2"/>
  <c r="H570" i="2" s="1"/>
  <c r="H571" i="2"/>
  <c r="D25" i="2"/>
  <c r="C882" i="2"/>
  <c r="D653" i="2"/>
  <c r="H654" i="2"/>
  <c r="D6" i="2"/>
  <c r="H185" i="2"/>
  <c r="H6" i="2" s="1"/>
  <c r="H520" i="2"/>
  <c r="D260" i="2"/>
  <c r="H260" i="2" s="1"/>
  <c r="H261" i="2"/>
  <c r="D768" i="2"/>
  <c r="D297" i="2"/>
  <c r="H297" i="2" s="1"/>
  <c r="D5" i="2"/>
  <c r="D232" i="2"/>
  <c r="D17" i="2"/>
  <c r="D22" i="2"/>
  <c r="D26" i="2"/>
  <c r="G3" i="2"/>
  <c r="D3" i="2"/>
  <c r="D8" i="2"/>
  <c r="G4" i="2"/>
  <c r="D4" i="2"/>
  <c r="D683" i="2"/>
  <c r="H683" i="2" s="1"/>
  <c r="H24" i="2" s="1"/>
  <c r="D350" i="2"/>
  <c r="H350" i="2" s="1"/>
  <c r="H14" i="2" s="1"/>
  <c r="D747" i="2"/>
  <c r="H747" i="2" s="1"/>
  <c r="D640" i="2"/>
  <c r="H640" i="2" s="1"/>
  <c r="D674" i="2"/>
  <c r="H674" i="2" s="1"/>
  <c r="H23" i="2" s="1"/>
  <c r="H819" i="2" l="1"/>
  <c r="D765" i="2"/>
  <c r="H765" i="2" s="1"/>
  <c r="H768" i="2"/>
  <c r="C30" i="2"/>
  <c r="C11" i="2" s="1"/>
  <c r="G11" i="2" s="1"/>
  <c r="G882" i="2"/>
  <c r="C885" i="2"/>
  <c r="D569" i="2"/>
  <c r="H569" i="2" s="1"/>
  <c r="H653" i="2"/>
  <c r="H21" i="2" s="1"/>
  <c r="D21" i="2"/>
  <c r="D7" i="2"/>
  <c r="H232" i="2"/>
  <c r="H7" i="2" s="1"/>
  <c r="D245" i="2"/>
  <c r="H245" i="2" s="1"/>
  <c r="H13" i="2" s="1"/>
  <c r="D23" i="2"/>
  <c r="D14" i="2"/>
  <c r="D24" i="2"/>
  <c r="D243" i="2"/>
  <c r="H243" i="2" s="1"/>
  <c r="H9" i="2" s="1"/>
  <c r="D745" i="2" l="1"/>
  <c r="H745" i="2" s="1"/>
  <c r="H27" i="2" s="1"/>
  <c r="G30" i="2"/>
  <c r="G885" i="2"/>
  <c r="D568" i="2"/>
  <c r="H568" i="2" s="1"/>
  <c r="H20" i="2" s="1"/>
  <c r="D13" i="2"/>
  <c r="D9" i="2"/>
  <c r="D27" i="2" l="1"/>
  <c r="D20" i="2"/>
  <c r="D882" i="2"/>
  <c r="D885" i="2" s="1"/>
  <c r="D30" i="2" l="1"/>
  <c r="D11" i="2" s="1"/>
  <c r="H11" i="2" s="1"/>
  <c r="H882" i="2"/>
  <c r="I31" i="7"/>
  <c r="H31" i="7"/>
  <c r="G31" i="7"/>
  <c r="F31" i="7"/>
  <c r="E31" i="7"/>
  <c r="D31" i="7"/>
  <c r="H30" i="2" l="1"/>
  <c r="H885" i="2"/>
  <c r="H16" i="2"/>
  <c r="H15" i="2" l="1"/>
  <c r="H8" i="2" l="1"/>
  <c r="E12" i="1" l="1"/>
  <c r="G12" i="1"/>
  <c r="D29" i="1"/>
  <c r="F29" i="1"/>
  <c r="G31" i="1"/>
  <c r="D33" i="1"/>
  <c r="F33" i="1"/>
  <c r="D34" i="1"/>
  <c r="F34" i="1"/>
  <c r="D35" i="1"/>
  <c r="E35" i="1"/>
  <c r="F35" i="1"/>
  <c r="D41" i="1"/>
  <c r="F41" i="1"/>
  <c r="C42" i="1"/>
  <c r="D42" i="1"/>
  <c r="F42" i="1"/>
  <c r="G42" i="1"/>
  <c r="C43" i="1"/>
  <c r="D43" i="1"/>
  <c r="F43" i="1"/>
  <c r="G43" i="1"/>
  <c r="C44" i="1"/>
  <c r="D44" i="1"/>
  <c r="F44" i="1"/>
  <c r="G44" i="1"/>
  <c r="C48" i="1"/>
  <c r="D48" i="1"/>
  <c r="E48" i="1"/>
  <c r="F48" i="1"/>
  <c r="G48" i="1"/>
  <c r="C54" i="1"/>
  <c r="D54" i="1"/>
  <c r="E54" i="1"/>
  <c r="G54" i="1"/>
  <c r="C55" i="1"/>
  <c r="G55" i="1"/>
  <c r="C56" i="1"/>
  <c r="G56" i="1"/>
  <c r="C57" i="1"/>
  <c r="D57" i="1"/>
  <c r="E57" i="1"/>
  <c r="C58" i="1"/>
  <c r="D58" i="1"/>
  <c r="E58" i="1"/>
  <c r="G58" i="1"/>
  <c r="C60" i="1"/>
  <c r="D60" i="1"/>
  <c r="E60" i="1"/>
  <c r="G60" i="1"/>
  <c r="C66" i="1"/>
  <c r="D66" i="1"/>
  <c r="E66" i="1"/>
  <c r="F66" i="1"/>
  <c r="G66" i="1"/>
  <c r="C70" i="1"/>
  <c r="D70" i="1"/>
  <c r="E70" i="1"/>
  <c r="F70" i="1"/>
  <c r="G70" i="1"/>
  <c r="E76" i="1"/>
  <c r="G76" i="1"/>
  <c r="C78" i="1"/>
  <c r="C76" i="1" s="1"/>
  <c r="D82" i="1"/>
  <c r="D76" i="1" s="1"/>
  <c r="F82" i="1"/>
  <c r="F76" i="1"/>
  <c r="C85" i="1"/>
  <c r="D85" i="1"/>
  <c r="E85" i="1"/>
  <c r="C88" i="1"/>
  <c r="D88" i="1"/>
  <c r="E88" i="1"/>
  <c r="F88" i="1"/>
  <c r="G88" i="1"/>
  <c r="E104" i="1"/>
  <c r="G110" i="1"/>
  <c r="C112" i="1"/>
  <c r="C104" i="1" s="1"/>
  <c r="D112" i="1"/>
  <c r="D104" i="1" s="1"/>
  <c r="G112" i="1"/>
  <c r="F114" i="1"/>
  <c r="F104" i="1" s="1"/>
  <c r="C117" i="1"/>
  <c r="D117" i="1"/>
  <c r="E117" i="1"/>
  <c r="F117" i="1"/>
  <c r="G117" i="1"/>
  <c r="C129" i="1"/>
  <c r="D129" i="1"/>
  <c r="E129" i="1"/>
  <c r="F129" i="1"/>
  <c r="G129" i="1"/>
  <c r="E144" i="1"/>
  <c r="F144" i="1"/>
  <c r="C145" i="1"/>
  <c r="D145" i="1"/>
  <c r="E145" i="1"/>
  <c r="G145" i="1"/>
  <c r="F150" i="1"/>
  <c r="F145" i="1" s="1"/>
  <c r="C163" i="1"/>
  <c r="D163" i="1"/>
  <c r="E163" i="1"/>
  <c r="F163" i="1"/>
  <c r="G163" i="1"/>
  <c r="G178" i="1"/>
  <c r="C179" i="1"/>
  <c r="D179" i="1"/>
  <c r="E179" i="1"/>
  <c r="F179" i="1"/>
  <c r="G182" i="1"/>
  <c r="G179" i="1" s="1"/>
  <c r="C192" i="1"/>
  <c r="C177" i="1" s="1"/>
  <c r="C6" i="1" s="1"/>
  <c r="D192" i="1"/>
  <c r="E192" i="1"/>
  <c r="F192" i="1"/>
  <c r="G192" i="1"/>
  <c r="C199" i="1"/>
  <c r="D199" i="1"/>
  <c r="E199" i="1"/>
  <c r="F199" i="1"/>
  <c r="G199" i="1"/>
  <c r="C202" i="1"/>
  <c r="D202" i="1"/>
  <c r="E202" i="1"/>
  <c r="G202" i="1"/>
  <c r="C203" i="1"/>
  <c r="D203" i="1"/>
  <c r="E203" i="1"/>
  <c r="F203" i="1"/>
  <c r="G203" i="1"/>
  <c r="C215" i="1"/>
  <c r="D215" i="1"/>
  <c r="E215" i="1"/>
  <c r="F215" i="1"/>
  <c r="G215" i="1"/>
  <c r="C223" i="1"/>
  <c r="D223" i="1"/>
  <c r="G223" i="1"/>
  <c r="E227" i="1"/>
  <c r="E223" i="1" s="1"/>
  <c r="F227" i="1"/>
  <c r="F223" i="1" s="1"/>
  <c r="C230" i="1"/>
  <c r="D230" i="1"/>
  <c r="E230" i="1"/>
  <c r="F230" i="1"/>
  <c r="G230" i="1"/>
  <c r="C235" i="1"/>
  <c r="D235" i="1"/>
  <c r="E235" i="1"/>
  <c r="F235" i="1"/>
  <c r="G235" i="1"/>
  <c r="C246" i="1"/>
  <c r="D246" i="1"/>
  <c r="E246" i="1"/>
  <c r="F246" i="1"/>
  <c r="G246" i="1"/>
  <c r="C255" i="1"/>
  <c r="D255" i="1"/>
  <c r="G255" i="1"/>
  <c r="C259" i="1"/>
  <c r="D259" i="1"/>
  <c r="E259" i="1"/>
  <c r="E254" i="1" s="1"/>
  <c r="G259" i="1"/>
  <c r="F261" i="1"/>
  <c r="F259" i="1" s="1"/>
  <c r="F254" i="1" s="1"/>
  <c r="F9" i="1" s="1"/>
  <c r="D268" i="1"/>
  <c r="E268" i="1"/>
  <c r="F268" i="1"/>
  <c r="G268" i="1"/>
  <c r="C270" i="1"/>
  <c r="C268" i="1" s="1"/>
  <c r="D272" i="1"/>
  <c r="E272" i="1"/>
  <c r="F272" i="1"/>
  <c r="G272" i="1"/>
  <c r="C274" i="1"/>
  <c r="C272" i="1" s="1"/>
  <c r="C277" i="1"/>
  <c r="D277" i="1"/>
  <c r="E277" i="1"/>
  <c r="F277" i="1"/>
  <c r="G277" i="1"/>
  <c r="E281" i="1"/>
  <c r="C282" i="1"/>
  <c r="C281" i="1" s="1"/>
  <c r="D282" i="1"/>
  <c r="D281" i="1" s="1"/>
  <c r="F282" i="1"/>
  <c r="F281" i="1"/>
  <c r="G282" i="1"/>
  <c r="G281" i="1" s="1"/>
  <c r="C293" i="1"/>
  <c r="D293" i="1"/>
  <c r="E293" i="1"/>
  <c r="F293" i="1"/>
  <c r="G293" i="1"/>
  <c r="C298" i="1"/>
  <c r="D298" i="1"/>
  <c r="E298" i="1"/>
  <c r="F298" i="1"/>
  <c r="G298" i="1"/>
  <c r="C302" i="1"/>
  <c r="C301" i="1" s="1"/>
  <c r="C18" i="1" s="1"/>
  <c r="D302" i="1"/>
  <c r="D301" i="1" s="1"/>
  <c r="D18" i="1" s="1"/>
  <c r="E302" i="1"/>
  <c r="E301" i="1" s="1"/>
  <c r="E18" i="1" s="1"/>
  <c r="F302" i="1"/>
  <c r="F301" i="1" s="1"/>
  <c r="F18" i="1" s="1"/>
  <c r="G302" i="1"/>
  <c r="G301" i="1" s="1"/>
  <c r="G18" i="1" s="1"/>
  <c r="C316" i="1"/>
  <c r="D316" i="1"/>
  <c r="E316" i="1"/>
  <c r="F316" i="1"/>
  <c r="G316" i="1"/>
  <c r="C319" i="1"/>
  <c r="D319" i="1"/>
  <c r="E319" i="1"/>
  <c r="F319" i="1"/>
  <c r="G319" i="1"/>
  <c r="C325" i="1"/>
  <c r="D325" i="1"/>
  <c r="E325" i="1"/>
  <c r="F325" i="1"/>
  <c r="G325" i="1"/>
  <c r="C333" i="1"/>
  <c r="D333" i="1"/>
  <c r="E333" i="1"/>
  <c r="F333" i="1"/>
  <c r="G333" i="1"/>
  <c r="C339" i="1"/>
  <c r="C338" i="1" s="1"/>
  <c r="D339" i="1"/>
  <c r="D338" i="1"/>
  <c r="E339" i="1"/>
  <c r="E338" i="1" s="1"/>
  <c r="F339" i="1"/>
  <c r="F338" i="1" s="1"/>
  <c r="G339" i="1"/>
  <c r="G338" i="1" s="1"/>
  <c r="C348" i="1"/>
  <c r="D348" i="1"/>
  <c r="E348" i="1"/>
  <c r="F348" i="1"/>
  <c r="G348" i="1"/>
  <c r="C351" i="1"/>
  <c r="D351" i="1"/>
  <c r="E351" i="1"/>
  <c r="F351" i="1"/>
  <c r="G351" i="1"/>
  <c r="C356" i="1"/>
  <c r="D356" i="1"/>
  <c r="E356" i="1"/>
  <c r="F356" i="1"/>
  <c r="G356" i="1"/>
  <c r="G355" i="1" s="1"/>
  <c r="G21" i="1" s="1"/>
  <c r="C361" i="1"/>
  <c r="D361" i="1"/>
  <c r="E361" i="1"/>
  <c r="F361" i="1"/>
  <c r="G361" i="1"/>
  <c r="C368" i="1"/>
  <c r="D368" i="1"/>
  <c r="E368" i="1"/>
  <c r="F368" i="1"/>
  <c r="G368" i="1"/>
  <c r="C371" i="1"/>
  <c r="D371" i="1"/>
  <c r="E371" i="1"/>
  <c r="F371" i="1"/>
  <c r="G383" i="1"/>
  <c r="G371" i="1" s="1"/>
  <c r="C392" i="1"/>
  <c r="D392" i="1"/>
  <c r="E392" i="1"/>
  <c r="F392" i="1"/>
  <c r="G392" i="1"/>
  <c r="C427" i="1"/>
  <c r="D427" i="1"/>
  <c r="E427" i="1"/>
  <c r="F427" i="1"/>
  <c r="G427" i="1"/>
  <c r="C433" i="1"/>
  <c r="D433" i="1"/>
  <c r="E433" i="1"/>
  <c r="F433" i="1"/>
  <c r="G433" i="1"/>
  <c r="C435" i="1"/>
  <c r="D435" i="1"/>
  <c r="E435" i="1"/>
  <c r="F435" i="1"/>
  <c r="G435" i="1"/>
  <c r="C446" i="1"/>
  <c r="D446" i="1"/>
  <c r="E446" i="1"/>
  <c r="F446" i="1"/>
  <c r="G446" i="1"/>
  <c r="C449" i="1"/>
  <c r="D449" i="1"/>
  <c r="E449" i="1"/>
  <c r="F449" i="1"/>
  <c r="G449" i="1"/>
  <c r="C455" i="1"/>
  <c r="D455" i="1"/>
  <c r="E455" i="1"/>
  <c r="F455" i="1"/>
  <c r="G455" i="1"/>
  <c r="C469" i="1"/>
  <c r="D469" i="1"/>
  <c r="E469" i="1"/>
  <c r="F469" i="1"/>
  <c r="G469" i="1"/>
  <c r="C472" i="1"/>
  <c r="D472" i="1"/>
  <c r="E472" i="1"/>
  <c r="F472" i="1"/>
  <c r="G472" i="1"/>
  <c r="C476" i="1"/>
  <c r="C25" i="1" s="1"/>
  <c r="D476" i="1"/>
  <c r="D25" i="1" s="1"/>
  <c r="E476" i="1"/>
  <c r="E25" i="1" s="1"/>
  <c r="F476" i="1"/>
  <c r="F25" i="1" s="1"/>
  <c r="G476" i="1"/>
  <c r="G25" i="1" s="1"/>
  <c r="C481" i="1"/>
  <c r="C26" i="1" s="1"/>
  <c r="D481" i="1"/>
  <c r="D26" i="1" s="1"/>
  <c r="E481" i="1"/>
  <c r="E26" i="1" s="1"/>
  <c r="F481" i="1"/>
  <c r="F26" i="1" s="1"/>
  <c r="G481" i="1"/>
  <c r="G26" i="1" s="1"/>
  <c r="E486" i="1"/>
  <c r="G486" i="1"/>
  <c r="C487" i="1"/>
  <c r="C490" i="1"/>
  <c r="F492" i="1"/>
  <c r="F28" i="1" s="1"/>
  <c r="C493" i="1"/>
  <c r="C496" i="1"/>
  <c r="D496" i="1"/>
  <c r="D492" i="1" s="1"/>
  <c r="D28" i="1" s="1"/>
  <c r="E496" i="1"/>
  <c r="E492" i="1" s="1"/>
  <c r="E28" i="1" s="1"/>
  <c r="G496" i="1"/>
  <c r="G492" i="1" s="1"/>
  <c r="G28" i="1" s="1"/>
  <c r="C503" i="1"/>
  <c r="C29" i="1" s="1"/>
  <c r="E503" i="1"/>
  <c r="E29" i="1" s="1"/>
  <c r="G503" i="1"/>
  <c r="G29" i="1" s="1"/>
  <c r="C507" i="1"/>
  <c r="C30" i="1" s="1"/>
  <c r="D507" i="1"/>
  <c r="D30" i="1" s="1"/>
  <c r="E507" i="1"/>
  <c r="E30" i="1" s="1"/>
  <c r="F507" i="1"/>
  <c r="F30" i="1" s="1"/>
  <c r="G507" i="1"/>
  <c r="G30" i="1" s="1"/>
  <c r="D514" i="1"/>
  <c r="E514" i="1"/>
  <c r="F514" i="1"/>
  <c r="G514" i="1"/>
  <c r="D515" i="1"/>
  <c r="E515" i="1"/>
  <c r="F515" i="1"/>
  <c r="D516" i="1"/>
  <c r="E516" i="1"/>
  <c r="F516" i="1"/>
  <c r="D518" i="1"/>
  <c r="E518" i="1"/>
  <c r="F518" i="1"/>
  <c r="C519" i="1"/>
  <c r="C520" i="1"/>
  <c r="G520" i="1"/>
  <c r="G521" i="1"/>
  <c r="D523" i="1"/>
  <c r="E523" i="1"/>
  <c r="F523" i="1"/>
  <c r="G523" i="1"/>
  <c r="C524" i="1"/>
  <c r="C523" i="1" s="1"/>
  <c r="D528" i="1"/>
  <c r="E528" i="1"/>
  <c r="F528" i="1"/>
  <c r="C529" i="1"/>
  <c r="C530" i="1"/>
  <c r="G530" i="1"/>
  <c r="G528" i="1" s="1"/>
  <c r="C531" i="1"/>
  <c r="C516" i="1" s="1"/>
  <c r="C534" i="1"/>
  <c r="D535" i="1"/>
  <c r="E535" i="1"/>
  <c r="F535" i="1"/>
  <c r="G535" i="1"/>
  <c r="C536" i="1"/>
  <c r="D536" i="1"/>
  <c r="E536" i="1"/>
  <c r="F536" i="1"/>
  <c r="D537" i="1"/>
  <c r="E537" i="1"/>
  <c r="F537" i="1"/>
  <c r="D539" i="1"/>
  <c r="E539" i="1"/>
  <c r="F539" i="1"/>
  <c r="C540" i="1"/>
  <c r="C542" i="1"/>
  <c r="G542" i="1"/>
  <c r="D544" i="1"/>
  <c r="E544" i="1"/>
  <c r="F544" i="1"/>
  <c r="G544" i="1"/>
  <c r="C545" i="1"/>
  <c r="D549" i="1"/>
  <c r="E549" i="1"/>
  <c r="F549" i="1"/>
  <c r="C550" i="1"/>
  <c r="C549" i="1" s="1"/>
  <c r="G551" i="1"/>
  <c r="G552" i="1"/>
  <c r="D554" i="1"/>
  <c r="E554" i="1"/>
  <c r="F554" i="1"/>
  <c r="C555" i="1"/>
  <c r="C554" i="1" s="1"/>
  <c r="C557" i="1"/>
  <c r="G557" i="1"/>
  <c r="G554" i="1" s="1"/>
  <c r="D560" i="1"/>
  <c r="D559" i="1" s="1"/>
  <c r="E560" i="1"/>
  <c r="E559" i="1" s="1"/>
  <c r="F560" i="1"/>
  <c r="F559" i="1" s="1"/>
  <c r="C561" i="1"/>
  <c r="C562" i="1"/>
  <c r="C563" i="1"/>
  <c r="G563" i="1"/>
  <c r="G560" i="1" s="1"/>
  <c r="G559" i="1" s="1"/>
  <c r="D566" i="1"/>
  <c r="E566" i="1"/>
  <c r="F566" i="1"/>
  <c r="C567" i="1"/>
  <c r="C568" i="1"/>
  <c r="G568" i="1"/>
  <c r="G566" i="1" s="1"/>
  <c r="C569" i="1"/>
  <c r="C570" i="1"/>
  <c r="D570" i="1"/>
  <c r="E570" i="1"/>
  <c r="F570" i="1"/>
  <c r="G571" i="1"/>
  <c r="G570" i="1" s="1"/>
  <c r="D573" i="1"/>
  <c r="E573" i="1"/>
  <c r="F573" i="1"/>
  <c r="G573" i="1"/>
  <c r="C577" i="1"/>
  <c r="C573" i="1" s="1"/>
  <c r="C578" i="1"/>
  <c r="D578" i="1"/>
  <c r="E578" i="1"/>
  <c r="F578" i="1"/>
  <c r="G578" i="1"/>
  <c r="D583" i="1"/>
  <c r="D581" i="1" s="1"/>
  <c r="E583" i="1"/>
  <c r="E581" i="1" s="1"/>
  <c r="F583" i="1"/>
  <c r="F581" i="1" s="1"/>
  <c r="C584" i="1"/>
  <c r="C583" i="1" s="1"/>
  <c r="C581" i="1" s="1"/>
  <c r="G587" i="1"/>
  <c r="G583" i="1" s="1"/>
  <c r="G581" i="1" s="1"/>
  <c r="C588" i="1"/>
  <c r="D588" i="1"/>
  <c r="E588" i="1"/>
  <c r="F588" i="1"/>
  <c r="G588" i="1"/>
  <c r="D591" i="1"/>
  <c r="D590" i="1" s="1"/>
  <c r="E591" i="1"/>
  <c r="E590" i="1" s="1"/>
  <c r="F591" i="1"/>
  <c r="F590" i="1" s="1"/>
  <c r="C603" i="1"/>
  <c r="C591" i="1" s="1"/>
  <c r="C590" i="1" s="1"/>
  <c r="G603" i="1"/>
  <c r="G591" i="1" s="1"/>
  <c r="G590" i="1" s="1"/>
  <c r="C606" i="1"/>
  <c r="C605" i="1" s="1"/>
  <c r="G606" i="1"/>
  <c r="G604" i="1" s="1"/>
  <c r="G35" i="1" s="1"/>
  <c r="C609" i="1"/>
  <c r="C610" i="1"/>
  <c r="C611" i="1"/>
  <c r="C613" i="1"/>
  <c r="D614" i="1"/>
  <c r="D608" i="1" s="1"/>
  <c r="D36" i="1" s="1"/>
  <c r="E614" i="1"/>
  <c r="E608" i="1" s="1"/>
  <c r="E36" i="1" s="1"/>
  <c r="F614" i="1"/>
  <c r="F608" i="1" s="1"/>
  <c r="F36" i="1" s="1"/>
  <c r="C615" i="1"/>
  <c r="G615" i="1"/>
  <c r="C616" i="1"/>
  <c r="C617" i="1"/>
  <c r="C618" i="1"/>
  <c r="C619" i="1"/>
  <c r="G619" i="1"/>
  <c r="C622" i="1"/>
  <c r="C623" i="1"/>
  <c r="C626" i="1"/>
  <c r="D627" i="1"/>
  <c r="D625" i="1" s="1"/>
  <c r="D37" i="1" s="1"/>
  <c r="E627" i="1"/>
  <c r="E625" i="1" s="1"/>
  <c r="E37" i="1" s="1"/>
  <c r="F627" i="1"/>
  <c r="F625" i="1" s="1"/>
  <c r="F37" i="1" s="1"/>
  <c r="C628" i="1"/>
  <c r="C629" i="1"/>
  <c r="C630" i="1"/>
  <c r="G630" i="1"/>
  <c r="G627" i="1" s="1"/>
  <c r="G625" i="1" s="1"/>
  <c r="G37" i="1" s="1"/>
  <c r="C638" i="1"/>
  <c r="D638" i="1"/>
  <c r="E638" i="1"/>
  <c r="F638" i="1"/>
  <c r="G638" i="1"/>
  <c r="C642" i="1"/>
  <c r="D642" i="1"/>
  <c r="E642" i="1"/>
  <c r="F642" i="1"/>
  <c r="G642" i="1"/>
  <c r="C644" i="1"/>
  <c r="D644" i="1"/>
  <c r="E644" i="1"/>
  <c r="F644" i="1"/>
  <c r="G644" i="1"/>
  <c r="C646" i="1"/>
  <c r="D646" i="1"/>
  <c r="E646" i="1"/>
  <c r="F646" i="1"/>
  <c r="G646" i="1"/>
  <c r="C649" i="1"/>
  <c r="D649" i="1"/>
  <c r="E649" i="1"/>
  <c r="F649" i="1"/>
  <c r="G649" i="1"/>
  <c r="C651" i="1"/>
  <c r="D651" i="1"/>
  <c r="E651" i="1"/>
  <c r="F651" i="1"/>
  <c r="G651" i="1"/>
  <c r="C653" i="1"/>
  <c r="D653" i="1"/>
  <c r="E653" i="1"/>
  <c r="F653" i="1"/>
  <c r="G653" i="1"/>
  <c r="C655" i="1"/>
  <c r="D655" i="1"/>
  <c r="E655" i="1"/>
  <c r="F655" i="1"/>
  <c r="G655" i="1"/>
  <c r="C663" i="1"/>
  <c r="C662" i="1" s="1"/>
  <c r="C40" i="1" s="1"/>
  <c r="D663" i="1"/>
  <c r="D662" i="1" s="1"/>
  <c r="D40" i="1" s="1"/>
  <c r="E663" i="1"/>
  <c r="E662" i="1" s="1"/>
  <c r="E40" i="1" s="1"/>
  <c r="F663" i="1"/>
  <c r="F662" i="1" s="1"/>
  <c r="F40" i="1" s="1"/>
  <c r="G663" i="1"/>
  <c r="G662" i="1" s="1"/>
  <c r="G40" i="1" s="1"/>
  <c r="C674" i="1"/>
  <c r="C673" i="1" s="1"/>
  <c r="C41" i="1" s="1"/>
  <c r="G674" i="1"/>
  <c r="G673" i="1" s="1"/>
  <c r="G41" i="1" s="1"/>
  <c r="E675" i="1"/>
  <c r="E42" i="1" s="1"/>
  <c r="E676" i="1"/>
  <c r="E43" i="1" s="1"/>
  <c r="E677" i="1"/>
  <c r="E44" i="1" s="1"/>
  <c r="C687" i="1"/>
  <c r="E687" i="1"/>
  <c r="F687" i="1"/>
  <c r="D688" i="1"/>
  <c r="G689" i="1"/>
  <c r="G687" i="1" s="1"/>
  <c r="D690" i="1"/>
  <c r="C694" i="1"/>
  <c r="E694" i="1"/>
  <c r="F694" i="1"/>
  <c r="D696" i="1"/>
  <c r="D697" i="1"/>
  <c r="G698" i="1"/>
  <c r="G694" i="1" s="1"/>
  <c r="C706" i="1"/>
  <c r="F706" i="1"/>
  <c r="G706" i="1"/>
  <c r="D707" i="1"/>
  <c r="E707" i="1"/>
  <c r="E706" i="1" s="1"/>
  <c r="E705" i="1" s="1"/>
  <c r="E704" i="1" s="1"/>
  <c r="D708" i="1"/>
  <c r="C711" i="1"/>
  <c r="E711" i="1"/>
  <c r="F711" i="1"/>
  <c r="G711" i="1"/>
  <c r="D712" i="1"/>
  <c r="D711" i="1" s="1"/>
  <c r="E718" i="1"/>
  <c r="F718" i="1"/>
  <c r="G718" i="1"/>
  <c r="C719" i="1"/>
  <c r="C718" i="1" s="1"/>
  <c r="D719" i="1"/>
  <c r="D718" i="1" s="1"/>
  <c r="E722" i="1"/>
  <c r="C723" i="1"/>
  <c r="F723" i="1"/>
  <c r="G723" i="1"/>
  <c r="D724" i="1"/>
  <c r="D723" i="1" s="1"/>
  <c r="F726" i="1"/>
  <c r="G726" i="1"/>
  <c r="C727" i="1"/>
  <c r="C726" i="1" s="1"/>
  <c r="C722" i="1" s="1"/>
  <c r="D727" i="1"/>
  <c r="D726" i="1" s="1"/>
  <c r="C730" i="1"/>
  <c r="D730" i="1"/>
  <c r="F730" i="1"/>
  <c r="G730" i="1"/>
  <c r="E735" i="1"/>
  <c r="F735" i="1"/>
  <c r="G735" i="1"/>
  <c r="C736" i="1"/>
  <c r="D736" i="1"/>
  <c r="D737" i="1"/>
  <c r="C738" i="1"/>
  <c r="C747" i="1"/>
  <c r="D747" i="1"/>
  <c r="E747" i="1"/>
  <c r="F747" i="1"/>
  <c r="G747" i="1"/>
  <c r="E751" i="1"/>
  <c r="C753" i="1"/>
  <c r="C751" i="1" s="1"/>
  <c r="D753" i="1"/>
  <c r="D751" i="1" s="1"/>
  <c r="F753" i="1"/>
  <c r="F751" i="1" s="1"/>
  <c r="G753" i="1"/>
  <c r="G751" i="1" s="1"/>
  <c r="F756" i="1"/>
  <c r="D757" i="1"/>
  <c r="C758" i="1"/>
  <c r="C756" i="1" s="1"/>
  <c r="E758" i="1"/>
  <c r="E756" i="1" s="1"/>
  <c r="G758" i="1"/>
  <c r="G756" i="1" s="1"/>
  <c r="F759" i="1"/>
  <c r="D760" i="1"/>
  <c r="D758" i="1" s="1"/>
  <c r="C764" i="1"/>
  <c r="D764" i="1"/>
  <c r="E764" i="1"/>
  <c r="F764" i="1"/>
  <c r="C768" i="1"/>
  <c r="C766" i="1"/>
  <c r="E768" i="1"/>
  <c r="E766" i="1" s="1"/>
  <c r="F768" i="1"/>
  <c r="F766" i="1" s="1"/>
  <c r="G768" i="1"/>
  <c r="G766" i="1" s="1"/>
  <c r="D770" i="1"/>
  <c r="D771" i="1"/>
  <c r="D772" i="1"/>
  <c r="D773" i="1"/>
  <c r="D776" i="1"/>
  <c r="D778" i="1"/>
  <c r="F779" i="1"/>
  <c r="E783" i="1"/>
  <c r="F783" i="1"/>
  <c r="G783" i="1"/>
  <c r="C784" i="1"/>
  <c r="C783" i="1" s="1"/>
  <c r="D784" i="1"/>
  <c r="D786" i="1"/>
  <c r="D787" i="1"/>
  <c r="D790" i="1"/>
  <c r="C798" i="1"/>
  <c r="D798" i="1"/>
  <c r="E798" i="1"/>
  <c r="F798" i="1"/>
  <c r="G798" i="1"/>
  <c r="E803" i="1"/>
  <c r="G803" i="1"/>
  <c r="D805" i="1"/>
  <c r="C808" i="1"/>
  <c r="C803" i="1" s="1"/>
  <c r="D808" i="1"/>
  <c r="D811" i="1"/>
  <c r="F811" i="1"/>
  <c r="F803" i="1" s="1"/>
  <c r="E820" i="1"/>
  <c r="E818" i="1" s="1"/>
  <c r="F820" i="1"/>
  <c r="F818" i="1" s="1"/>
  <c r="F816" i="1" s="1"/>
  <c r="G820" i="1"/>
  <c r="G818" i="1" s="1"/>
  <c r="C821" i="1"/>
  <c r="C820" i="1" s="1"/>
  <c r="C818" i="1" s="1"/>
  <c r="D821" i="1"/>
  <c r="D820" i="1" s="1"/>
  <c r="D818" i="1" s="1"/>
  <c r="E831" i="1"/>
  <c r="E829" i="1" s="1"/>
  <c r="F831" i="1"/>
  <c r="F829" i="1" s="1"/>
  <c r="G831" i="1"/>
  <c r="G829" i="1" s="1"/>
  <c r="D833" i="1"/>
  <c r="C835" i="1"/>
  <c r="C831" i="1" s="1"/>
  <c r="C829" i="1" s="1"/>
  <c r="C816" i="1" s="1"/>
  <c r="D835" i="1"/>
  <c r="D831" i="1" s="1"/>
  <c r="D829" i="1" s="1"/>
  <c r="D836" i="1"/>
  <c r="D842" i="1"/>
  <c r="E843" i="1"/>
  <c r="F843" i="1"/>
  <c r="G843" i="1"/>
  <c r="D844" i="1"/>
  <c r="D845" i="1"/>
  <c r="D847" i="1"/>
  <c r="C848" i="1"/>
  <c r="C843" i="1" s="1"/>
  <c r="D848" i="1"/>
  <c r="C854" i="1"/>
  <c r="C849" i="1" s="1"/>
  <c r="E854" i="1"/>
  <c r="E849" i="1" s="1"/>
  <c r="F854" i="1"/>
  <c r="F849" i="1"/>
  <c r="G854" i="1"/>
  <c r="G849" i="1" s="1"/>
  <c r="D858" i="1"/>
  <c r="D860" i="1"/>
  <c r="D861" i="1"/>
  <c r="D862" i="1"/>
  <c r="C872" i="1"/>
  <c r="D872" i="1"/>
  <c r="E872" i="1"/>
  <c r="C876" i="1"/>
  <c r="C875" i="1" s="1"/>
  <c r="E876" i="1"/>
  <c r="E875" i="1" s="1"/>
  <c r="F876" i="1"/>
  <c r="F875" i="1" s="1"/>
  <c r="G876" i="1"/>
  <c r="G875" i="1" s="1"/>
  <c r="D878" i="1"/>
  <c r="D876" i="1" s="1"/>
  <c r="D875" i="1" s="1"/>
  <c r="D879" i="1"/>
  <c r="E879" i="1"/>
  <c r="F879" i="1"/>
  <c r="G879" i="1"/>
  <c r="C880" i="1"/>
  <c r="C879" i="1" s="1"/>
  <c r="C886" i="1"/>
  <c r="D886" i="1"/>
  <c r="E886" i="1"/>
  <c r="F886" i="1"/>
  <c r="C891" i="1"/>
  <c r="C885" i="1" s="1"/>
  <c r="C47" i="1" s="1"/>
  <c r="D891" i="1"/>
  <c r="E891" i="1"/>
  <c r="F891" i="1"/>
  <c r="G891" i="1"/>
  <c r="G885" i="1" s="1"/>
  <c r="G47" i="1" s="1"/>
  <c r="C901" i="1"/>
  <c r="D901" i="1"/>
  <c r="E901" i="1"/>
  <c r="F901" i="1"/>
  <c r="G901" i="1"/>
  <c r="D902" i="1"/>
  <c r="E902" i="1"/>
  <c r="F902" i="1"/>
  <c r="D906" i="1"/>
  <c r="E906" i="1"/>
  <c r="F906" i="1"/>
  <c r="G906" i="1"/>
  <c r="C907" i="1"/>
  <c r="C906" i="1" s="1"/>
  <c r="C910" i="1"/>
  <c r="D910" i="1"/>
  <c r="E910" i="1"/>
  <c r="F910" i="1"/>
  <c r="G910" i="1"/>
  <c r="C913" i="1"/>
  <c r="D913" i="1"/>
  <c r="E913" i="1"/>
  <c r="F913" i="1"/>
  <c r="G913" i="1"/>
  <c r="D919" i="1"/>
  <c r="E919" i="1"/>
  <c r="F919" i="1"/>
  <c r="C920" i="1"/>
  <c r="C919" i="1" s="1"/>
  <c r="G921" i="1"/>
  <c r="G919" i="1" s="1"/>
  <c r="G536" i="1"/>
  <c r="C515" i="1"/>
  <c r="D885" i="1"/>
  <c r="D47" i="1" s="1"/>
  <c r="G539" i="1"/>
  <c r="G432" i="1"/>
  <c r="G23" i="1" s="1"/>
  <c r="C432" i="1"/>
  <c r="C23" i="1"/>
  <c r="D355" i="1"/>
  <c r="D21" i="1" s="1"/>
  <c r="C735" i="1" l="1"/>
  <c r="C492" i="1"/>
  <c r="C28" i="1" s="1"/>
  <c r="C280" i="1"/>
  <c r="C17" i="1" s="1"/>
  <c r="E267" i="1"/>
  <c r="E16" i="1" s="1"/>
  <c r="G104" i="1"/>
  <c r="G605" i="1"/>
  <c r="F899" i="1"/>
  <c r="F49" i="1" s="1"/>
  <c r="C705" i="1"/>
  <c r="C704" i="1" s="1"/>
  <c r="C702" i="1" s="1"/>
  <c r="C46" i="1" s="1"/>
  <c r="G679" i="1"/>
  <c r="G45" i="1" s="1"/>
  <c r="C254" i="1"/>
  <c r="C9" i="1" s="1"/>
  <c r="G515" i="1"/>
  <c r="G549" i="1"/>
  <c r="C539" i="1"/>
  <c r="F705" i="1"/>
  <c r="C566" i="1"/>
  <c r="E674" i="1"/>
  <c r="E673" i="1" s="1"/>
  <c r="E41" i="1" s="1"/>
  <c r="D533" i="1"/>
  <c r="G370" i="1"/>
  <c r="F355" i="1"/>
  <c r="F21" i="1" s="1"/>
  <c r="G280" i="1"/>
  <c r="G17" i="1" s="1"/>
  <c r="E679" i="1"/>
  <c r="E45" i="1" s="1"/>
  <c r="D687" i="1"/>
  <c r="G634" i="1"/>
  <c r="G39" i="1" s="1"/>
  <c r="C634" i="1"/>
  <c r="C39" i="1" s="1"/>
  <c r="C627" i="1"/>
  <c r="E513" i="1"/>
  <c r="E370" i="1"/>
  <c r="E22" i="1" s="1"/>
  <c r="F370" i="1"/>
  <c r="F22" i="1" s="1"/>
  <c r="F280" i="1"/>
  <c r="F17" i="1" s="1"/>
  <c r="F177" i="1"/>
  <c r="F6" i="1" s="1"/>
  <c r="G177" i="1"/>
  <c r="G6" i="1" s="1"/>
  <c r="D177" i="1"/>
  <c r="D6" i="1" s="1"/>
  <c r="F53" i="1"/>
  <c r="F4" i="1" s="1"/>
  <c r="E53" i="1"/>
  <c r="D899" i="1"/>
  <c r="D49" i="1" s="1"/>
  <c r="D803" i="1"/>
  <c r="D768" i="1"/>
  <c r="D766" i="1" s="1"/>
  <c r="G705" i="1"/>
  <c r="D694" i="1"/>
  <c r="D679" i="1" s="1"/>
  <c r="D45" i="1" s="1"/>
  <c r="G614" i="1"/>
  <c r="G608" i="1" s="1"/>
  <c r="G36" i="1" s="1"/>
  <c r="C560" i="1"/>
  <c r="C559" i="1" s="1"/>
  <c r="G518" i="1"/>
  <c r="F445" i="1"/>
  <c r="F24" i="1" s="1"/>
  <c r="G445" i="1"/>
  <c r="G354" i="1" s="1"/>
  <c r="D445" i="1"/>
  <c r="D24" i="1" s="1"/>
  <c r="F432" i="1"/>
  <c r="F23" i="1" s="1"/>
  <c r="D370" i="1"/>
  <c r="G254" i="1"/>
  <c r="C87" i="1"/>
  <c r="C5" i="1" s="1"/>
  <c r="C267" i="1"/>
  <c r="C633" i="1"/>
  <c r="C38" i="1" s="1"/>
  <c r="F315" i="1"/>
  <c r="F19" i="1" s="1"/>
  <c r="E885" i="1"/>
  <c r="E47" i="1" s="1"/>
  <c r="F565" i="1"/>
  <c r="G899" i="1"/>
  <c r="G49" i="1" s="1"/>
  <c r="F679" i="1"/>
  <c r="F45" i="1" s="1"/>
  <c r="C604" i="1"/>
  <c r="C35" i="1" s="1"/>
  <c r="D513" i="1"/>
  <c r="E432" i="1"/>
  <c r="E23" i="1" s="1"/>
  <c r="D254" i="1"/>
  <c r="D9" i="1" s="1"/>
  <c r="D198" i="1"/>
  <c r="D7" i="1" s="1"/>
  <c r="C528" i="1"/>
  <c r="G816" i="1"/>
  <c r="G782" i="1" s="1"/>
  <c r="G746" i="1"/>
  <c r="G734" i="1" s="1"/>
  <c r="C746" i="1"/>
  <c r="C734" i="1" s="1"/>
  <c r="F722" i="1"/>
  <c r="D706" i="1"/>
  <c r="D705" i="1" s="1"/>
  <c r="D704" i="1" s="1"/>
  <c r="C625" i="1"/>
  <c r="C37" i="1" s="1"/>
  <c r="C614" i="1"/>
  <c r="C608" i="1" s="1"/>
  <c r="C36" i="1" s="1"/>
  <c r="C535" i="1"/>
  <c r="F533" i="1"/>
  <c r="D432" i="1"/>
  <c r="D23" i="1" s="1"/>
  <c r="C355" i="1"/>
  <c r="C21" i="1" s="1"/>
  <c r="D280" i="1"/>
  <c r="D17" i="1" s="1"/>
  <c r="E198" i="1"/>
  <c r="D53" i="1"/>
  <c r="D4" i="1" s="1"/>
  <c r="D565" i="1"/>
  <c r="G87" i="1"/>
  <c r="F885" i="1"/>
  <c r="F47" i="1" s="1"/>
  <c r="F782" i="1"/>
  <c r="C679" i="1"/>
  <c r="C45" i="1" s="1"/>
  <c r="C514" i="1"/>
  <c r="C513" i="1" s="1"/>
  <c r="F513" i="1"/>
  <c r="C445" i="1"/>
  <c r="C24" i="1" s="1"/>
  <c r="E315" i="1"/>
  <c r="E19" i="1" s="1"/>
  <c r="E280" i="1"/>
  <c r="E17" i="1" s="1"/>
  <c r="C198" i="1"/>
  <c r="C7" i="1" s="1"/>
  <c r="E87" i="1"/>
  <c r="D87" i="1"/>
  <c r="D5" i="1" s="1"/>
  <c r="H3" i="2"/>
  <c r="H4" i="2"/>
  <c r="D22" i="1"/>
  <c r="C899" i="1"/>
  <c r="C49" i="1" s="1"/>
  <c r="C782" i="1"/>
  <c r="D722" i="1"/>
  <c r="C565" i="1"/>
  <c r="G20" i="1"/>
  <c r="E746" i="1"/>
  <c r="E734" i="1" s="1"/>
  <c r="E565" i="1"/>
  <c r="C315" i="1"/>
  <c r="C19" i="1" s="1"/>
  <c r="F87" i="1"/>
  <c r="F5" i="1" s="1"/>
  <c r="C16" i="1"/>
  <c r="E899" i="1"/>
  <c r="E49" i="1" s="1"/>
  <c r="D854" i="1"/>
  <c r="D849" i="1" s="1"/>
  <c r="D816" i="1"/>
  <c r="D634" i="1"/>
  <c r="E634" i="1"/>
  <c r="G565" i="1"/>
  <c r="G633" i="1"/>
  <c r="G38" i="1" s="1"/>
  <c r="C370" i="1"/>
  <c r="C53" i="1"/>
  <c r="F704" i="1"/>
  <c r="D843" i="1"/>
  <c r="E816" i="1"/>
  <c r="E782" i="1" s="1"/>
  <c r="E702" i="1" s="1"/>
  <c r="D783" i="1"/>
  <c r="D756" i="1"/>
  <c r="D746" i="1" s="1"/>
  <c r="F746" i="1"/>
  <c r="F734" i="1" s="1"/>
  <c r="F634" i="1"/>
  <c r="C544" i="1"/>
  <c r="G516" i="1"/>
  <c r="G513" i="1" s="1"/>
  <c r="C518" i="1"/>
  <c r="D315" i="1"/>
  <c r="D19" i="1" s="1"/>
  <c r="D267" i="1"/>
  <c r="D735" i="1"/>
  <c r="G537" i="1"/>
  <c r="G533" i="1" s="1"/>
  <c r="E533" i="1"/>
  <c r="E512" i="1" s="1"/>
  <c r="C486" i="1"/>
  <c r="C27" i="1" s="1"/>
  <c r="E355" i="1"/>
  <c r="G315" i="1"/>
  <c r="G19" i="1" s="1"/>
  <c r="G267" i="1"/>
  <c r="F198" i="1"/>
  <c r="F7" i="1" s="1"/>
  <c r="G198" i="1"/>
  <c r="G53" i="1"/>
  <c r="G722" i="1"/>
  <c r="G704" i="1" s="1"/>
  <c r="C537" i="1"/>
  <c r="C533" i="1" s="1"/>
  <c r="E445" i="1"/>
  <c r="E24" i="1" s="1"/>
  <c r="F267" i="1"/>
  <c r="E177" i="1"/>
  <c r="F354" i="1" l="1"/>
  <c r="F20" i="1" s="1"/>
  <c r="E252" i="1"/>
  <c r="E263" i="1" s="1"/>
  <c r="F512" i="1"/>
  <c r="F32" i="1" s="1"/>
  <c r="C512" i="1"/>
  <c r="G702" i="1"/>
  <c r="D512" i="1"/>
  <c r="D511" i="1" s="1"/>
  <c r="D31" i="1" s="1"/>
  <c r="F511" i="1"/>
  <c r="F31" i="1" s="1"/>
  <c r="D354" i="1"/>
  <c r="D20" i="1" s="1"/>
  <c r="E266" i="1"/>
  <c r="E15" i="1" s="1"/>
  <c r="D252" i="1"/>
  <c r="D263" i="1" s="1"/>
  <c r="D10" i="1" s="1"/>
  <c r="G512" i="1"/>
  <c r="G511" i="1" s="1"/>
  <c r="C32" i="1"/>
  <c r="C511" i="1"/>
  <c r="C31" i="1" s="1"/>
  <c r="C4" i="1"/>
  <c r="C252" i="1"/>
  <c r="C263" i="1" s="1"/>
  <c r="C10" i="1" s="1"/>
  <c r="F266" i="1"/>
  <c r="F16" i="1"/>
  <c r="G16" i="1"/>
  <c r="G266" i="1"/>
  <c r="F39" i="1"/>
  <c r="F633" i="1"/>
  <c r="F38" i="1" s="1"/>
  <c r="D782" i="1"/>
  <c r="C22" i="1"/>
  <c r="C354" i="1"/>
  <c r="C20" i="1" s="1"/>
  <c r="F252" i="1"/>
  <c r="C266" i="1"/>
  <c r="D39" i="1"/>
  <c r="D633" i="1"/>
  <c r="D38" i="1" s="1"/>
  <c r="D8" i="1"/>
  <c r="G252" i="1"/>
  <c r="G263" i="1" s="1"/>
  <c r="E21" i="1"/>
  <c r="E354" i="1"/>
  <c r="E20" i="1" s="1"/>
  <c r="D734" i="1"/>
  <c r="D16" i="1"/>
  <c r="D266" i="1"/>
  <c r="F702" i="1"/>
  <c r="F46" i="1" s="1"/>
  <c r="E511" i="1"/>
  <c r="E31" i="1" s="1"/>
  <c r="E32" i="1"/>
  <c r="E633" i="1"/>
  <c r="E38" i="1" s="1"/>
  <c r="E39" i="1"/>
  <c r="D32" i="1" l="1"/>
  <c r="D702" i="1"/>
  <c r="D46" i="1" s="1"/>
  <c r="F263" i="1"/>
  <c r="F10" i="1" s="1"/>
  <c r="F8" i="1"/>
  <c r="G922" i="1"/>
  <c r="G15" i="1"/>
  <c r="D922" i="1"/>
  <c r="D50" i="1" s="1"/>
  <c r="D12" i="1" s="1"/>
  <c r="D15" i="1"/>
  <c r="C922" i="1"/>
  <c r="C50" i="1" s="1"/>
  <c r="C12" i="1" s="1"/>
  <c r="C15" i="1"/>
  <c r="E922" i="1"/>
  <c r="F922" i="1"/>
  <c r="F50" i="1" s="1"/>
  <c r="F12" i="1" s="1"/>
  <c r="F15" i="1"/>
</calcChain>
</file>

<file path=xl/comments1.xml><?xml version="1.0" encoding="utf-8"?>
<comments xmlns="http://schemas.openxmlformats.org/spreadsheetml/2006/main">
  <authors>
    <author xml:space="preserve"> </author>
  </authors>
  <commentList>
    <comment ref="H628" authorId="0" shapeId="0">
      <text>
        <r>
          <rPr>
            <b/>
            <sz val="9"/>
            <color indexed="8"/>
            <rFont val="Tahoma"/>
            <family val="2"/>
            <charset val="238"/>
          </rPr>
          <t xml:space="preserve">Jana Holíková:
</t>
        </r>
        <r>
          <rPr>
            <sz val="9"/>
            <color indexed="8"/>
            <rFont val="Tahoma"/>
            <family val="2"/>
            <charset val="238"/>
          </rPr>
          <t>0381 019 6171:
50xx  43.827.695
5424     247.607
5167     507.759,10
5173     122.275
5192-5     0
------------------------
cel     44.952.943,10</t>
        </r>
      </text>
    </comment>
    <comment ref="D767" authorId="0" shapeId="0">
      <text>
        <r>
          <rPr>
            <b/>
            <sz val="9"/>
            <color indexed="8"/>
            <rFont val="Tahoma"/>
            <family val="2"/>
            <charset val="238"/>
          </rPr>
          <t xml:space="preserve">Gabriela Vlčková:
</t>
        </r>
        <r>
          <rPr>
            <sz val="9"/>
            <color indexed="8"/>
            <rFont val="Tahoma"/>
            <family val="2"/>
            <charset val="238"/>
          </rPr>
          <t>+391 tis. dotace</t>
        </r>
      </text>
    </comment>
    <comment ref="D812" authorId="0" shapeId="0">
      <text>
        <r>
          <rPr>
            <b/>
            <sz val="9"/>
            <color indexed="8"/>
            <rFont val="Tahoma"/>
            <family val="2"/>
            <charset val="238"/>
          </rPr>
          <t xml:space="preserve">Gabriela Vlčková:
</t>
        </r>
        <r>
          <rPr>
            <sz val="9"/>
            <color indexed="8"/>
            <rFont val="Tahoma"/>
            <family val="2"/>
            <charset val="238"/>
          </rPr>
          <t>+10.450 mimoř. Př.</t>
        </r>
      </text>
    </comment>
  </commentList>
</comments>
</file>

<file path=xl/comments2.xml><?xml version="1.0" encoding="utf-8"?>
<comments xmlns="http://schemas.openxmlformats.org/spreadsheetml/2006/main">
  <authors>
    <author>Jana Holíková</author>
  </authors>
  <commentList>
    <comment ref="D38" authorId="0" shapeId="0">
      <text>
        <r>
          <rPr>
            <b/>
            <sz val="9"/>
            <color indexed="81"/>
            <rFont val="Tahoma"/>
            <family val="2"/>
            <charset val="238"/>
          </rPr>
          <t>Jana Holíková:</t>
        </r>
        <r>
          <rPr>
            <sz val="9"/>
            <color indexed="81"/>
            <rFont val="Tahoma"/>
            <family val="2"/>
            <charset val="238"/>
          </rPr>
          <t xml:space="preserve">
24049/04 +16.435.050</t>
        </r>
      </text>
    </comment>
    <comment ref="D42" authorId="0" shapeId="0">
      <text>
        <r>
          <rPr>
            <b/>
            <sz val="9"/>
            <color indexed="81"/>
            <rFont val="Tahoma"/>
            <family val="2"/>
            <charset val="238"/>
          </rPr>
          <t>Jana Holíková:</t>
        </r>
        <r>
          <rPr>
            <sz val="9"/>
            <color indexed="81"/>
            <rFont val="Tahoma"/>
            <family val="2"/>
            <charset val="238"/>
          </rPr>
          <t xml:space="preserve">
24045.03 +32.200</t>
        </r>
      </text>
    </comment>
    <comment ref="D61" authorId="0" shapeId="0">
      <text>
        <r>
          <rPr>
            <b/>
            <sz val="9"/>
            <color indexed="81"/>
            <rFont val="Tahoma"/>
            <family val="2"/>
            <charset val="238"/>
          </rPr>
          <t>Jana Holíková:</t>
        </r>
        <r>
          <rPr>
            <sz val="9"/>
            <color indexed="81"/>
            <rFont val="Tahoma"/>
            <family val="2"/>
            <charset val="238"/>
          </rPr>
          <t xml:space="preserve">
24045/03 +3.000.000</t>
        </r>
      </text>
    </comment>
    <comment ref="D62" authorId="0" shapeId="0">
      <text>
        <r>
          <rPr>
            <b/>
            <sz val="9"/>
            <color indexed="81"/>
            <rFont val="Tahoma"/>
            <family val="2"/>
            <charset val="238"/>
          </rPr>
          <t>Jana Holíková:</t>
        </r>
        <r>
          <rPr>
            <sz val="9"/>
            <color indexed="81"/>
            <rFont val="Tahoma"/>
            <family val="2"/>
            <charset val="238"/>
          </rPr>
          <t xml:space="preserve">
24045/03 +3.000.000</t>
        </r>
      </text>
    </comment>
    <comment ref="D63" authorId="0" shapeId="0">
      <text>
        <r>
          <rPr>
            <b/>
            <sz val="9"/>
            <color indexed="81"/>
            <rFont val="Tahoma"/>
            <family val="2"/>
            <charset val="238"/>
          </rPr>
          <t>Jana Holíková:</t>
        </r>
        <r>
          <rPr>
            <sz val="9"/>
            <color indexed="81"/>
            <rFont val="Tahoma"/>
            <family val="2"/>
            <charset val="238"/>
          </rPr>
          <t xml:space="preserve">
24045/03 +3.000.000</t>
        </r>
      </text>
    </comment>
    <comment ref="D80" authorId="0" shapeId="0">
      <text>
        <r>
          <rPr>
            <b/>
            <sz val="9"/>
            <color indexed="81"/>
            <rFont val="Tahoma"/>
            <family val="2"/>
            <charset val="238"/>
          </rPr>
          <t>Jana Holíková:</t>
        </r>
        <r>
          <rPr>
            <sz val="9"/>
            <color indexed="81"/>
            <rFont val="Tahoma"/>
            <family val="2"/>
            <charset val="238"/>
          </rPr>
          <t xml:space="preserve">
24012/01 +192.228 (309)
24046/04
+1.009.024,72 (0501)
+ 835.189,98 (0504)
24048/04 -1.196</t>
        </r>
      </text>
    </comment>
    <comment ref="D91" authorId="0" shapeId="0">
      <text>
        <r>
          <rPr>
            <b/>
            <sz val="9"/>
            <color indexed="81"/>
            <rFont val="Tahoma"/>
            <family val="2"/>
            <charset val="238"/>
          </rPr>
          <t>Jana Holíková:</t>
        </r>
        <r>
          <rPr>
            <sz val="9"/>
            <color indexed="81"/>
            <rFont val="Tahoma"/>
            <family val="2"/>
            <charset val="238"/>
          </rPr>
          <t xml:space="preserve">
24017/02 +289.333</t>
        </r>
      </text>
    </comment>
    <comment ref="D92" authorId="0" shapeId="0">
      <text>
        <r>
          <rPr>
            <b/>
            <sz val="9"/>
            <color indexed="81"/>
            <rFont val="Tahoma"/>
            <family val="2"/>
            <charset val="238"/>
          </rPr>
          <t>Jana Holíková:</t>
        </r>
        <r>
          <rPr>
            <sz val="9"/>
            <color indexed="81"/>
            <rFont val="Tahoma"/>
            <family val="2"/>
            <charset val="238"/>
          </rPr>
          <t xml:space="preserve">
24017/02 +289.333</t>
        </r>
      </text>
    </comment>
    <comment ref="D106" authorId="0" shapeId="0">
      <text>
        <r>
          <rPr>
            <b/>
            <sz val="9"/>
            <color indexed="81"/>
            <rFont val="Tahoma"/>
            <family val="2"/>
            <charset val="238"/>
          </rPr>
          <t>Jana Holíková:</t>
        </r>
        <r>
          <rPr>
            <sz val="9"/>
            <color indexed="81"/>
            <rFont val="Tahoma"/>
            <family val="2"/>
            <charset val="238"/>
          </rPr>
          <t xml:space="preserve">
24045/03 +50.700</t>
        </r>
      </text>
    </comment>
    <comment ref="D112" authorId="0" shapeId="0">
      <text>
        <r>
          <rPr>
            <b/>
            <sz val="9"/>
            <color indexed="81"/>
            <rFont val="Tahoma"/>
            <family val="2"/>
            <charset val="238"/>
          </rPr>
          <t>Jana Holíková:</t>
        </r>
        <r>
          <rPr>
            <sz val="9"/>
            <color indexed="81"/>
            <rFont val="Tahoma"/>
            <family val="2"/>
            <charset val="238"/>
          </rPr>
          <t xml:space="preserve">
24045/03 +1.600.000</t>
        </r>
      </text>
    </comment>
    <comment ref="D113" authorId="0" shapeId="0">
      <text>
        <r>
          <rPr>
            <b/>
            <sz val="9"/>
            <color indexed="81"/>
            <rFont val="Tahoma"/>
            <family val="2"/>
            <charset val="238"/>
          </rPr>
          <t>Jana Holíková:</t>
        </r>
        <r>
          <rPr>
            <sz val="9"/>
            <color indexed="81"/>
            <rFont val="Tahoma"/>
            <family val="2"/>
            <charset val="238"/>
          </rPr>
          <t xml:space="preserve">
24015/02 
+13.779,02 (0309)
+87.878,61 (0305)
+201.127,47 (0307)</t>
        </r>
      </text>
    </comment>
    <comment ref="D114" authorId="0" shapeId="0">
      <text>
        <r>
          <rPr>
            <b/>
            <sz val="9"/>
            <color indexed="81"/>
            <rFont val="Tahoma"/>
            <family val="2"/>
            <charset val="238"/>
          </rPr>
          <t>Jana Holíková:</t>
        </r>
        <r>
          <rPr>
            <sz val="9"/>
            <color indexed="81"/>
            <rFont val="Tahoma"/>
            <family val="2"/>
            <charset val="238"/>
          </rPr>
          <t xml:space="preserve">
24015/02 +236.709,36</t>
        </r>
      </text>
    </comment>
    <comment ref="D115" authorId="0" shapeId="0">
      <text>
        <r>
          <rPr>
            <b/>
            <sz val="9"/>
            <color indexed="81"/>
            <rFont val="Tahoma"/>
            <family val="2"/>
            <charset val="238"/>
          </rPr>
          <t>Jana Holíková:</t>
        </r>
        <r>
          <rPr>
            <sz val="9"/>
            <color indexed="81"/>
            <rFont val="Tahoma"/>
            <family val="2"/>
            <charset val="238"/>
          </rPr>
          <t xml:space="preserve">
24015/02 +159.713,55</t>
        </r>
      </text>
    </comment>
    <comment ref="D116" authorId="0" shapeId="0">
      <text>
        <r>
          <rPr>
            <b/>
            <sz val="9"/>
            <color indexed="81"/>
            <rFont val="Tahoma"/>
            <family val="2"/>
            <charset val="238"/>
          </rPr>
          <t>Jana Holíková:</t>
        </r>
        <r>
          <rPr>
            <sz val="9"/>
            <color indexed="81"/>
            <rFont val="Tahoma"/>
            <family val="2"/>
            <charset val="238"/>
          </rPr>
          <t xml:space="preserve">
24015/02 +391.374,39</t>
        </r>
      </text>
    </comment>
    <comment ref="D117" authorId="0" shapeId="0">
      <text>
        <r>
          <rPr>
            <b/>
            <sz val="9"/>
            <color indexed="81"/>
            <rFont val="Tahoma"/>
            <family val="2"/>
            <charset val="238"/>
          </rPr>
          <t>Jana Holíková:</t>
        </r>
        <r>
          <rPr>
            <sz val="9"/>
            <color indexed="81"/>
            <rFont val="Tahoma"/>
            <family val="2"/>
            <charset val="238"/>
          </rPr>
          <t xml:space="preserve">
24026.03 +3.226.272,84</t>
        </r>
      </text>
    </comment>
    <comment ref="D119" authorId="0" shapeId="0">
      <text>
        <r>
          <rPr>
            <b/>
            <sz val="9"/>
            <color indexed="81"/>
            <rFont val="Tahoma"/>
            <family val="2"/>
            <charset val="238"/>
          </rPr>
          <t>Jana Holíková:</t>
        </r>
        <r>
          <rPr>
            <sz val="9"/>
            <color indexed="81"/>
            <rFont val="Tahoma"/>
            <family val="2"/>
            <charset val="238"/>
          </rPr>
          <t xml:space="preserve">
24045/03 +25.251</t>
        </r>
      </text>
    </comment>
    <comment ref="D120" authorId="0" shapeId="0">
      <text>
        <r>
          <rPr>
            <b/>
            <sz val="9"/>
            <color indexed="81"/>
            <rFont val="Tahoma"/>
            <family val="2"/>
            <charset val="238"/>
          </rPr>
          <t>Jana Holíková:</t>
        </r>
        <r>
          <rPr>
            <sz val="9"/>
            <color indexed="81"/>
            <rFont val="Tahoma"/>
            <family val="2"/>
            <charset val="238"/>
          </rPr>
          <t xml:space="preserve">
24045/03 org 1180
+74.693,50  § 3111
+40.293      § 3113</t>
        </r>
      </text>
    </comment>
    <comment ref="D121" authorId="0" shapeId="0">
      <text>
        <r>
          <rPr>
            <b/>
            <sz val="9"/>
            <color indexed="81"/>
            <rFont val="Tahoma"/>
            <family val="2"/>
            <charset val="238"/>
          </rPr>
          <t>Jana Holíková:</t>
        </r>
        <r>
          <rPr>
            <sz val="9"/>
            <color indexed="81"/>
            <rFont val="Tahoma"/>
            <family val="2"/>
            <charset val="238"/>
          </rPr>
          <t xml:space="preserve">
24045/03 +900.000</t>
        </r>
      </text>
    </comment>
    <comment ref="D122" authorId="0" shapeId="0">
      <text>
        <r>
          <rPr>
            <b/>
            <sz val="9"/>
            <color indexed="81"/>
            <rFont val="Tahoma"/>
            <family val="2"/>
            <charset val="238"/>
          </rPr>
          <t>Jana Holíková:</t>
        </r>
        <r>
          <rPr>
            <sz val="9"/>
            <color indexed="81"/>
            <rFont val="Tahoma"/>
            <family val="2"/>
            <charset val="238"/>
          </rPr>
          <t xml:space="preserve">
24022/02  0321
+ 1.835,40  253 1441
+16.518,60 911 1445</t>
        </r>
      </text>
    </comment>
    <comment ref="D123" authorId="0" shapeId="0">
      <text>
        <r>
          <rPr>
            <b/>
            <sz val="9"/>
            <color indexed="81"/>
            <rFont val="Tahoma"/>
            <family val="2"/>
            <charset val="238"/>
          </rPr>
          <t>Jana Holíková:</t>
        </r>
        <r>
          <rPr>
            <sz val="9"/>
            <color indexed="81"/>
            <rFont val="Tahoma"/>
            <family val="2"/>
            <charset val="238"/>
          </rPr>
          <t xml:space="preserve">
24039/03 
+ 5.068,40 úz 253 1441
+45.615,60 úz 911 1445</t>
        </r>
      </text>
    </comment>
    <comment ref="D124" authorId="0" shapeId="0">
      <text>
        <r>
          <rPr>
            <b/>
            <sz val="9"/>
            <color indexed="81"/>
            <rFont val="Tahoma"/>
            <family val="2"/>
            <charset val="238"/>
          </rPr>
          <t>Jana Holíková:</t>
        </r>
        <r>
          <rPr>
            <sz val="9"/>
            <color indexed="81"/>
            <rFont val="Tahoma"/>
            <family val="2"/>
            <charset val="238"/>
          </rPr>
          <t xml:space="preserve">
24040/03 
+ 4.089 úz 253 1441
+36.801 úz 911 1445</t>
        </r>
      </text>
    </comment>
    <comment ref="D126" authorId="0" shapeId="0">
      <text>
        <r>
          <rPr>
            <b/>
            <sz val="9"/>
            <color indexed="81"/>
            <rFont val="Tahoma"/>
            <family val="2"/>
            <charset val="238"/>
          </rPr>
          <t>Jana Holíková:</t>
        </r>
        <r>
          <rPr>
            <sz val="9"/>
            <color indexed="81"/>
            <rFont val="Tahoma"/>
            <family val="2"/>
            <charset val="238"/>
          </rPr>
          <t xml:space="preserve">
24014/02 
-50.000 (741)
+50.000 (528)
24023/02 
-50.000 (741)
+50.000 (416)</t>
        </r>
      </text>
    </comment>
    <comment ref="D127" authorId="0" shapeId="0">
      <text>
        <r>
          <rPr>
            <b/>
            <sz val="9"/>
            <color indexed="81"/>
            <rFont val="Tahoma"/>
            <family val="2"/>
            <charset val="238"/>
          </rPr>
          <t>Jana Holíková:</t>
        </r>
        <r>
          <rPr>
            <sz val="9"/>
            <color indexed="81"/>
            <rFont val="Tahoma"/>
            <family val="2"/>
            <charset val="238"/>
          </rPr>
          <t xml:space="preserve">
24052/04 +112.397
24074/06 +186.860</t>
        </r>
      </text>
    </comment>
    <comment ref="D133" authorId="0" shapeId="0">
      <text>
        <r>
          <rPr>
            <b/>
            <sz val="9"/>
            <color indexed="81"/>
            <rFont val="Tahoma"/>
            <family val="2"/>
            <charset val="238"/>
          </rPr>
          <t>Jana Holíková:</t>
        </r>
        <r>
          <rPr>
            <sz val="9"/>
            <color indexed="81"/>
            <rFont val="Tahoma"/>
            <family val="2"/>
            <charset val="238"/>
          </rPr>
          <t xml:space="preserve">
24045/03 +180.000</t>
        </r>
      </text>
    </comment>
    <comment ref="D135" authorId="0" shapeId="0">
      <text>
        <r>
          <rPr>
            <b/>
            <sz val="9"/>
            <color indexed="81"/>
            <rFont val="Tahoma"/>
            <family val="2"/>
            <charset val="238"/>
          </rPr>
          <t>Jana Holíková:</t>
        </r>
        <r>
          <rPr>
            <sz val="9"/>
            <color indexed="81"/>
            <rFont val="Tahoma"/>
            <family val="2"/>
            <charset val="238"/>
          </rPr>
          <t xml:space="preserve">
24005/01 +250.000</t>
        </r>
      </text>
    </comment>
    <comment ref="D137" authorId="0" shapeId="0">
      <text>
        <r>
          <rPr>
            <b/>
            <sz val="9"/>
            <color indexed="81"/>
            <rFont val="Tahoma"/>
            <family val="2"/>
            <charset val="238"/>
          </rPr>
          <t>Jana Holíková:</t>
        </r>
        <r>
          <rPr>
            <sz val="9"/>
            <color indexed="81"/>
            <rFont val="Tahoma"/>
            <family val="2"/>
            <charset val="238"/>
          </rPr>
          <t xml:space="preserve">
24044/03 -3.000.000</t>
        </r>
      </text>
    </comment>
    <comment ref="D138" authorId="0" shapeId="0">
      <text>
        <r>
          <rPr>
            <b/>
            <sz val="9"/>
            <color indexed="81"/>
            <rFont val="Tahoma"/>
            <family val="2"/>
            <charset val="238"/>
          </rPr>
          <t>Jana Holíková:</t>
        </r>
        <r>
          <rPr>
            <sz val="9"/>
            <color indexed="81"/>
            <rFont val="Tahoma"/>
            <family val="2"/>
            <charset val="238"/>
          </rPr>
          <t xml:space="preserve">
24044/03 +3.000.000</t>
        </r>
      </text>
    </comment>
    <comment ref="D139" authorId="0" shapeId="0">
      <text>
        <r>
          <rPr>
            <b/>
            <sz val="9"/>
            <color indexed="81"/>
            <rFont val="Tahoma"/>
            <family val="2"/>
            <charset val="238"/>
          </rPr>
          <t>Jana Holíková:</t>
        </r>
        <r>
          <rPr>
            <sz val="9"/>
            <color indexed="81"/>
            <rFont val="Tahoma"/>
            <family val="2"/>
            <charset val="238"/>
          </rPr>
          <t xml:space="preserve">
24045/03 +1.000</t>
        </r>
      </text>
    </comment>
    <comment ref="D149" authorId="0" shapeId="0">
      <text>
        <r>
          <rPr>
            <b/>
            <sz val="9"/>
            <color indexed="81"/>
            <rFont val="Tahoma"/>
            <family val="2"/>
            <charset val="238"/>
          </rPr>
          <t>Jana Holíková:</t>
        </r>
        <r>
          <rPr>
            <sz val="9"/>
            <color indexed="81"/>
            <rFont val="Tahoma"/>
            <family val="2"/>
            <charset val="238"/>
          </rPr>
          <t xml:space="preserve">
24045/03 +250.000</t>
        </r>
      </text>
    </comment>
    <comment ref="D152" authorId="0" shapeId="0">
      <text>
        <r>
          <rPr>
            <b/>
            <sz val="9"/>
            <color indexed="81"/>
            <rFont val="Tahoma"/>
            <family val="2"/>
            <charset val="238"/>
          </rPr>
          <t>Jana Holíková:</t>
        </r>
        <r>
          <rPr>
            <sz val="9"/>
            <color indexed="81"/>
            <rFont val="Tahoma"/>
            <family val="2"/>
            <charset val="238"/>
          </rPr>
          <t xml:space="preserve">
24045/03 -250.000 chata Jič</t>
        </r>
      </text>
    </comment>
    <comment ref="D162" authorId="0" shapeId="0">
      <text>
        <r>
          <rPr>
            <b/>
            <sz val="9"/>
            <color indexed="81"/>
            <rFont val="Tahoma"/>
            <charset val="1"/>
          </rPr>
          <t>Jana Holíková:</t>
        </r>
        <r>
          <rPr>
            <sz val="9"/>
            <color indexed="81"/>
            <rFont val="Tahoma"/>
            <charset val="1"/>
          </rPr>
          <t xml:space="preserve">
24065/05 -500.000 EP </t>
        </r>
      </text>
    </comment>
    <comment ref="D163" authorId="0" shapeId="0">
      <text>
        <r>
          <rPr>
            <b/>
            <sz val="9"/>
            <color indexed="81"/>
            <rFont val="Tahoma"/>
            <charset val="1"/>
          </rPr>
          <t>Jana Holíková:</t>
        </r>
        <r>
          <rPr>
            <sz val="9"/>
            <color indexed="81"/>
            <rFont val="Tahoma"/>
            <charset val="1"/>
          </rPr>
          <t xml:space="preserve">
24073/06 +16.164.266,27 </t>
        </r>
      </text>
    </comment>
    <comment ref="D179" authorId="0" shapeId="0">
      <text>
        <r>
          <rPr>
            <b/>
            <sz val="9"/>
            <color indexed="81"/>
            <rFont val="Tahoma"/>
            <family val="2"/>
            <charset val="238"/>
          </rPr>
          <t>Jana Holíková:</t>
        </r>
        <r>
          <rPr>
            <sz val="9"/>
            <color indexed="81"/>
            <rFont val="Tahoma"/>
            <family val="2"/>
            <charset val="238"/>
          </rPr>
          <t xml:space="preserve">
24005/01 -522.932</t>
        </r>
      </text>
    </comment>
    <comment ref="D180" authorId="0" shapeId="0">
      <text>
        <r>
          <rPr>
            <b/>
            <sz val="9"/>
            <color indexed="81"/>
            <rFont val="Tahoma"/>
            <charset val="1"/>
          </rPr>
          <t>Jana Holíková:</t>
        </r>
        <r>
          <rPr>
            <sz val="9"/>
            <color indexed="81"/>
            <rFont val="Tahoma"/>
            <charset val="1"/>
          </rPr>
          <t xml:space="preserve">
24062/05-400.000</t>
        </r>
      </text>
    </comment>
    <comment ref="D181" authorId="0" shapeId="0">
      <text>
        <r>
          <rPr>
            <b/>
            <sz val="9"/>
            <color indexed="81"/>
            <rFont val="Tahoma"/>
            <charset val="1"/>
          </rPr>
          <t>Jana Holíková:</t>
        </r>
        <r>
          <rPr>
            <sz val="9"/>
            <color indexed="81"/>
            <rFont val="Tahoma"/>
            <charset val="1"/>
          </rPr>
          <t xml:space="preserve">
24072/05 -1.002.336,01</t>
        </r>
      </text>
    </comment>
    <comment ref="D187" authorId="0" shapeId="0">
      <text>
        <r>
          <rPr>
            <b/>
            <sz val="9"/>
            <color indexed="81"/>
            <rFont val="Tahoma"/>
            <family val="2"/>
            <charset val="238"/>
          </rPr>
          <t>Jana Holíková:</t>
        </r>
        <r>
          <rPr>
            <sz val="9"/>
            <color indexed="81"/>
            <rFont val="Tahoma"/>
            <family val="2"/>
            <charset val="238"/>
          </rPr>
          <t xml:space="preserve">
24018/02 +124.612,64
24050/04 +-124.612,64</t>
        </r>
      </text>
    </comment>
    <comment ref="D188" authorId="0" shapeId="0">
      <text>
        <r>
          <rPr>
            <b/>
            <sz val="9"/>
            <color indexed="81"/>
            <rFont val="Tahoma"/>
            <charset val="1"/>
          </rPr>
          <t>Jana Holíková:</t>
        </r>
        <r>
          <rPr>
            <sz val="9"/>
            <color indexed="81"/>
            <rFont val="Tahoma"/>
            <charset val="1"/>
          </rPr>
          <t xml:space="preserve">
24065/05 +724.000
</t>
        </r>
      </text>
    </comment>
    <comment ref="D191" authorId="0" shapeId="0">
      <text>
        <r>
          <rPr>
            <b/>
            <sz val="9"/>
            <color indexed="81"/>
            <rFont val="Tahoma"/>
            <family val="2"/>
            <charset val="238"/>
          </rPr>
          <t>Jana Holíková:</t>
        </r>
        <r>
          <rPr>
            <sz val="9"/>
            <color indexed="81"/>
            <rFont val="Tahoma"/>
            <family val="2"/>
            <charset val="238"/>
          </rPr>
          <t xml:space="preserve">
24018/02 +625.431,35</t>
        </r>
      </text>
    </comment>
    <comment ref="D193" authorId="0" shapeId="0">
      <text>
        <r>
          <rPr>
            <b/>
            <sz val="9"/>
            <color indexed="81"/>
            <rFont val="Tahoma"/>
            <charset val="1"/>
          </rPr>
          <t>Jana Holíková:</t>
        </r>
        <r>
          <rPr>
            <sz val="9"/>
            <color indexed="81"/>
            <rFont val="Tahoma"/>
            <charset val="1"/>
          </rPr>
          <t xml:space="preserve">
24066/05 
+   261.245,45 úz17084 1491
+4.441.172,63 úz17085 1495</t>
        </r>
      </text>
    </comment>
    <comment ref="D194" authorId="0" shapeId="0">
      <text>
        <r>
          <rPr>
            <b/>
            <sz val="9"/>
            <color indexed="81"/>
            <rFont val="Tahoma"/>
            <charset val="1"/>
          </rPr>
          <t>Jana Holíková:</t>
        </r>
        <r>
          <rPr>
            <sz val="9"/>
            <color indexed="81"/>
            <rFont val="Tahoma"/>
            <charset val="1"/>
          </rPr>
          <t xml:space="preserve">
24072/05 
+   61.704,81 úz17085 1495</t>
        </r>
      </text>
    </comment>
    <comment ref="D195" authorId="0" shapeId="0">
      <text>
        <r>
          <rPr>
            <b/>
            <sz val="9"/>
            <color indexed="81"/>
            <rFont val="Tahoma"/>
            <charset val="1"/>
          </rPr>
          <t>Jana Holíková:</t>
        </r>
        <r>
          <rPr>
            <sz val="9"/>
            <color indexed="81"/>
            <rFont val="Tahoma"/>
            <charset val="1"/>
          </rPr>
          <t xml:space="preserve">
24062/05 +400.000</t>
        </r>
      </text>
    </comment>
    <comment ref="D202" authorId="0" shapeId="0">
      <text>
        <r>
          <rPr>
            <b/>
            <sz val="9"/>
            <color indexed="81"/>
            <rFont val="Tahoma"/>
            <family val="2"/>
            <charset val="238"/>
          </rPr>
          <t>Jana Holíková:</t>
        </r>
        <r>
          <rPr>
            <sz val="9"/>
            <color indexed="81"/>
            <rFont val="Tahoma"/>
            <family val="2"/>
            <charset val="238"/>
          </rPr>
          <t xml:space="preserve">
24041/03 -+ 354.926
z ORJ 541 na 029</t>
        </r>
      </text>
    </comment>
    <comment ref="D207" authorId="0" shapeId="0">
      <text>
        <r>
          <rPr>
            <b/>
            <sz val="9"/>
            <color indexed="81"/>
            <rFont val="Tahoma"/>
            <family val="2"/>
            <charset val="238"/>
          </rPr>
          <t>Jana Holíková:</t>
        </r>
        <r>
          <rPr>
            <sz val="9"/>
            <color indexed="81"/>
            <rFont val="Tahoma"/>
            <family val="2"/>
            <charset val="238"/>
          </rPr>
          <t xml:space="preserve">
24001/01 +4.743.000</t>
        </r>
      </text>
    </comment>
    <comment ref="D208" authorId="0" shapeId="0">
      <text>
        <r>
          <rPr>
            <b/>
            <sz val="9"/>
            <color indexed="81"/>
            <rFont val="Tahoma"/>
            <family val="2"/>
            <charset val="238"/>
          </rPr>
          <t>Jana Holíková:</t>
        </r>
        <r>
          <rPr>
            <sz val="9"/>
            <color indexed="81"/>
            <rFont val="Tahoma"/>
            <family val="2"/>
            <charset val="238"/>
          </rPr>
          <t xml:space="preserve">
24056/04 +80.000</t>
        </r>
      </text>
    </comment>
    <comment ref="D209" authorId="0" shapeId="0">
      <text>
        <r>
          <rPr>
            <b/>
            <sz val="9"/>
            <color indexed="81"/>
            <rFont val="Tahoma"/>
            <family val="2"/>
            <charset val="238"/>
          </rPr>
          <t>Jana Holíková:</t>
        </r>
        <r>
          <rPr>
            <sz val="9"/>
            <color indexed="81"/>
            <rFont val="Tahoma"/>
            <family val="2"/>
            <charset val="238"/>
          </rPr>
          <t xml:space="preserve">
24055/04 +210.200</t>
        </r>
      </text>
    </comment>
    <comment ref="D210" authorId="0" shapeId="0">
      <text>
        <r>
          <rPr>
            <b/>
            <sz val="9"/>
            <color indexed="81"/>
            <rFont val="Tahoma"/>
            <family val="2"/>
            <charset val="238"/>
          </rPr>
          <t>Jana Holíková:</t>
        </r>
        <r>
          <rPr>
            <sz val="9"/>
            <color indexed="81"/>
            <rFont val="Tahoma"/>
            <family val="2"/>
            <charset val="238"/>
          </rPr>
          <t xml:space="preserve">
24030/03 
+ 3.419,60  úz253 1441
+30.776,40 úz911 1445</t>
        </r>
      </text>
    </comment>
    <comment ref="D211" authorId="0" shapeId="0">
      <text>
        <r>
          <rPr>
            <b/>
            <sz val="9"/>
            <color indexed="81"/>
            <rFont val="Tahoma"/>
            <family val="2"/>
            <charset val="238"/>
          </rPr>
          <t>Jana Holíková:</t>
        </r>
        <r>
          <rPr>
            <sz val="9"/>
            <color indexed="81"/>
            <rFont val="Tahoma"/>
            <family val="2"/>
            <charset val="238"/>
          </rPr>
          <t xml:space="preserve">
24027/03 
+ 4.890  úz253 1441
+44.010 úz911 1445</t>
        </r>
      </text>
    </comment>
    <comment ref="D212" authorId="0" shapeId="0">
      <text>
        <r>
          <rPr>
            <b/>
            <sz val="9"/>
            <color indexed="81"/>
            <rFont val="Tahoma"/>
            <family val="2"/>
            <charset val="238"/>
          </rPr>
          <t>Jana Holíková:</t>
        </r>
        <r>
          <rPr>
            <sz val="9"/>
            <color indexed="81"/>
            <rFont val="Tahoma"/>
            <family val="2"/>
            <charset val="238"/>
          </rPr>
          <t xml:space="preserve">
24027/03 
+ 7.519  úz253 1441
+67.671 úz911 1445</t>
        </r>
      </text>
    </comment>
    <comment ref="D213" authorId="0" shapeId="0">
      <text>
        <r>
          <rPr>
            <b/>
            <sz val="9"/>
            <color indexed="81"/>
            <rFont val="Tahoma"/>
            <family val="2"/>
            <charset val="238"/>
          </rPr>
          <t>Jana Holíková:</t>
        </r>
        <r>
          <rPr>
            <sz val="9"/>
            <color indexed="81"/>
            <rFont val="Tahoma"/>
            <family val="2"/>
            <charset val="238"/>
          </rPr>
          <t xml:space="preserve">
24029/03 
+ 6.180  úz253 1441
+55.620 úz911 1445</t>
        </r>
      </text>
    </comment>
    <comment ref="D215" authorId="0" shapeId="0">
      <text>
        <r>
          <rPr>
            <b/>
            <sz val="9"/>
            <color indexed="81"/>
            <rFont val="Tahoma"/>
            <family val="2"/>
            <charset val="238"/>
          </rPr>
          <t>Jana Holíková:</t>
        </r>
        <r>
          <rPr>
            <sz val="9"/>
            <color indexed="81"/>
            <rFont val="Tahoma"/>
            <family val="2"/>
            <charset val="238"/>
          </rPr>
          <t xml:space="preserve">
24031/03 +4.573.000
24570/05
oprava úz na 914</t>
        </r>
      </text>
    </comment>
    <comment ref="D223" authorId="0" shapeId="0">
      <text>
        <r>
          <rPr>
            <b/>
            <sz val="9"/>
            <color indexed="81"/>
            <rFont val="Tahoma"/>
            <charset val="1"/>
          </rPr>
          <t>Jana Holíková:</t>
        </r>
        <r>
          <rPr>
            <sz val="9"/>
            <color indexed="81"/>
            <rFont val="Tahoma"/>
            <charset val="1"/>
          </rPr>
          <t xml:space="preserve">
24066/05 
+  336.616,61 úz17518 1491
+5.722.482,44 úz17519 1495</t>
        </r>
      </text>
    </comment>
    <comment ref="D224" authorId="0" shapeId="0">
      <text>
        <r>
          <rPr>
            <b/>
            <sz val="9"/>
            <color indexed="81"/>
            <rFont val="Tahoma"/>
            <charset val="1"/>
          </rPr>
          <t>Jana Holíková:</t>
        </r>
        <r>
          <rPr>
            <sz val="9"/>
            <color indexed="81"/>
            <rFont val="Tahoma"/>
            <charset val="1"/>
          </rPr>
          <t xml:space="preserve">
24072/05 
+  881.497,39 úz17519 1495</t>
        </r>
      </text>
    </comment>
    <comment ref="D225" authorId="0" shapeId="0">
      <text>
        <r>
          <rPr>
            <b/>
            <sz val="9"/>
            <color indexed="81"/>
            <rFont val="Tahoma"/>
            <family val="2"/>
            <charset val="238"/>
          </rPr>
          <t>Jana Holíková:</t>
        </r>
        <r>
          <rPr>
            <sz val="9"/>
            <color indexed="81"/>
            <rFont val="Tahoma"/>
            <family val="2"/>
            <charset val="238"/>
          </rPr>
          <t xml:space="preserve">
24035/03 + 5.514.060</t>
        </r>
      </text>
    </comment>
    <comment ref="D227" authorId="0" shapeId="0">
      <text>
        <r>
          <rPr>
            <b/>
            <sz val="9"/>
            <color indexed="81"/>
            <rFont val="Tahoma"/>
            <family val="2"/>
            <charset val="238"/>
          </rPr>
          <t>Jana Holíková:</t>
        </r>
        <r>
          <rPr>
            <sz val="9"/>
            <color indexed="81"/>
            <rFont val="Tahoma"/>
            <family val="2"/>
            <charset val="238"/>
          </rPr>
          <t xml:space="preserve">
24057/04 +300.000</t>
        </r>
      </text>
    </comment>
    <comment ref="D235" authorId="0" shapeId="0">
      <text>
        <r>
          <rPr>
            <b/>
            <sz val="9"/>
            <color indexed="81"/>
            <rFont val="Tahoma"/>
            <charset val="1"/>
          </rPr>
          <t>Jana Holíková:</t>
        </r>
        <r>
          <rPr>
            <sz val="9"/>
            <color indexed="81"/>
            <rFont val="Tahoma"/>
            <charset val="1"/>
          </rPr>
          <t xml:space="preserve">
24073 -+16.164.266,27</t>
        </r>
      </text>
    </comment>
    <comment ref="D249" authorId="0" shapeId="0">
      <text>
        <r>
          <rPr>
            <b/>
            <sz val="9"/>
            <color indexed="81"/>
            <rFont val="Tahoma"/>
            <family val="2"/>
            <charset val="238"/>
          </rPr>
          <t>Jana Holíková:</t>
        </r>
        <r>
          <rPr>
            <sz val="9"/>
            <color indexed="81"/>
            <rFont val="Tahoma"/>
            <family val="2"/>
            <charset val="238"/>
          </rPr>
          <t xml:space="preserve">
24009/01 -200.000
</t>
        </r>
      </text>
    </comment>
    <comment ref="D251" authorId="0" shapeId="0">
      <text>
        <r>
          <rPr>
            <b/>
            <sz val="9"/>
            <color indexed="81"/>
            <rFont val="Tahoma"/>
            <family val="2"/>
            <charset val="238"/>
          </rPr>
          <t>Jana Holíková:</t>
        </r>
        <r>
          <rPr>
            <sz val="9"/>
            <color indexed="81"/>
            <rFont val="Tahoma"/>
            <family val="2"/>
            <charset val="238"/>
          </rPr>
          <t xml:space="preserve">
24009/01 -1.500.000</t>
        </r>
      </text>
    </comment>
    <comment ref="D262" authorId="0" shapeId="0">
      <text>
        <r>
          <rPr>
            <b/>
            <sz val="9"/>
            <color indexed="81"/>
            <rFont val="Tahoma"/>
            <family val="2"/>
            <charset val="238"/>
          </rPr>
          <t>Jana Holíková:</t>
        </r>
        <r>
          <rPr>
            <sz val="9"/>
            <color indexed="81"/>
            <rFont val="Tahoma"/>
            <family val="2"/>
            <charset val="238"/>
          </rPr>
          <t xml:space="preserve">
24508/01 -42.086</t>
        </r>
      </text>
    </comment>
    <comment ref="D263" authorId="0" shapeId="0">
      <text>
        <r>
          <rPr>
            <b/>
            <sz val="9"/>
            <color indexed="81"/>
            <rFont val="Tahoma"/>
            <family val="2"/>
            <charset val="238"/>
          </rPr>
          <t>Jana Holíková:</t>
        </r>
        <r>
          <rPr>
            <sz val="9"/>
            <color indexed="81"/>
            <rFont val="Tahoma"/>
            <family val="2"/>
            <charset val="238"/>
          </rPr>
          <t xml:space="preserve">
24508/01 +42.086
</t>
        </r>
      </text>
    </comment>
    <comment ref="D268" authorId="0" shapeId="0">
      <text>
        <r>
          <rPr>
            <b/>
            <sz val="9"/>
            <color indexed="81"/>
            <rFont val="Tahoma"/>
            <charset val="1"/>
          </rPr>
          <t>Jana Holíková:</t>
        </r>
        <r>
          <rPr>
            <sz val="9"/>
            <color indexed="81"/>
            <rFont val="Tahoma"/>
            <charset val="1"/>
          </rPr>
          <t xml:space="preserve">
24076/06 -353.320</t>
        </r>
      </text>
    </comment>
    <comment ref="D273" authorId="0" shapeId="0">
      <text>
        <r>
          <rPr>
            <b/>
            <sz val="9"/>
            <color indexed="81"/>
            <rFont val="Tahoma"/>
            <charset val="1"/>
          </rPr>
          <t>Jana Holíková:</t>
        </r>
        <r>
          <rPr>
            <sz val="9"/>
            <color indexed="81"/>
            <rFont val="Tahoma"/>
            <charset val="1"/>
          </rPr>
          <t xml:space="preserve">
24060/05 +1.100.000
lávka Novosady</t>
        </r>
      </text>
    </comment>
    <comment ref="D279" authorId="0" shapeId="0">
      <text>
        <r>
          <rPr>
            <b/>
            <sz val="9"/>
            <color indexed="81"/>
            <rFont val="Tahoma"/>
            <family val="2"/>
            <charset val="238"/>
          </rPr>
          <t>Jana Holíková:</t>
        </r>
        <r>
          <rPr>
            <sz val="9"/>
            <color indexed="81"/>
            <rFont val="Tahoma"/>
            <family val="2"/>
            <charset val="238"/>
          </rPr>
          <t xml:space="preserve">
24010/01 +100.000
24580/06 +76.452,36</t>
        </r>
      </text>
    </comment>
    <comment ref="D282" authorId="0" shapeId="0">
      <text>
        <r>
          <rPr>
            <b/>
            <sz val="9"/>
            <color indexed="81"/>
            <rFont val="Tahoma"/>
            <family val="2"/>
            <charset val="238"/>
          </rPr>
          <t>Jana Holíková:</t>
        </r>
        <r>
          <rPr>
            <sz val="9"/>
            <color indexed="81"/>
            <rFont val="Tahoma"/>
            <family val="2"/>
            <charset val="238"/>
          </rPr>
          <t xml:space="preserve">
24580/06 -76.452,36</t>
        </r>
      </text>
    </comment>
    <comment ref="D283" authorId="0" shapeId="0">
      <text>
        <r>
          <rPr>
            <b/>
            <sz val="9"/>
            <color indexed="81"/>
            <rFont val="Tahoma"/>
            <family val="2"/>
            <charset val="238"/>
          </rPr>
          <t>Jana Holíková:</t>
        </r>
        <r>
          <rPr>
            <sz val="9"/>
            <color indexed="81"/>
            <rFont val="Tahoma"/>
            <family val="2"/>
            <charset val="238"/>
          </rPr>
          <t xml:space="preserve">
24019/02 +266.805</t>
        </r>
      </text>
    </comment>
    <comment ref="D285" authorId="0" shapeId="0">
      <text>
        <r>
          <rPr>
            <b/>
            <sz val="9"/>
            <color indexed="81"/>
            <rFont val="Tahoma"/>
            <family val="2"/>
            <charset val="238"/>
          </rPr>
          <t>Jana Holíková:</t>
        </r>
        <r>
          <rPr>
            <sz val="9"/>
            <color indexed="81"/>
            <rFont val="Tahoma"/>
            <family val="2"/>
            <charset val="238"/>
          </rPr>
          <t xml:space="preserve">
24582/06 +-16.044,60
z 5169 na 5139</t>
        </r>
      </text>
    </comment>
    <comment ref="D290" authorId="0" shapeId="0">
      <text>
        <r>
          <rPr>
            <b/>
            <sz val="9"/>
            <color indexed="81"/>
            <rFont val="Tahoma"/>
            <family val="2"/>
            <charset val="238"/>
          </rPr>
          <t>Jana Holíková:</t>
        </r>
        <r>
          <rPr>
            <sz val="9"/>
            <color indexed="81"/>
            <rFont val="Tahoma"/>
            <family val="2"/>
            <charset val="238"/>
          </rPr>
          <t xml:space="preserve">
24581/06 -5.000</t>
        </r>
      </text>
    </comment>
    <comment ref="D291" authorId="0" shapeId="0">
      <text>
        <r>
          <rPr>
            <b/>
            <sz val="9"/>
            <color indexed="81"/>
            <rFont val="Tahoma"/>
            <family val="2"/>
            <charset val="238"/>
          </rPr>
          <t>Jana Holíková:</t>
        </r>
        <r>
          <rPr>
            <sz val="9"/>
            <color indexed="81"/>
            <rFont val="Tahoma"/>
            <family val="2"/>
            <charset val="238"/>
          </rPr>
          <t xml:space="preserve">
24581/06 +5.000</t>
        </r>
      </text>
    </comment>
    <comment ref="D295" authorId="0" shapeId="0">
      <text>
        <r>
          <rPr>
            <b/>
            <sz val="9"/>
            <color indexed="81"/>
            <rFont val="Tahoma"/>
            <charset val="1"/>
          </rPr>
          <t>Jana Holíková:</t>
        </r>
        <r>
          <rPr>
            <sz val="9"/>
            <color indexed="81"/>
            <rFont val="Tahoma"/>
            <charset val="1"/>
          </rPr>
          <t xml:space="preserve">
24569/05 -10.000</t>
        </r>
      </text>
    </comment>
    <comment ref="D296" authorId="0" shapeId="0">
      <text>
        <r>
          <rPr>
            <b/>
            <sz val="9"/>
            <color indexed="81"/>
            <rFont val="Tahoma"/>
            <charset val="1"/>
          </rPr>
          <t>Jana Holíková:</t>
        </r>
        <r>
          <rPr>
            <sz val="9"/>
            <color indexed="81"/>
            <rFont val="Tahoma"/>
            <charset val="1"/>
          </rPr>
          <t xml:space="preserve">
24569/05 +10.000
</t>
        </r>
      </text>
    </comment>
    <comment ref="D299" authorId="0" shapeId="0">
      <text>
        <r>
          <rPr>
            <b/>
            <sz val="9"/>
            <color indexed="81"/>
            <rFont val="Tahoma"/>
            <family val="2"/>
            <charset val="238"/>
          </rPr>
          <t>Jana Holíková:</t>
        </r>
        <r>
          <rPr>
            <sz val="9"/>
            <color indexed="81"/>
            <rFont val="Tahoma"/>
            <family val="2"/>
            <charset val="238"/>
          </rPr>
          <t xml:space="preserve">
24513/01 -1230</t>
        </r>
      </text>
    </comment>
    <comment ref="D300" authorId="0" shapeId="0">
      <text>
        <r>
          <rPr>
            <b/>
            <sz val="9"/>
            <color indexed="81"/>
            <rFont val="Tahoma"/>
            <family val="2"/>
            <charset val="238"/>
          </rPr>
          <t>Jana Holíková:</t>
        </r>
        <r>
          <rPr>
            <sz val="9"/>
            <color indexed="81"/>
            <rFont val="Tahoma"/>
            <family val="2"/>
            <charset val="238"/>
          </rPr>
          <t xml:space="preserve">
24513/01 +1.230</t>
        </r>
      </text>
    </comment>
    <comment ref="D301" authorId="0" shapeId="0">
      <text>
        <r>
          <rPr>
            <b/>
            <sz val="9"/>
            <color indexed="81"/>
            <rFont val="Tahoma"/>
            <family val="2"/>
            <charset val="238"/>
          </rPr>
          <t>Jana Holíková:</t>
        </r>
        <r>
          <rPr>
            <sz val="9"/>
            <color indexed="81"/>
            <rFont val="Tahoma"/>
            <family val="2"/>
            <charset val="238"/>
          </rPr>
          <t xml:space="preserve">
24578/06 +29.142</t>
        </r>
      </text>
    </comment>
    <comment ref="D302" authorId="0" shapeId="0">
      <text>
        <r>
          <rPr>
            <b/>
            <sz val="9"/>
            <color indexed="81"/>
            <rFont val="Tahoma"/>
            <family val="2"/>
            <charset val="238"/>
          </rPr>
          <t>Jana Holíková:</t>
        </r>
        <r>
          <rPr>
            <sz val="9"/>
            <color indexed="81"/>
            <rFont val="Tahoma"/>
            <family val="2"/>
            <charset val="238"/>
          </rPr>
          <t xml:space="preserve">
24512/01 +-600.000
z 6121 na 6122
24578/06 -29.142</t>
        </r>
      </text>
    </comment>
    <comment ref="D308" authorId="0" shapeId="0">
      <text>
        <r>
          <rPr>
            <b/>
            <sz val="9"/>
            <color indexed="81"/>
            <rFont val="Tahoma"/>
            <charset val="1"/>
          </rPr>
          <t>Jana Holíková:</t>
        </r>
        <r>
          <rPr>
            <sz val="9"/>
            <color indexed="81"/>
            <rFont val="Tahoma"/>
            <charset val="1"/>
          </rPr>
          <t xml:space="preserve">
24078/06 -39.446</t>
        </r>
      </text>
    </comment>
    <comment ref="D310" authorId="0" shapeId="0">
      <text>
        <r>
          <rPr>
            <b/>
            <sz val="9"/>
            <color indexed="81"/>
            <rFont val="Tahoma"/>
            <family val="2"/>
            <charset val="238"/>
          </rPr>
          <t>Jana Holíková:</t>
        </r>
        <r>
          <rPr>
            <sz val="9"/>
            <color indexed="81"/>
            <rFont val="Tahoma"/>
            <family val="2"/>
            <charset val="238"/>
          </rPr>
          <t xml:space="preserve">
24054/04 -287.641,20
24082/06 -33.226,60</t>
        </r>
      </text>
    </comment>
    <comment ref="D312" authorId="0" shapeId="0">
      <text>
        <r>
          <rPr>
            <b/>
            <sz val="9"/>
            <color indexed="81"/>
            <rFont val="Tahoma"/>
            <charset val="1"/>
          </rPr>
          <t>Jana Holíková:</t>
        </r>
        <r>
          <rPr>
            <sz val="9"/>
            <color indexed="81"/>
            <rFont val="Tahoma"/>
            <charset val="1"/>
          </rPr>
          <t xml:space="preserve">
24057/04 +287.641,20
24078/06 +39.446</t>
        </r>
      </text>
    </comment>
    <comment ref="D319" authorId="0" shapeId="0">
      <text>
        <r>
          <rPr>
            <b/>
            <sz val="9"/>
            <color indexed="81"/>
            <rFont val="Tahoma"/>
            <charset val="1"/>
          </rPr>
          <t>Jana Holíková:</t>
        </r>
        <r>
          <rPr>
            <sz val="9"/>
            <color indexed="81"/>
            <rFont val="Tahoma"/>
            <charset val="1"/>
          </rPr>
          <t xml:space="preserve">
24074/06 +144.474 poj.událost-oploc Hükc.v.</t>
        </r>
      </text>
    </comment>
    <comment ref="D323" authorId="0" shapeId="0">
      <text>
        <r>
          <rPr>
            <b/>
            <sz val="9"/>
            <color indexed="81"/>
            <rFont val="Tahoma"/>
            <family val="2"/>
            <charset val="238"/>
          </rPr>
          <t>Jana Holíková:</t>
        </r>
        <r>
          <rPr>
            <sz val="9"/>
            <color indexed="81"/>
            <rFont val="Tahoma"/>
            <family val="2"/>
            <charset val="238"/>
          </rPr>
          <t xml:space="preserve">
24511/01 -102.752,67
24550/04 -51.376,34
24074/06 +42.386 poj.u</t>
        </r>
      </text>
    </comment>
    <comment ref="D325" authorId="0" shapeId="0">
      <text>
        <r>
          <rPr>
            <b/>
            <sz val="9"/>
            <color indexed="81"/>
            <rFont val="Tahoma"/>
            <charset val="1"/>
          </rPr>
          <t>Jana Holíková:</t>
        </r>
        <r>
          <rPr>
            <sz val="9"/>
            <color indexed="81"/>
            <rFont val="Tahoma"/>
            <charset val="1"/>
          </rPr>
          <t xml:space="preserve">
24063/05 +75.138</t>
        </r>
      </text>
    </comment>
    <comment ref="D327" authorId="0" shapeId="0">
      <text>
        <r>
          <rPr>
            <b/>
            <sz val="9"/>
            <color indexed="81"/>
            <rFont val="Tahoma"/>
            <charset val="1"/>
          </rPr>
          <t>Jana Holíková:</t>
        </r>
        <r>
          <rPr>
            <sz val="9"/>
            <color indexed="81"/>
            <rFont val="Tahoma"/>
            <charset val="1"/>
          </rPr>
          <t xml:space="preserve">
24063/05 -84.000</t>
        </r>
      </text>
    </comment>
    <comment ref="D328" authorId="0" shapeId="0">
      <text>
        <r>
          <rPr>
            <b/>
            <sz val="9"/>
            <color indexed="81"/>
            <rFont val="Tahoma"/>
            <family val="2"/>
            <charset val="238"/>
          </rPr>
          <t>Jana Holíková:</t>
        </r>
        <r>
          <rPr>
            <sz val="9"/>
            <color indexed="81"/>
            <rFont val="Tahoma"/>
            <family val="2"/>
            <charset val="238"/>
          </rPr>
          <t xml:space="preserve">
24511/01 +102.752,67
24550/04 + 51.376,34
</t>
        </r>
      </text>
    </comment>
    <comment ref="D330" authorId="0" shapeId="0">
      <text>
        <r>
          <rPr>
            <b/>
            <sz val="9"/>
            <color indexed="81"/>
            <rFont val="Tahoma"/>
            <family val="2"/>
            <charset val="238"/>
          </rPr>
          <t>Jana Holíková:</t>
        </r>
        <r>
          <rPr>
            <sz val="9"/>
            <color indexed="81"/>
            <rFont val="Tahoma"/>
            <family val="2"/>
            <charset val="238"/>
          </rPr>
          <t xml:space="preserve">
24020/02 +70.301</t>
        </r>
      </text>
    </comment>
    <comment ref="D331" authorId="0" shapeId="0">
      <text>
        <r>
          <rPr>
            <b/>
            <sz val="9"/>
            <color indexed="81"/>
            <rFont val="Tahoma"/>
            <family val="2"/>
            <charset val="238"/>
          </rPr>
          <t>Jana Holíková:</t>
        </r>
        <r>
          <rPr>
            <sz val="9"/>
            <color indexed="81"/>
            <rFont val="Tahoma"/>
            <family val="2"/>
            <charset val="238"/>
          </rPr>
          <t xml:space="preserve">
24020/02 +26.257</t>
        </r>
      </text>
    </comment>
    <comment ref="D353" authorId="0" shapeId="0">
      <text>
        <r>
          <rPr>
            <b/>
            <sz val="9"/>
            <color indexed="81"/>
            <rFont val="Tahoma"/>
            <family val="2"/>
            <charset val="238"/>
          </rPr>
          <t>Jana Holíková:</t>
        </r>
        <r>
          <rPr>
            <sz val="9"/>
            <color indexed="81"/>
            <rFont val="Tahoma"/>
            <family val="2"/>
            <charset val="238"/>
          </rPr>
          <t xml:space="preserve">
24009/01 +200.000
24541/03 +40.000</t>
        </r>
      </text>
    </comment>
    <comment ref="D354" authorId="0" shapeId="0">
      <text>
        <r>
          <rPr>
            <b/>
            <sz val="9"/>
            <color indexed="81"/>
            <rFont val="Tahoma"/>
            <family val="2"/>
            <charset val="238"/>
          </rPr>
          <t>Jana Holíková:</t>
        </r>
        <r>
          <rPr>
            <sz val="9"/>
            <color indexed="81"/>
            <rFont val="Tahoma"/>
            <family val="2"/>
            <charset val="238"/>
          </rPr>
          <t xml:space="preserve">
24009/01 +1.500.000
24541/03 -40.000</t>
        </r>
      </text>
    </comment>
    <comment ref="D359" authorId="0" shapeId="0">
      <text>
        <r>
          <rPr>
            <b/>
            <sz val="9"/>
            <color indexed="81"/>
            <rFont val="Tahoma"/>
            <family val="2"/>
            <charset val="238"/>
          </rPr>
          <t>Jana Holíková:</t>
        </r>
        <r>
          <rPr>
            <sz val="9"/>
            <color indexed="81"/>
            <rFont val="Tahoma"/>
            <family val="2"/>
            <charset val="238"/>
          </rPr>
          <t xml:space="preserve">
24549/04 -300</t>
        </r>
      </text>
    </comment>
    <comment ref="D364" authorId="0" shapeId="0">
      <text>
        <r>
          <rPr>
            <b/>
            <sz val="9"/>
            <color indexed="81"/>
            <rFont val="Tahoma"/>
            <family val="2"/>
            <charset val="238"/>
          </rPr>
          <t>Jana Holíková:</t>
        </r>
        <r>
          <rPr>
            <sz val="9"/>
            <color indexed="81"/>
            <rFont val="Tahoma"/>
            <family val="2"/>
            <charset val="238"/>
          </rPr>
          <t xml:space="preserve">
24549/04 +300</t>
        </r>
      </text>
    </comment>
    <comment ref="D367" authorId="0" shapeId="0">
      <text>
        <r>
          <rPr>
            <b/>
            <sz val="9"/>
            <color indexed="81"/>
            <rFont val="Tahoma"/>
            <charset val="1"/>
          </rPr>
          <t>Jana Holíková:</t>
        </r>
        <r>
          <rPr>
            <sz val="9"/>
            <color indexed="81"/>
            <rFont val="Tahoma"/>
            <charset val="1"/>
          </rPr>
          <t xml:space="preserve">
24574/06 -160.000</t>
        </r>
      </text>
    </comment>
    <comment ref="D371" authorId="0" shapeId="0">
      <text>
        <r>
          <rPr>
            <b/>
            <sz val="9"/>
            <color indexed="81"/>
            <rFont val="Tahoma"/>
            <family val="2"/>
            <charset val="238"/>
          </rPr>
          <t>Jana Holíková:</t>
        </r>
        <r>
          <rPr>
            <sz val="9"/>
            <color indexed="81"/>
            <rFont val="Tahoma"/>
            <family val="2"/>
            <charset val="238"/>
          </rPr>
          <t xml:space="preserve">
24574/06 +160.000</t>
        </r>
      </text>
    </comment>
    <comment ref="D372" authorId="0" shapeId="0">
      <text>
        <r>
          <rPr>
            <b/>
            <sz val="9"/>
            <color indexed="81"/>
            <rFont val="Tahoma"/>
            <charset val="1"/>
          </rPr>
          <t>Jana Holíková:</t>
        </r>
        <r>
          <rPr>
            <sz val="9"/>
            <color indexed="81"/>
            <rFont val="Tahoma"/>
            <charset val="1"/>
          </rPr>
          <t xml:space="preserve">
24563/05 +400.000</t>
        </r>
      </text>
    </comment>
    <comment ref="D376" authorId="0" shapeId="0">
      <text>
        <r>
          <rPr>
            <b/>
            <sz val="9"/>
            <color indexed="81"/>
            <rFont val="Tahoma"/>
            <charset val="1"/>
          </rPr>
          <t>Jana Holíková:</t>
        </r>
        <r>
          <rPr>
            <sz val="9"/>
            <color indexed="81"/>
            <rFont val="Tahoma"/>
            <charset val="1"/>
          </rPr>
          <t xml:space="preserve">
24060/05 -1.100.000
24563/05 - 400.000</t>
        </r>
      </text>
    </comment>
    <comment ref="D377" authorId="0" shapeId="0">
      <text>
        <r>
          <rPr>
            <b/>
            <sz val="9"/>
            <color indexed="81"/>
            <rFont val="Tahoma"/>
            <family val="2"/>
            <charset val="238"/>
          </rPr>
          <t>Jana Holíková:</t>
        </r>
        <r>
          <rPr>
            <sz val="9"/>
            <color indexed="81"/>
            <rFont val="Tahoma"/>
            <family val="2"/>
            <charset val="238"/>
          </rPr>
          <t xml:space="preserve">
24038/03 +8.000.000</t>
        </r>
      </text>
    </comment>
    <comment ref="D378" authorId="0" shapeId="0">
      <text>
        <r>
          <rPr>
            <b/>
            <sz val="9"/>
            <color indexed="81"/>
            <rFont val="Tahoma"/>
            <charset val="1"/>
          </rPr>
          <t>Jana Holíková:</t>
        </r>
        <r>
          <rPr>
            <sz val="9"/>
            <color indexed="81"/>
            <rFont val="Tahoma"/>
            <charset val="1"/>
          </rPr>
          <t xml:space="preserve">
24080/06 -400.000</t>
        </r>
      </text>
    </comment>
    <comment ref="D388" authorId="0" shapeId="0">
      <text>
        <r>
          <rPr>
            <b/>
            <sz val="9"/>
            <color indexed="81"/>
            <rFont val="Tahoma"/>
            <family val="2"/>
            <charset val="238"/>
          </rPr>
          <t>Jana Holíková:</t>
        </r>
        <r>
          <rPr>
            <sz val="9"/>
            <color indexed="81"/>
            <rFont val="Tahoma"/>
            <family val="2"/>
            <charset val="238"/>
          </rPr>
          <t xml:space="preserve">
24522/02 +481.000</t>
        </r>
      </text>
    </comment>
    <comment ref="D390" authorId="0" shapeId="0">
      <text>
        <r>
          <rPr>
            <b/>
            <sz val="9"/>
            <color indexed="81"/>
            <rFont val="Tahoma"/>
            <charset val="1"/>
          </rPr>
          <t>Jana Holíková:</t>
        </r>
        <r>
          <rPr>
            <sz val="9"/>
            <color indexed="81"/>
            <rFont val="Tahoma"/>
            <charset val="1"/>
          </rPr>
          <t xml:space="preserve">
24080/06 -500.000</t>
        </r>
      </text>
    </comment>
    <comment ref="D394" authorId="0" shapeId="0">
      <text>
        <r>
          <rPr>
            <b/>
            <sz val="9"/>
            <color indexed="81"/>
            <rFont val="Tahoma"/>
            <family val="2"/>
            <charset val="238"/>
          </rPr>
          <t>Jana Holíková:</t>
        </r>
        <r>
          <rPr>
            <sz val="9"/>
            <color indexed="81"/>
            <rFont val="Tahoma"/>
            <family val="2"/>
            <charset val="238"/>
          </rPr>
          <t xml:space="preserve">
24503/01 +11.390</t>
        </r>
      </text>
    </comment>
    <comment ref="D396" authorId="0" shapeId="0">
      <text>
        <r>
          <rPr>
            <b/>
            <sz val="9"/>
            <color indexed="81"/>
            <rFont val="Tahoma"/>
            <family val="2"/>
            <charset val="238"/>
          </rPr>
          <t>Jana Holíková:</t>
        </r>
        <r>
          <rPr>
            <sz val="9"/>
            <color indexed="81"/>
            <rFont val="Tahoma"/>
            <family val="2"/>
            <charset val="238"/>
          </rPr>
          <t xml:space="preserve">
24543/03 +181.000</t>
        </r>
      </text>
    </comment>
    <comment ref="D397" authorId="0" shapeId="0">
      <text>
        <r>
          <rPr>
            <b/>
            <sz val="9"/>
            <color indexed="81"/>
            <rFont val="Tahoma"/>
            <family val="2"/>
            <charset val="238"/>
          </rPr>
          <t>Jana Holíková:</t>
        </r>
        <r>
          <rPr>
            <sz val="9"/>
            <color indexed="81"/>
            <rFont val="Tahoma"/>
            <family val="2"/>
            <charset val="238"/>
          </rPr>
          <t xml:space="preserve">
24037/03 -500.000
24568/05 -12.000</t>
        </r>
      </text>
    </comment>
    <comment ref="D398" authorId="0" shapeId="0">
      <text>
        <r>
          <rPr>
            <b/>
            <sz val="9"/>
            <color indexed="81"/>
            <rFont val="Tahoma"/>
            <family val="2"/>
            <charset val="238"/>
          </rPr>
          <t>Jana Holíková:</t>
        </r>
        <r>
          <rPr>
            <sz val="9"/>
            <color indexed="81"/>
            <rFont val="Tahoma"/>
            <family val="2"/>
            <charset val="238"/>
          </rPr>
          <t xml:space="preserve">
24037/03 -500.000</t>
        </r>
      </text>
    </comment>
    <comment ref="D399" authorId="0" shapeId="0">
      <text>
        <r>
          <rPr>
            <b/>
            <sz val="9"/>
            <color indexed="81"/>
            <rFont val="Tahoma"/>
            <family val="2"/>
            <charset val="238"/>
          </rPr>
          <t>Jana Holíková:</t>
        </r>
        <r>
          <rPr>
            <sz val="9"/>
            <color indexed="81"/>
            <rFont val="Tahoma"/>
            <family val="2"/>
            <charset val="238"/>
          </rPr>
          <t xml:space="preserve">
24504/01 -1.055.000
24562/05 +1.255.000</t>
        </r>
      </text>
    </comment>
    <comment ref="D401" authorId="0" shapeId="0">
      <text>
        <r>
          <rPr>
            <b/>
            <sz val="9"/>
            <color indexed="81"/>
            <rFont val="Tahoma"/>
            <family val="2"/>
            <charset val="238"/>
          </rPr>
          <t>Jana Holíková:</t>
        </r>
        <r>
          <rPr>
            <sz val="9"/>
            <color indexed="81"/>
            <rFont val="Tahoma"/>
            <family val="2"/>
            <charset val="238"/>
          </rPr>
          <t xml:space="preserve">
24522/02 -158.000
24537/03 - 34.000</t>
        </r>
      </text>
    </comment>
    <comment ref="D402" authorId="0" shapeId="0">
      <text>
        <r>
          <rPr>
            <b/>
            <sz val="9"/>
            <color indexed="81"/>
            <rFont val="Tahoma"/>
            <family val="2"/>
            <charset val="238"/>
          </rPr>
          <t>Jana Holíková:</t>
        </r>
        <r>
          <rPr>
            <sz val="9"/>
            <color indexed="81"/>
            <rFont val="Tahoma"/>
            <family val="2"/>
            <charset val="238"/>
          </rPr>
          <t xml:space="preserve">
24522/02 -323.000
24568/05 +12.000</t>
        </r>
      </text>
    </comment>
    <comment ref="D406" authorId="0" shapeId="0">
      <text>
        <r>
          <rPr>
            <b/>
            <sz val="9"/>
            <color indexed="81"/>
            <rFont val="Tahoma"/>
            <family val="2"/>
            <charset val="238"/>
          </rPr>
          <t>Jana Holíková:</t>
        </r>
        <r>
          <rPr>
            <sz val="9"/>
            <color indexed="81"/>
            <rFont val="Tahoma"/>
            <family val="2"/>
            <charset val="238"/>
          </rPr>
          <t xml:space="preserve">
24504/01 +540.500
24537/03 + 34.000</t>
        </r>
      </text>
    </comment>
    <comment ref="D407" authorId="0" shapeId="0">
      <text>
        <r>
          <rPr>
            <b/>
            <sz val="9"/>
            <color indexed="81"/>
            <rFont val="Tahoma"/>
            <family val="2"/>
            <charset val="238"/>
          </rPr>
          <t>Jana Holíková:</t>
        </r>
        <r>
          <rPr>
            <sz val="9"/>
            <color indexed="81"/>
            <rFont val="Tahoma"/>
            <family val="2"/>
            <charset val="238"/>
          </rPr>
          <t xml:space="preserve">
24504/01 +514.500</t>
        </r>
      </text>
    </comment>
    <comment ref="D409" authorId="0" shapeId="0">
      <text>
        <r>
          <rPr>
            <b/>
            <sz val="9"/>
            <color indexed="81"/>
            <rFont val="Tahoma"/>
            <family val="2"/>
            <charset val="238"/>
          </rPr>
          <t>Jana Holíková:</t>
        </r>
        <r>
          <rPr>
            <sz val="9"/>
            <color indexed="81"/>
            <rFont val="Tahoma"/>
            <family val="2"/>
            <charset val="238"/>
          </rPr>
          <t xml:space="preserve">
24503/01 -11.390
24565/05 -30.000</t>
        </r>
      </text>
    </comment>
    <comment ref="D410" authorId="0" shapeId="0">
      <text>
        <r>
          <rPr>
            <b/>
            <sz val="9"/>
            <color indexed="81"/>
            <rFont val="Tahoma"/>
            <charset val="1"/>
          </rPr>
          <t>Jana Holíková:</t>
        </r>
        <r>
          <rPr>
            <sz val="9"/>
            <color indexed="81"/>
            <rFont val="Tahoma"/>
            <charset val="1"/>
          </rPr>
          <t xml:space="preserve">
24565/05 +30.000</t>
        </r>
      </text>
    </comment>
    <comment ref="D411" authorId="0" shapeId="0">
      <text>
        <r>
          <rPr>
            <b/>
            <sz val="9"/>
            <color indexed="81"/>
            <rFont val="Tahoma"/>
            <family val="2"/>
            <charset val="238"/>
          </rPr>
          <t>Jana Holíková:</t>
        </r>
        <r>
          <rPr>
            <sz val="9"/>
            <color indexed="81"/>
            <rFont val="Tahoma"/>
            <family val="2"/>
            <charset val="238"/>
          </rPr>
          <t xml:space="preserve">
24010/01 -100.000</t>
        </r>
      </text>
    </comment>
    <comment ref="D412" authorId="0" shapeId="0">
      <text>
        <r>
          <rPr>
            <b/>
            <sz val="9"/>
            <color indexed="81"/>
            <rFont val="Tahoma"/>
            <family val="2"/>
            <charset val="238"/>
          </rPr>
          <t>Jana Holíková:</t>
        </r>
        <r>
          <rPr>
            <sz val="9"/>
            <color indexed="81"/>
            <rFont val="Tahoma"/>
            <family val="2"/>
            <charset val="238"/>
          </rPr>
          <t xml:space="preserve">
24543/03 -181.000
24562/05 -1.255.000</t>
        </r>
      </text>
    </comment>
    <comment ref="D420" authorId="0" shapeId="0">
      <text>
        <r>
          <rPr>
            <b/>
            <sz val="9"/>
            <color indexed="81"/>
            <rFont val="Tahoma"/>
            <charset val="1"/>
          </rPr>
          <t>Jana Holíková:</t>
        </r>
        <r>
          <rPr>
            <sz val="9"/>
            <color indexed="81"/>
            <rFont val="Tahoma"/>
            <charset val="1"/>
          </rPr>
          <t xml:space="preserve">
24080/06 -500.000</t>
        </r>
      </text>
    </comment>
    <comment ref="D423" authorId="0" shapeId="0">
      <text>
        <r>
          <rPr>
            <b/>
            <sz val="9"/>
            <color indexed="81"/>
            <rFont val="Tahoma"/>
            <family val="2"/>
            <charset val="238"/>
          </rPr>
          <t>Jana Holíková:</t>
        </r>
        <r>
          <rPr>
            <sz val="9"/>
            <color indexed="81"/>
            <rFont val="Tahoma"/>
            <family val="2"/>
            <charset val="238"/>
          </rPr>
          <t xml:space="preserve">
24530/03 +27.000</t>
        </r>
      </text>
    </comment>
    <comment ref="D424" authorId="0" shapeId="0">
      <text>
        <r>
          <rPr>
            <b/>
            <sz val="9"/>
            <color indexed="81"/>
            <rFont val="Tahoma"/>
            <family val="2"/>
            <charset val="238"/>
          </rPr>
          <t>Jana Holíková:</t>
        </r>
        <r>
          <rPr>
            <sz val="9"/>
            <color indexed="81"/>
            <rFont val="Tahoma"/>
            <family val="2"/>
            <charset val="238"/>
          </rPr>
          <t xml:space="preserve">
24530/03 +17.000
24534/03 +12.000</t>
        </r>
      </text>
    </comment>
    <comment ref="D426" authorId="0" shapeId="0">
      <text>
        <r>
          <rPr>
            <b/>
            <sz val="9"/>
            <color indexed="81"/>
            <rFont val="Tahoma"/>
            <family val="2"/>
            <charset val="238"/>
          </rPr>
          <t>Jana Holíková:</t>
        </r>
        <r>
          <rPr>
            <sz val="9"/>
            <color indexed="81"/>
            <rFont val="Tahoma"/>
            <family val="2"/>
            <charset val="238"/>
          </rPr>
          <t xml:space="preserve">
24530/03 -44.000
24534/03 -12.000</t>
        </r>
      </text>
    </comment>
    <comment ref="D431" authorId="0" shapeId="0">
      <text>
        <r>
          <rPr>
            <b/>
            <sz val="9"/>
            <color indexed="81"/>
            <rFont val="Tahoma"/>
            <family val="2"/>
            <charset val="238"/>
          </rPr>
          <t>Jana Holíková:</t>
        </r>
        <r>
          <rPr>
            <sz val="9"/>
            <color indexed="81"/>
            <rFont val="Tahoma"/>
            <family val="2"/>
            <charset val="238"/>
          </rPr>
          <t xml:space="preserve">
34546/04 
+-27.929.601,32
dopl. úz, NáZ</t>
        </r>
      </text>
    </comment>
    <comment ref="D432" authorId="0" shapeId="0">
      <text>
        <r>
          <rPr>
            <b/>
            <sz val="9"/>
            <color indexed="81"/>
            <rFont val="Tahoma"/>
            <charset val="1"/>
          </rPr>
          <t>Jana Holíková:</t>
        </r>
        <r>
          <rPr>
            <sz val="9"/>
            <color indexed="81"/>
            <rFont val="Tahoma"/>
            <charset val="1"/>
          </rPr>
          <t xml:space="preserve">
24061/05 +70.000</t>
        </r>
      </text>
    </comment>
    <comment ref="D433" authorId="0" shapeId="0">
      <text>
        <r>
          <rPr>
            <b/>
            <sz val="9"/>
            <color indexed="81"/>
            <rFont val="Tahoma"/>
            <family val="2"/>
            <charset val="238"/>
          </rPr>
          <t>Jana Holíková:</t>
        </r>
        <r>
          <rPr>
            <sz val="9"/>
            <color indexed="81"/>
            <rFont val="Tahoma"/>
            <family val="2"/>
            <charset val="238"/>
          </rPr>
          <t xml:space="preserve">
24526.02 -10.000</t>
        </r>
      </text>
    </comment>
    <comment ref="D434" authorId="0" shapeId="0">
      <text>
        <r>
          <rPr>
            <b/>
            <sz val="9"/>
            <color indexed="81"/>
            <rFont val="Tahoma"/>
            <family val="2"/>
            <charset val="238"/>
          </rPr>
          <t>Jana Holíková:</t>
        </r>
        <r>
          <rPr>
            <sz val="9"/>
            <color indexed="81"/>
            <rFont val="Tahoma"/>
            <family val="2"/>
            <charset val="238"/>
          </rPr>
          <t xml:space="preserve">
24526/02 +10.000</t>
        </r>
      </text>
    </comment>
    <comment ref="D435" authorId="0" shapeId="0">
      <text>
        <r>
          <rPr>
            <b/>
            <sz val="9"/>
            <color indexed="81"/>
            <rFont val="Tahoma"/>
            <family val="2"/>
            <charset val="238"/>
          </rPr>
          <t>Jana Holíková:</t>
        </r>
        <r>
          <rPr>
            <sz val="9"/>
            <color indexed="81"/>
            <rFont val="Tahoma"/>
            <family val="2"/>
            <charset val="238"/>
          </rPr>
          <t xml:space="preserve">
24007/01 -850.000</t>
        </r>
      </text>
    </comment>
    <comment ref="D440" authorId="0" shapeId="0">
      <text>
        <r>
          <rPr>
            <b/>
            <sz val="9"/>
            <color indexed="81"/>
            <rFont val="Tahoma"/>
            <family val="2"/>
            <charset val="238"/>
          </rPr>
          <t>Jana Holíková:</t>
        </r>
        <r>
          <rPr>
            <sz val="9"/>
            <color indexed="81"/>
            <rFont val="Tahoma"/>
            <family val="2"/>
            <charset val="238"/>
          </rPr>
          <t xml:space="preserve">
24501/01 +40.000
24514/01 +4.000</t>
        </r>
      </text>
    </comment>
    <comment ref="D441" authorId="0" shapeId="0">
      <text>
        <r>
          <rPr>
            <b/>
            <sz val="9"/>
            <color indexed="81"/>
            <rFont val="Tahoma"/>
            <family val="2"/>
            <charset val="238"/>
          </rPr>
          <t>Jana Holíková:</t>
        </r>
        <r>
          <rPr>
            <sz val="9"/>
            <color indexed="81"/>
            <rFont val="Tahoma"/>
            <family val="2"/>
            <charset val="238"/>
          </rPr>
          <t xml:space="preserve">
24501/01 -40.000
24514/01 -4.000
24038/03 -5.700.000
24080/06 -1.000.000</t>
        </r>
      </text>
    </comment>
    <comment ref="D443" authorId="0" shapeId="0">
      <text>
        <r>
          <rPr>
            <b/>
            <sz val="9"/>
            <color indexed="81"/>
            <rFont val="Tahoma"/>
            <family val="2"/>
            <charset val="238"/>
          </rPr>
          <t>Jana Holíková:</t>
        </r>
        <r>
          <rPr>
            <sz val="9"/>
            <color indexed="81"/>
            <rFont val="Tahoma"/>
            <family val="2"/>
            <charset val="238"/>
          </rPr>
          <t xml:space="preserve">
24036/03 
+1.000.000+100.000</t>
        </r>
      </text>
    </comment>
    <comment ref="D445" authorId="0" shapeId="0">
      <text>
        <r>
          <rPr>
            <b/>
            <sz val="9"/>
            <color indexed="81"/>
            <rFont val="Tahoma"/>
            <family val="2"/>
            <charset val="238"/>
          </rPr>
          <t>Jana Holíková:</t>
        </r>
        <r>
          <rPr>
            <sz val="9"/>
            <color indexed="81"/>
            <rFont val="Tahoma"/>
            <family val="2"/>
            <charset val="238"/>
          </rPr>
          <t xml:space="preserve">
24502/01 +200.000</t>
        </r>
      </text>
    </comment>
    <comment ref="D446" authorId="0" shapeId="0">
      <text>
        <r>
          <rPr>
            <b/>
            <sz val="9"/>
            <color indexed="81"/>
            <rFont val="Tahoma"/>
            <family val="2"/>
            <charset val="238"/>
          </rPr>
          <t>Jana Holíková:</t>
        </r>
        <r>
          <rPr>
            <sz val="9"/>
            <color indexed="81"/>
            <rFont val="Tahoma"/>
            <family val="2"/>
            <charset val="238"/>
          </rPr>
          <t xml:space="preserve">
24502/01 -200.000</t>
        </r>
      </text>
    </comment>
    <comment ref="D450" authorId="0" shapeId="0">
      <text>
        <r>
          <rPr>
            <b/>
            <sz val="9"/>
            <color indexed="81"/>
            <rFont val="Tahoma"/>
            <family val="2"/>
            <charset val="238"/>
          </rPr>
          <t>Jana Holíková:</t>
        </r>
        <r>
          <rPr>
            <sz val="9"/>
            <color indexed="81"/>
            <rFont val="Tahoma"/>
            <family val="2"/>
            <charset val="238"/>
          </rPr>
          <t xml:space="preserve">
24024/03 -400.000 part.rozp
24036/03 -1.000.000 -100.000
24586/06 -59.290</t>
        </r>
      </text>
    </comment>
    <comment ref="D451" authorId="0" shapeId="0">
      <text>
        <r>
          <rPr>
            <b/>
            <sz val="9"/>
            <color indexed="81"/>
            <rFont val="Tahoma"/>
            <family val="2"/>
            <charset val="238"/>
          </rPr>
          <t>Jana Holíková:</t>
        </r>
        <r>
          <rPr>
            <sz val="9"/>
            <color indexed="81"/>
            <rFont val="Tahoma"/>
            <family val="2"/>
            <charset val="238"/>
          </rPr>
          <t xml:space="preserve">
24586/06
+ 41.503 úz 15017 1701
+ 17.787 bez úz     1701</t>
        </r>
      </text>
    </comment>
    <comment ref="D455" authorId="0" shapeId="0">
      <text>
        <r>
          <rPr>
            <b/>
            <sz val="9"/>
            <color indexed="81"/>
            <rFont val="Tahoma"/>
            <family val="2"/>
            <charset val="238"/>
          </rPr>
          <t>Jana Holíková:</t>
        </r>
        <r>
          <rPr>
            <sz val="9"/>
            <color indexed="81"/>
            <rFont val="Tahoma"/>
            <family val="2"/>
            <charset val="238"/>
          </rPr>
          <t xml:space="preserve">
24529/03 - oprava pol na 6121</t>
        </r>
      </text>
    </comment>
    <comment ref="D456" authorId="0" shapeId="0">
      <text>
        <r>
          <rPr>
            <b/>
            <sz val="9"/>
            <color indexed="81"/>
            <rFont val="Tahoma"/>
            <family val="2"/>
            <charset val="238"/>
          </rPr>
          <t>Jana Holíková:</t>
        </r>
        <r>
          <rPr>
            <sz val="9"/>
            <color indexed="81"/>
            <rFont val="Tahoma"/>
            <family val="2"/>
            <charset val="238"/>
          </rPr>
          <t xml:space="preserve">
24506/01 -+250.000 
z 5169 na 6122</t>
        </r>
      </text>
    </comment>
    <comment ref="D459" authorId="0" shapeId="0">
      <text>
        <r>
          <rPr>
            <b/>
            <sz val="9"/>
            <color indexed="81"/>
            <rFont val="Tahoma"/>
            <family val="2"/>
            <charset val="238"/>
          </rPr>
          <t>Jana Holíková:</t>
        </r>
        <r>
          <rPr>
            <sz val="9"/>
            <color indexed="81"/>
            <rFont val="Tahoma"/>
            <family val="2"/>
            <charset val="238"/>
          </rPr>
          <t xml:space="preserve">
24535/03 
-20.000 5171
+20.000 5169</t>
        </r>
      </text>
    </comment>
    <comment ref="D461" authorId="0" shapeId="0">
      <text>
        <r>
          <rPr>
            <b/>
            <sz val="9"/>
            <color indexed="81"/>
            <rFont val="Tahoma"/>
            <family val="2"/>
            <charset val="238"/>
          </rPr>
          <t>Jana Holíková:</t>
        </r>
        <r>
          <rPr>
            <sz val="9"/>
            <color indexed="81"/>
            <rFont val="Tahoma"/>
            <family val="2"/>
            <charset val="238"/>
          </rPr>
          <t xml:space="preserve">
24532/03 -6.000</t>
        </r>
      </text>
    </comment>
    <comment ref="D463" authorId="0" shapeId="0">
      <text>
        <r>
          <rPr>
            <b/>
            <sz val="9"/>
            <color indexed="81"/>
            <rFont val="Tahoma"/>
            <family val="2"/>
            <charset val="238"/>
          </rPr>
          <t>Jana Holíková:</t>
        </r>
        <r>
          <rPr>
            <sz val="9"/>
            <color indexed="81"/>
            <rFont val="Tahoma"/>
            <family val="2"/>
            <charset val="238"/>
          </rPr>
          <t xml:space="preserve">
24532/03 +6.000</t>
        </r>
      </text>
    </comment>
    <comment ref="D464" authorId="0" shapeId="0">
      <text>
        <r>
          <rPr>
            <b/>
            <sz val="9"/>
            <color indexed="81"/>
            <rFont val="Tahoma"/>
            <charset val="1"/>
          </rPr>
          <t>Jana Holíková:</t>
        </r>
        <r>
          <rPr>
            <sz val="9"/>
            <color indexed="81"/>
            <rFont val="Tahoma"/>
            <charset val="1"/>
          </rPr>
          <t xml:space="preserve">
24079/06 +160.000</t>
        </r>
      </text>
    </comment>
    <comment ref="D467" authorId="0" shapeId="0">
      <text>
        <r>
          <rPr>
            <b/>
            <sz val="9"/>
            <color indexed="81"/>
            <rFont val="Tahoma"/>
            <family val="2"/>
            <charset val="238"/>
          </rPr>
          <t>Jana Holíková:</t>
        </r>
        <r>
          <rPr>
            <sz val="9"/>
            <color indexed="81"/>
            <rFont val="Tahoma"/>
            <family val="2"/>
            <charset val="238"/>
          </rPr>
          <t xml:space="preserve">
240518.02 +150.470</t>
        </r>
      </text>
    </comment>
    <comment ref="D468" authorId="0" shapeId="0">
      <text>
        <r>
          <rPr>
            <b/>
            <sz val="9"/>
            <color indexed="81"/>
            <rFont val="Tahoma"/>
            <family val="2"/>
            <charset val="238"/>
          </rPr>
          <t>Jana Holíková:</t>
        </r>
        <r>
          <rPr>
            <sz val="9"/>
            <color indexed="81"/>
            <rFont val="Tahoma"/>
            <family val="2"/>
            <charset val="238"/>
          </rPr>
          <t xml:space="preserve">
24505/01 -20.000
24518/02 -150.470
24080/06 +4.500.000</t>
        </r>
      </text>
    </comment>
    <comment ref="D469" authorId="0" shapeId="0">
      <text>
        <r>
          <rPr>
            <b/>
            <sz val="9"/>
            <color indexed="81"/>
            <rFont val="Tahoma"/>
            <family val="2"/>
            <charset val="238"/>
          </rPr>
          <t>Jana Holíková:</t>
        </r>
        <r>
          <rPr>
            <sz val="9"/>
            <color indexed="81"/>
            <rFont val="Tahoma"/>
            <family val="2"/>
            <charset val="238"/>
          </rPr>
          <t xml:space="preserve">
24505/01 +20.000</t>
        </r>
      </text>
    </comment>
    <comment ref="D478" authorId="0" shapeId="0">
      <text>
        <r>
          <rPr>
            <b/>
            <sz val="9"/>
            <color indexed="81"/>
            <rFont val="Tahoma"/>
            <charset val="1"/>
          </rPr>
          <t>Jana Holíková:</t>
        </r>
        <r>
          <rPr>
            <sz val="9"/>
            <color indexed="81"/>
            <rFont val="Tahoma"/>
            <charset val="1"/>
          </rPr>
          <t xml:space="preserve">
24061/05 -70.000</t>
        </r>
      </text>
    </comment>
    <comment ref="D490" authorId="0" shapeId="0">
      <text>
        <r>
          <rPr>
            <b/>
            <sz val="9"/>
            <color indexed="81"/>
            <rFont val="Tahoma"/>
            <family val="2"/>
            <charset val="238"/>
          </rPr>
          <t>Jana Holíková:</t>
        </r>
        <r>
          <rPr>
            <sz val="9"/>
            <color indexed="81"/>
            <rFont val="Tahoma"/>
            <family val="2"/>
            <charset val="238"/>
          </rPr>
          <t xml:space="preserve">
24037/03 -1.000.000</t>
        </r>
      </text>
    </comment>
    <comment ref="D493" authorId="0" shapeId="0">
      <text>
        <r>
          <rPr>
            <b/>
            <sz val="9"/>
            <color indexed="81"/>
            <rFont val="Tahoma"/>
            <family val="2"/>
            <charset val="238"/>
          </rPr>
          <t>Jana Holíková:</t>
        </r>
        <r>
          <rPr>
            <sz val="9"/>
            <color indexed="81"/>
            <rFont val="Tahoma"/>
            <family val="2"/>
            <charset val="238"/>
          </rPr>
          <t xml:space="preserve">
24536/03 
-550.000 5169
</t>
        </r>
      </text>
    </comment>
    <comment ref="D499" authorId="0" shapeId="0">
      <text>
        <r>
          <rPr>
            <b/>
            <sz val="9"/>
            <color indexed="81"/>
            <rFont val="Tahoma"/>
            <family val="2"/>
            <charset val="238"/>
          </rPr>
          <t>Jana Holíková:</t>
        </r>
        <r>
          <rPr>
            <sz val="9"/>
            <color indexed="81"/>
            <rFont val="Tahoma"/>
            <family val="2"/>
            <charset val="238"/>
          </rPr>
          <t xml:space="preserve">
24536/03 +550.000</t>
        </r>
      </text>
    </comment>
    <comment ref="D500" authorId="0" shapeId="0">
      <text>
        <r>
          <rPr>
            <b/>
            <sz val="9"/>
            <color indexed="81"/>
            <rFont val="Tahoma"/>
            <charset val="1"/>
          </rPr>
          <t>Jana Holíková:</t>
        </r>
        <r>
          <rPr>
            <sz val="9"/>
            <color indexed="81"/>
            <rFont val="Tahoma"/>
            <charset val="1"/>
          </rPr>
          <t xml:space="preserve">
24080/06 -1.900.000</t>
        </r>
      </text>
    </comment>
    <comment ref="D501" authorId="0" shapeId="0">
      <text>
        <r>
          <rPr>
            <b/>
            <sz val="9"/>
            <color indexed="81"/>
            <rFont val="Tahoma"/>
            <charset val="1"/>
          </rPr>
          <t>Jana Holíková:</t>
        </r>
        <r>
          <rPr>
            <sz val="9"/>
            <color indexed="81"/>
            <rFont val="Tahoma"/>
            <charset val="1"/>
          </rPr>
          <t xml:space="preserve">
24079/06 -160.000</t>
        </r>
      </text>
    </comment>
    <comment ref="D504" authorId="0" shapeId="0">
      <text>
        <r>
          <rPr>
            <b/>
            <sz val="9"/>
            <color indexed="81"/>
            <rFont val="Tahoma"/>
            <family val="2"/>
            <charset val="238"/>
          </rPr>
          <t>Jana Holíková:</t>
        </r>
        <r>
          <rPr>
            <sz val="9"/>
            <color indexed="81"/>
            <rFont val="Tahoma"/>
            <family val="2"/>
            <charset val="238"/>
          </rPr>
          <t xml:space="preserve">
24008/01 -3.500.000</t>
        </r>
      </text>
    </comment>
    <comment ref="D505" authorId="0" shapeId="0">
      <text>
        <r>
          <rPr>
            <b/>
            <sz val="9"/>
            <color indexed="81"/>
            <rFont val="Tahoma"/>
            <family val="2"/>
            <charset val="238"/>
          </rPr>
          <t>Jana Holíková:</t>
        </r>
        <r>
          <rPr>
            <sz val="9"/>
            <color indexed="81"/>
            <rFont val="Tahoma"/>
            <family val="2"/>
            <charset val="238"/>
          </rPr>
          <t xml:space="preserve">
23037/03 +5.600.000</t>
        </r>
      </text>
    </comment>
    <comment ref="D506" authorId="0" shapeId="0">
      <text>
        <r>
          <rPr>
            <b/>
            <sz val="9"/>
            <color indexed="81"/>
            <rFont val="Tahoma"/>
            <family val="2"/>
            <charset val="238"/>
          </rPr>
          <t>Jana Holíková:</t>
        </r>
        <r>
          <rPr>
            <sz val="9"/>
            <color indexed="81"/>
            <rFont val="Tahoma"/>
            <family val="2"/>
            <charset val="238"/>
          </rPr>
          <t xml:space="preserve">
24008/01 -500.000</t>
        </r>
      </text>
    </comment>
    <comment ref="D507" authorId="0" shapeId="0">
      <text>
        <r>
          <rPr>
            <b/>
            <sz val="9"/>
            <color indexed="81"/>
            <rFont val="Tahoma"/>
            <family val="2"/>
            <charset val="238"/>
          </rPr>
          <t>Jana Holíková:</t>
        </r>
        <r>
          <rPr>
            <sz val="9"/>
            <color indexed="81"/>
            <rFont val="Tahoma"/>
            <family val="2"/>
            <charset val="238"/>
          </rPr>
          <t xml:space="preserve">
24037/03 -900.000 -200.000
24038/03 -2.300.000</t>
        </r>
      </text>
    </comment>
    <comment ref="D515" authorId="0" shapeId="0">
      <text>
        <r>
          <rPr>
            <b/>
            <sz val="9"/>
            <color indexed="81"/>
            <rFont val="Tahoma"/>
            <family val="2"/>
            <charset val="238"/>
          </rPr>
          <t>Jana Holíková:</t>
        </r>
        <r>
          <rPr>
            <sz val="9"/>
            <color indexed="81"/>
            <rFont val="Tahoma"/>
            <family val="2"/>
            <charset val="238"/>
          </rPr>
          <t xml:space="preserve">
24037/03 -2.500.000
24080/06 -200.000</t>
        </r>
      </text>
    </comment>
    <comment ref="D517" authorId="0" shapeId="0">
      <text>
        <r>
          <rPr>
            <b/>
            <sz val="9"/>
            <color indexed="81"/>
            <rFont val="Tahoma"/>
            <family val="2"/>
            <charset val="238"/>
          </rPr>
          <t>Jana Holíková:</t>
        </r>
        <r>
          <rPr>
            <sz val="9"/>
            <color indexed="81"/>
            <rFont val="Tahoma"/>
            <family val="2"/>
            <charset val="238"/>
          </rPr>
          <t xml:space="preserve">
24008/01 +3.500.000</t>
        </r>
      </text>
    </comment>
    <comment ref="D519" authorId="0" shapeId="0">
      <text>
        <r>
          <rPr>
            <b/>
            <sz val="9"/>
            <color indexed="81"/>
            <rFont val="Tahoma"/>
            <family val="2"/>
            <charset val="238"/>
          </rPr>
          <t>Jana Holíková:</t>
        </r>
        <r>
          <rPr>
            <sz val="9"/>
            <color indexed="81"/>
            <rFont val="Tahoma"/>
            <family val="2"/>
            <charset val="238"/>
          </rPr>
          <t xml:space="preserve">
24008/01 +500.000</t>
        </r>
      </text>
    </comment>
    <comment ref="D522" authorId="0" shapeId="0">
      <text>
        <r>
          <rPr>
            <b/>
            <sz val="9"/>
            <color indexed="81"/>
            <rFont val="Tahoma"/>
            <family val="2"/>
            <charset val="238"/>
          </rPr>
          <t>Jana Holíková:</t>
        </r>
        <r>
          <rPr>
            <sz val="9"/>
            <color indexed="81"/>
            <rFont val="Tahoma"/>
            <family val="2"/>
            <charset val="238"/>
          </rPr>
          <t xml:space="preserve">
24583/06 +380.000</t>
        </r>
      </text>
    </comment>
    <comment ref="D523" authorId="0" shapeId="0">
      <text>
        <r>
          <rPr>
            <b/>
            <sz val="9"/>
            <color indexed="81"/>
            <rFont val="Tahoma"/>
            <family val="2"/>
            <charset val="238"/>
          </rPr>
          <t>Jana Holíková:</t>
        </r>
        <r>
          <rPr>
            <sz val="9"/>
            <color indexed="81"/>
            <rFont val="Tahoma"/>
            <family val="2"/>
            <charset val="238"/>
          </rPr>
          <t xml:space="preserve">
24583/06 +100.000</t>
        </r>
      </text>
    </comment>
    <comment ref="D525" authorId="0" shapeId="0">
      <text>
        <r>
          <rPr>
            <b/>
            <sz val="9"/>
            <color indexed="81"/>
            <rFont val="Tahoma"/>
            <family val="2"/>
            <charset val="238"/>
          </rPr>
          <t>Jana Holíková:</t>
        </r>
        <r>
          <rPr>
            <sz val="9"/>
            <color indexed="81"/>
            <rFont val="Tahoma"/>
            <family val="2"/>
            <charset val="238"/>
          </rPr>
          <t xml:space="preserve">
24583/06 -480.000</t>
        </r>
      </text>
    </comment>
    <comment ref="D530" authorId="0" shapeId="0">
      <text>
        <r>
          <rPr>
            <b/>
            <sz val="9"/>
            <color indexed="81"/>
            <rFont val="Tahoma"/>
            <family val="2"/>
            <charset val="238"/>
          </rPr>
          <t>Jana Holíková:</t>
        </r>
        <r>
          <rPr>
            <sz val="9"/>
            <color indexed="81"/>
            <rFont val="Tahoma"/>
            <family val="2"/>
            <charset val="238"/>
          </rPr>
          <t xml:space="preserve">
24035/03 +- 5.514.060
dozn úz22504 NáZ1705
24548/04 +110.000</t>
        </r>
      </text>
    </comment>
    <comment ref="D531" authorId="0" shapeId="0">
      <text>
        <r>
          <rPr>
            <b/>
            <sz val="9"/>
            <color indexed="81"/>
            <rFont val="Tahoma"/>
            <family val="2"/>
            <charset val="238"/>
          </rPr>
          <t>Jana Holíková:</t>
        </r>
        <r>
          <rPr>
            <sz val="9"/>
            <color indexed="81"/>
            <rFont val="Tahoma"/>
            <family val="2"/>
            <charset val="238"/>
          </rPr>
          <t xml:space="preserve">
24548/04 -110.000</t>
        </r>
      </text>
    </comment>
    <comment ref="D535" authorId="0" shapeId="0">
      <text>
        <r>
          <rPr>
            <b/>
            <sz val="9"/>
            <color indexed="81"/>
            <rFont val="Tahoma"/>
            <family val="2"/>
            <charset val="238"/>
          </rPr>
          <t>Jana Holíková:</t>
        </r>
        <r>
          <rPr>
            <sz val="9"/>
            <color indexed="81"/>
            <rFont val="Tahoma"/>
            <family val="2"/>
            <charset val="238"/>
          </rPr>
          <t xml:space="preserve">
24539/03 +- 250.000
dopl. úz42</t>
        </r>
      </text>
    </comment>
    <comment ref="D547" authorId="0" shapeId="0">
      <text>
        <r>
          <rPr>
            <b/>
            <sz val="9"/>
            <color indexed="81"/>
            <rFont val="Tahoma"/>
            <family val="2"/>
            <charset val="238"/>
          </rPr>
          <t>Jana Holíková:</t>
        </r>
        <r>
          <rPr>
            <sz val="9"/>
            <color indexed="81"/>
            <rFont val="Tahoma"/>
            <family val="2"/>
            <charset val="238"/>
          </rPr>
          <t xml:space="preserve">
24538/03 +-231.352,61 
dopl. Úz 15501 NáZ 1481,5
245051/04 
+196.649,72 úz 15501 1485
+ 34.702,89 1481
24053/04 -535.000
24056/04 +80.000 úz673
24057/04 +300.000 úz392
24554/04 +-231.352,61 zpět</t>
        </r>
      </text>
    </comment>
    <comment ref="D549" authorId="0" shapeId="0">
      <text>
        <r>
          <rPr>
            <b/>
            <sz val="9"/>
            <color indexed="81"/>
            <rFont val="Tahoma"/>
            <family val="2"/>
            <charset val="238"/>
          </rPr>
          <t>Jana Holíková:</t>
        </r>
        <r>
          <rPr>
            <sz val="9"/>
            <color indexed="81"/>
            <rFont val="Tahoma"/>
            <family val="2"/>
            <charset val="238"/>
          </rPr>
          <t xml:space="preserve">
24053/04 +535.000</t>
        </r>
      </text>
    </comment>
    <comment ref="D566" authorId="0" shapeId="0">
      <text>
        <r>
          <rPr>
            <b/>
            <sz val="9"/>
            <color indexed="81"/>
            <rFont val="Tahoma"/>
            <charset val="1"/>
          </rPr>
          <t>Jana Holíková:</t>
        </r>
        <r>
          <rPr>
            <sz val="9"/>
            <color indexed="81"/>
            <rFont val="Tahoma"/>
            <charset val="1"/>
          </rPr>
          <t xml:space="preserve">
24065/05 
+724.000 úz98348
-500.000 bez úz
</t>
        </r>
      </text>
    </comment>
    <comment ref="D583" authorId="0" shapeId="0">
      <text>
        <r>
          <rPr>
            <b/>
            <sz val="9"/>
            <color indexed="81"/>
            <rFont val="Tahoma"/>
            <family val="2"/>
            <charset val="238"/>
          </rPr>
          <t>Jana Holíková:</t>
        </r>
        <r>
          <rPr>
            <sz val="9"/>
            <color indexed="81"/>
            <rFont val="Tahoma"/>
            <family val="2"/>
            <charset val="238"/>
          </rPr>
          <t xml:space="preserve">
24011/01 +192.228
24030/03 
 +3.419,60 úz253 1441
+30.776,40 úz911 1445
24047/04 -1.284
24048/04 -1.196
</t>
        </r>
      </text>
    </comment>
    <comment ref="D592" authorId="0" shapeId="0">
      <text>
        <r>
          <rPr>
            <b/>
            <sz val="9"/>
            <color indexed="81"/>
            <rFont val="Tahoma"/>
            <family val="2"/>
            <charset val="238"/>
          </rPr>
          <t>Jana Holíková:</t>
        </r>
        <r>
          <rPr>
            <sz val="9"/>
            <color indexed="81"/>
            <rFont val="Tahoma"/>
            <family val="2"/>
            <charset val="238"/>
          </rPr>
          <t xml:space="preserve">
24016/02 +90.488 odpisy
24027/03 
+ 4.890 úz253 1441
+44.010 úz911 1445 </t>
        </r>
      </text>
    </comment>
    <comment ref="D593" authorId="0" shapeId="0">
      <text>
        <r>
          <rPr>
            <b/>
            <sz val="9"/>
            <color indexed="81"/>
            <rFont val="Tahoma"/>
            <family val="2"/>
            <charset val="238"/>
          </rPr>
          <t>Jana Holíková:</t>
        </r>
        <r>
          <rPr>
            <sz val="9"/>
            <color indexed="81"/>
            <rFont val="Tahoma"/>
            <family val="2"/>
            <charset val="238"/>
          </rPr>
          <t xml:space="preserve">
24052/04 +72.208</t>
        </r>
      </text>
    </comment>
    <comment ref="D596" authorId="0" shapeId="0">
      <text>
        <r>
          <rPr>
            <b/>
            <sz val="9"/>
            <color indexed="81"/>
            <rFont val="Tahoma"/>
            <family val="2"/>
            <charset val="238"/>
          </rPr>
          <t>Jana Holíková:</t>
        </r>
        <r>
          <rPr>
            <sz val="9"/>
            <color indexed="81"/>
            <rFont val="Tahoma"/>
            <family val="2"/>
            <charset val="238"/>
          </rPr>
          <t xml:space="preserve">
24028/03
 +7.519 ÚZ253 1441
+67.671 úz911 1445</t>
        </r>
      </text>
    </comment>
    <comment ref="D599" authorId="0" shapeId="0">
      <text>
        <r>
          <rPr>
            <b/>
            <sz val="9"/>
            <color indexed="81"/>
            <rFont val="Tahoma"/>
            <family val="2"/>
            <charset val="238"/>
          </rPr>
          <t>Jana Holíková:</t>
        </r>
        <r>
          <rPr>
            <sz val="9"/>
            <color indexed="81"/>
            <rFont val="Tahoma"/>
            <family val="2"/>
            <charset val="238"/>
          </rPr>
          <t xml:space="preserve">
24029/03
 +6.180 ÚZ253 1441
+55.620 úz911 1445
24064/05 +313.948
24066/05 
+  261.245,45 úz 17084 1491
+4.441.172,63 úz 17085 1495
24077/06 -13.443,03</t>
        </r>
      </text>
    </comment>
    <comment ref="D601" authorId="0" shapeId="0">
      <text>
        <r>
          <rPr>
            <b/>
            <sz val="9"/>
            <color indexed="81"/>
            <rFont val="Tahoma"/>
            <charset val="1"/>
          </rPr>
          <t>Jana Holíková:</t>
        </r>
        <r>
          <rPr>
            <sz val="9"/>
            <color indexed="81"/>
            <rFont val="Tahoma"/>
            <charset val="1"/>
          </rPr>
          <t xml:space="preserve">
24066/05 
+  336.616,61 úz17518 1491
+5.722.482,44 úz 17519 1491</t>
        </r>
      </text>
    </comment>
    <comment ref="D604" authorId="0" shapeId="0">
      <text>
        <r>
          <rPr>
            <b/>
            <sz val="9"/>
            <color indexed="81"/>
            <rFont val="Tahoma"/>
            <family val="2"/>
            <charset val="238"/>
          </rPr>
          <t>Jana Holíková:</t>
        </r>
        <r>
          <rPr>
            <sz val="9"/>
            <color indexed="81"/>
            <rFont val="Tahoma"/>
            <family val="2"/>
            <charset val="238"/>
          </rPr>
          <t xml:space="preserve">
24007/01 +850.000</t>
        </r>
      </text>
    </comment>
    <comment ref="D608" authorId="0" shapeId="0">
      <text>
        <r>
          <rPr>
            <b/>
            <sz val="9"/>
            <color indexed="81"/>
            <rFont val="Tahoma"/>
            <family val="2"/>
            <charset val="238"/>
          </rPr>
          <t>Jana Holíková:</t>
        </r>
        <r>
          <rPr>
            <sz val="9"/>
            <color indexed="81"/>
            <rFont val="Tahoma"/>
            <family val="2"/>
            <charset val="238"/>
          </rPr>
          <t xml:space="preserve">
24055/04 +210.200 úz 833
</t>
        </r>
      </text>
    </comment>
    <comment ref="D611" authorId="0" shapeId="0">
      <text>
        <r>
          <rPr>
            <b/>
            <sz val="9"/>
            <color indexed="81"/>
            <rFont val="Tahoma"/>
            <charset val="1"/>
          </rPr>
          <t>Jana Holíková:</t>
        </r>
        <r>
          <rPr>
            <sz val="9"/>
            <color indexed="81"/>
            <rFont val="Tahoma"/>
            <charset val="1"/>
          </rPr>
          <t xml:space="preserve">
24059/05 +134.310</t>
        </r>
      </text>
    </comment>
    <comment ref="D615" authorId="0" shapeId="0">
      <text>
        <r>
          <rPr>
            <b/>
            <sz val="9"/>
            <color indexed="81"/>
            <rFont val="Tahoma"/>
            <family val="2"/>
            <charset val="238"/>
          </rPr>
          <t>Jana Holíková:</t>
        </r>
        <r>
          <rPr>
            <sz val="9"/>
            <color indexed="81"/>
            <rFont val="Tahoma"/>
            <family val="2"/>
            <charset val="238"/>
          </rPr>
          <t xml:space="preserve">
24043/03 -1.548</t>
        </r>
      </text>
    </comment>
    <comment ref="D625" authorId="0" shapeId="0">
      <text>
        <r>
          <rPr>
            <b/>
            <sz val="9"/>
            <color indexed="81"/>
            <rFont val="Tahoma"/>
            <family val="2"/>
            <charset val="238"/>
          </rPr>
          <t>Jana Holíková:</t>
        </r>
        <r>
          <rPr>
            <sz val="9"/>
            <color indexed="81"/>
            <rFont val="Tahoma"/>
            <family val="2"/>
            <charset val="238"/>
          </rPr>
          <t xml:space="preserve">
24021/02 -25.000</t>
        </r>
      </text>
    </comment>
    <comment ref="D626" authorId="0" shapeId="0">
      <text>
        <r>
          <rPr>
            <b/>
            <sz val="9"/>
            <color indexed="81"/>
            <rFont val="Tahoma"/>
            <family val="2"/>
            <charset val="238"/>
          </rPr>
          <t>Jana Holíková:</t>
        </r>
        <r>
          <rPr>
            <sz val="9"/>
            <color indexed="81"/>
            <rFont val="Tahoma"/>
            <family val="2"/>
            <charset val="238"/>
          </rPr>
          <t xml:space="preserve">
24021/02 -170.000</t>
        </r>
      </text>
    </comment>
    <comment ref="D628" authorId="0" shapeId="0">
      <text>
        <r>
          <rPr>
            <b/>
            <sz val="9"/>
            <color indexed="81"/>
            <rFont val="Tahoma"/>
            <family val="2"/>
            <charset val="238"/>
          </rPr>
          <t>Jana Holíková:</t>
        </r>
        <r>
          <rPr>
            <sz val="9"/>
            <color indexed="81"/>
            <rFont val="Tahoma"/>
            <family val="2"/>
            <charset val="238"/>
          </rPr>
          <t xml:space="preserve">
24021/02 +195.000</t>
        </r>
      </text>
    </comment>
    <comment ref="D633" authorId="0" shapeId="0">
      <text>
        <r>
          <rPr>
            <b/>
            <sz val="9"/>
            <color indexed="81"/>
            <rFont val="Tahoma"/>
            <family val="2"/>
            <charset val="238"/>
          </rPr>
          <t>Jana Holíková:</t>
        </r>
        <r>
          <rPr>
            <sz val="9"/>
            <color indexed="81"/>
            <rFont val="Tahoma"/>
            <family val="2"/>
            <charset val="238"/>
          </rPr>
          <t xml:space="preserve">
24001.01 +4.743.000
24023/02 +- 50.000 dar NJKL
24052/04 +18.200
24083/06 +150.000 slavnost</t>
        </r>
      </text>
    </comment>
    <comment ref="D648" authorId="0" shapeId="0">
      <text>
        <r>
          <rPr>
            <b/>
            <sz val="9"/>
            <color indexed="81"/>
            <rFont val="Tahoma"/>
            <family val="2"/>
            <charset val="238"/>
          </rPr>
          <t>Jana Holíková:</t>
        </r>
        <r>
          <rPr>
            <sz val="9"/>
            <color indexed="81"/>
            <rFont val="Tahoma"/>
            <family val="2"/>
            <charset val="238"/>
          </rPr>
          <t xml:space="preserve">
24002/01 -30.000 
24069/05 +30.000</t>
        </r>
      </text>
    </comment>
    <comment ref="D651" authorId="0" shapeId="0">
      <text>
        <r>
          <rPr>
            <b/>
            <sz val="9"/>
            <color indexed="81"/>
            <rFont val="Tahoma"/>
            <family val="2"/>
            <charset val="238"/>
          </rPr>
          <t>Jana Holíková:</t>
        </r>
        <r>
          <rPr>
            <sz val="9"/>
            <color indexed="81"/>
            <rFont val="Tahoma"/>
            <family val="2"/>
            <charset val="238"/>
          </rPr>
          <t xml:space="preserve">
24002/01 +30.000
24003/01 +10.000
24004/01 +15.000
24032/03 +70.000
24058/04 +80.000
24067/05 +10.000
24068/05 +150.000
24069/05 +36.900
24070/05 +5.000
24071/05 +40.000
24084/06 +250.000
24085/06 +147.000</t>
        </r>
      </text>
    </comment>
    <comment ref="D676" authorId="0" shapeId="0">
      <text>
        <r>
          <rPr>
            <b/>
            <sz val="9"/>
            <color indexed="81"/>
            <rFont val="Tahoma"/>
            <family val="2"/>
            <charset val="238"/>
          </rPr>
          <t>Jana Holíková:</t>
        </r>
        <r>
          <rPr>
            <sz val="9"/>
            <color indexed="81"/>
            <rFont val="Tahoma"/>
            <family val="2"/>
            <charset val="238"/>
          </rPr>
          <t xml:space="preserve">
24025.03
+320.000 +28.800</t>
        </r>
      </text>
    </comment>
    <comment ref="D678" authorId="0" shapeId="0">
      <text>
        <r>
          <rPr>
            <b/>
            <sz val="9"/>
            <color indexed="81"/>
            <rFont val="Tahoma"/>
            <family val="2"/>
            <charset val="238"/>
          </rPr>
          <t>Jana Holíková:</t>
        </r>
        <r>
          <rPr>
            <sz val="9"/>
            <color indexed="81"/>
            <rFont val="Tahoma"/>
            <family val="2"/>
            <charset val="238"/>
          </rPr>
          <t xml:space="preserve">
24018/02
+563.940,99 (5011)
+135.346 (5031)
+ 50.757 (5032)</t>
        </r>
      </text>
    </comment>
    <comment ref="D689" authorId="0" shapeId="0">
      <text>
        <r>
          <rPr>
            <b/>
            <sz val="9"/>
            <color indexed="81"/>
            <rFont val="Tahoma"/>
            <family val="2"/>
            <charset val="238"/>
          </rPr>
          <t>Jana Holíková:</t>
        </r>
        <r>
          <rPr>
            <sz val="9"/>
            <color indexed="81"/>
            <rFont val="Tahoma"/>
            <family val="2"/>
            <charset val="238"/>
          </rPr>
          <t xml:space="preserve">
24014/02 +-50.000</t>
        </r>
      </text>
    </comment>
    <comment ref="D698" authorId="0" shapeId="0">
      <text>
        <r>
          <rPr>
            <b/>
            <sz val="9"/>
            <color indexed="81"/>
            <rFont val="Tahoma"/>
            <family val="2"/>
            <charset val="238"/>
          </rPr>
          <t>Jana Holíková:</t>
        </r>
        <r>
          <rPr>
            <sz val="9"/>
            <color indexed="81"/>
            <rFont val="Tahoma"/>
            <family val="2"/>
            <charset val="238"/>
          </rPr>
          <t xml:space="preserve">
24013/02 -50.000
24075/06 -4.745</t>
        </r>
      </text>
    </comment>
    <comment ref="D703" authorId="0" shapeId="0">
      <text>
        <r>
          <rPr>
            <b/>
            <sz val="9"/>
            <color indexed="81"/>
            <rFont val="Tahoma"/>
            <family val="2"/>
            <charset val="238"/>
          </rPr>
          <t>Jana Holíková:</t>
        </r>
        <r>
          <rPr>
            <sz val="9"/>
            <color indexed="81"/>
            <rFont val="Tahoma"/>
            <family val="2"/>
            <charset val="238"/>
          </rPr>
          <t xml:space="preserve">
24034/03 -360.000</t>
        </r>
      </text>
    </comment>
    <comment ref="D710" authorId="0" shapeId="0">
      <text>
        <r>
          <rPr>
            <b/>
            <sz val="9"/>
            <color indexed="81"/>
            <rFont val="Tahoma"/>
            <family val="2"/>
            <charset val="238"/>
          </rPr>
          <t>Jana Holíková:</t>
        </r>
        <r>
          <rPr>
            <sz val="9"/>
            <color indexed="81"/>
            <rFont val="Tahoma"/>
            <family val="2"/>
            <charset val="238"/>
          </rPr>
          <t xml:space="preserve">
24013/02 +50.000
24033/03 +59.000
24024/03 +75.000
24075/06 +4.745</t>
        </r>
      </text>
    </comment>
    <comment ref="D712" authorId="0" shapeId="0">
      <text>
        <r>
          <rPr>
            <b/>
            <sz val="9"/>
            <color indexed="81"/>
            <rFont val="Tahoma"/>
            <family val="2"/>
            <charset val="238"/>
          </rPr>
          <t>Jana Holíková:</t>
        </r>
        <r>
          <rPr>
            <sz val="9"/>
            <color indexed="81"/>
            <rFont val="Tahoma"/>
            <family val="2"/>
            <charset val="238"/>
          </rPr>
          <t xml:space="preserve">
24034/03 +285.000</t>
        </r>
      </text>
    </comment>
    <comment ref="D716" authorId="0" shapeId="0">
      <text>
        <r>
          <rPr>
            <b/>
            <sz val="9"/>
            <color indexed="81"/>
            <rFont val="Tahoma"/>
            <family val="2"/>
            <charset val="238"/>
          </rPr>
          <t>Jana Holíková:</t>
        </r>
        <r>
          <rPr>
            <sz val="9"/>
            <color indexed="81"/>
            <rFont val="Tahoma"/>
            <family val="2"/>
            <charset val="238"/>
          </rPr>
          <t xml:space="preserve">
24031/03 +2.980.000 úz
24570/05 dopl.úz:
+419.000 (0390)
+181.000 (0390)
+   2.000 (0390)
+ 161.000 (2390)
+2.217.000 (2390)
-2.980.000 (0390)</t>
        </r>
      </text>
    </comment>
    <comment ref="D717" authorId="0" shapeId="0">
      <text>
        <r>
          <rPr>
            <b/>
            <sz val="9"/>
            <color indexed="81"/>
            <rFont val="Tahoma"/>
            <family val="2"/>
            <charset val="238"/>
          </rPr>
          <t>Jana Holíková:</t>
        </r>
        <r>
          <rPr>
            <sz val="9"/>
            <color indexed="81"/>
            <rFont val="Tahoma"/>
            <family val="2"/>
            <charset val="238"/>
          </rPr>
          <t xml:space="preserve">
24031/04 +559.000 úz
24570/05 dopl úz914:
+492.000 (2391)
+36.000 (2391)
+ 31.000 (1391)
-559.000 (1391)</t>
        </r>
      </text>
    </comment>
    <comment ref="D718" authorId="0" shapeId="0">
      <text>
        <r>
          <rPr>
            <b/>
            <sz val="9"/>
            <color indexed="81"/>
            <rFont val="Tahoma"/>
            <family val="2"/>
            <charset val="238"/>
          </rPr>
          <t>Jana Holíková:</t>
        </r>
        <r>
          <rPr>
            <sz val="9"/>
            <color indexed="81"/>
            <rFont val="Tahoma"/>
            <family val="2"/>
            <charset val="238"/>
          </rPr>
          <t xml:space="preserve">
24031/04 +1.034.000
24570/05 dopl.úz914
+978.000 (2393)
+ 56.000 (1393)
-1.037.000 (1393)</t>
        </r>
      </text>
    </comment>
    <comment ref="D719" authorId="0" shapeId="0">
      <text>
        <r>
          <rPr>
            <b/>
            <sz val="9"/>
            <color indexed="81"/>
            <rFont val="Tahoma"/>
            <family val="2"/>
            <charset val="238"/>
          </rPr>
          <t>Jana Holíková:</t>
        </r>
        <r>
          <rPr>
            <sz val="9"/>
            <color indexed="81"/>
            <rFont val="Tahoma"/>
            <family val="2"/>
            <charset val="238"/>
          </rPr>
          <t xml:space="preserve">
24507/01 -+2.400.000
změna org
</t>
        </r>
      </text>
    </comment>
    <comment ref="D723" authorId="0" shapeId="0">
      <text>
        <r>
          <rPr>
            <b/>
            <sz val="9"/>
            <color indexed="81"/>
            <rFont val="Tahoma"/>
            <charset val="1"/>
          </rPr>
          <t>Jana Holíková:</t>
        </r>
        <r>
          <rPr>
            <sz val="9"/>
            <color indexed="81"/>
            <rFont val="Tahoma"/>
            <charset val="1"/>
          </rPr>
          <t xml:space="preserve">
24081/06 +50.000</t>
        </r>
      </text>
    </comment>
    <comment ref="D726" authorId="0" shapeId="0">
      <text>
        <r>
          <rPr>
            <b/>
            <sz val="9"/>
            <color indexed="81"/>
            <rFont val="Tahoma"/>
            <charset val="1"/>
          </rPr>
          <t>Jana Holíková:</t>
        </r>
        <r>
          <rPr>
            <sz val="9"/>
            <color indexed="81"/>
            <rFont val="Tahoma"/>
            <charset val="1"/>
          </rPr>
          <t xml:space="preserve">
24081/06 -50.000</t>
        </r>
      </text>
    </comment>
    <comment ref="D730" authorId="0" shapeId="0">
      <text>
        <r>
          <rPr>
            <b/>
            <sz val="9"/>
            <color indexed="81"/>
            <rFont val="Tahoma"/>
            <family val="2"/>
            <charset val="238"/>
          </rPr>
          <t>Jana Holíková:</t>
        </r>
        <r>
          <rPr>
            <sz val="9"/>
            <color indexed="81"/>
            <rFont val="Tahoma"/>
            <family val="2"/>
            <charset val="238"/>
          </rPr>
          <t xml:space="preserve">
24006/01 +3.337.434</t>
        </r>
      </text>
    </comment>
    <comment ref="D751" authorId="0" shapeId="0">
      <text>
        <r>
          <rPr>
            <b/>
            <sz val="9"/>
            <color indexed="81"/>
            <rFont val="Tahoma"/>
            <charset val="1"/>
          </rPr>
          <t>Jana Holíková:</t>
        </r>
        <r>
          <rPr>
            <sz val="9"/>
            <color indexed="81"/>
            <rFont val="Tahoma"/>
            <charset val="1"/>
          </rPr>
          <t xml:space="preserve">
24571/06 +88.036</t>
        </r>
      </text>
    </comment>
    <comment ref="D755" authorId="0" shapeId="0">
      <text>
        <r>
          <rPr>
            <b/>
            <sz val="9"/>
            <color indexed="81"/>
            <rFont val="Tahoma"/>
            <family val="2"/>
            <charset val="238"/>
          </rPr>
          <t>Jana Holíková:</t>
        </r>
        <r>
          <rPr>
            <sz val="9"/>
            <color indexed="81"/>
            <rFont val="Tahoma"/>
            <family val="2"/>
            <charset val="238"/>
          </rPr>
          <t xml:space="preserve">
24533/03 -25.482,15
24564/05 -7.793
24571/06 -88.036</t>
        </r>
      </text>
    </comment>
    <comment ref="D756" authorId="0" shapeId="0">
      <text>
        <r>
          <rPr>
            <b/>
            <sz val="9"/>
            <color indexed="81"/>
            <rFont val="Tahoma"/>
            <family val="2"/>
            <charset val="238"/>
          </rPr>
          <t>Jana Holíková:</t>
        </r>
        <r>
          <rPr>
            <sz val="9"/>
            <color indexed="81"/>
            <rFont val="Tahoma"/>
            <family val="2"/>
            <charset val="238"/>
          </rPr>
          <t xml:space="preserve">
24533/03 +25.482,15
24564/05 +7.793
</t>
        </r>
      </text>
    </comment>
    <comment ref="D759" authorId="0" shapeId="0">
      <text>
        <r>
          <rPr>
            <b/>
            <sz val="9"/>
            <color indexed="81"/>
            <rFont val="Tahoma"/>
            <family val="2"/>
            <charset val="238"/>
          </rPr>
          <t>Jana Holíková:</t>
        </r>
        <r>
          <rPr>
            <sz val="9"/>
            <color indexed="81"/>
            <rFont val="Tahoma"/>
            <family val="2"/>
            <charset val="238"/>
          </rPr>
          <t xml:space="preserve">
24533/03 -7.633
24570/06 -2.800</t>
        </r>
      </text>
    </comment>
    <comment ref="D760" authorId="0" shapeId="0">
      <text>
        <r>
          <rPr>
            <b/>
            <sz val="9"/>
            <color indexed="81"/>
            <rFont val="Tahoma"/>
            <family val="2"/>
            <charset val="238"/>
          </rPr>
          <t>Jana Holíková:</t>
        </r>
        <r>
          <rPr>
            <sz val="9"/>
            <color indexed="81"/>
            <rFont val="Tahoma"/>
            <family val="2"/>
            <charset val="238"/>
          </rPr>
          <t xml:space="preserve">
24533/03 +7.633
24571/06 +2.800</t>
        </r>
      </text>
    </comment>
    <comment ref="D798" authorId="0" shapeId="0">
      <text>
        <r>
          <rPr>
            <b/>
            <sz val="9"/>
            <color indexed="81"/>
            <rFont val="Tahoma"/>
            <family val="2"/>
            <charset val="238"/>
          </rPr>
          <t>Jana Holíková:</t>
        </r>
        <r>
          <rPr>
            <sz val="9"/>
            <color indexed="81"/>
            <rFont val="Tahoma"/>
            <family val="2"/>
            <charset val="238"/>
          </rPr>
          <t xml:space="preserve">
24533/03 +210.000</t>
        </r>
      </text>
    </comment>
    <comment ref="D822" authorId="0" shapeId="0">
      <text>
        <r>
          <rPr>
            <b/>
            <sz val="9"/>
            <color indexed="81"/>
            <rFont val="Tahoma"/>
            <family val="2"/>
            <charset val="238"/>
          </rPr>
          <t>Jana Holíková:</t>
        </r>
        <r>
          <rPr>
            <sz val="9"/>
            <color indexed="81"/>
            <rFont val="Tahoma"/>
            <family val="2"/>
            <charset val="238"/>
          </rPr>
          <t xml:space="preserve">
24533/03 -210.000</t>
        </r>
      </text>
    </comment>
    <comment ref="D857" authorId="0" shapeId="0">
      <text>
        <r>
          <rPr>
            <b/>
            <sz val="9"/>
            <color indexed="81"/>
            <rFont val="Tahoma"/>
            <family val="2"/>
            <charset val="238"/>
          </rPr>
          <t>Jana Holíková:</t>
        </r>
        <r>
          <rPr>
            <sz val="9"/>
            <color indexed="81"/>
            <rFont val="Tahoma"/>
            <family val="2"/>
            <charset val="238"/>
          </rPr>
          <t xml:space="preserve">
24042/03 -45.000</t>
        </r>
      </text>
    </comment>
    <comment ref="D860" authorId="0" shapeId="0">
      <text>
        <r>
          <rPr>
            <b/>
            <sz val="9"/>
            <color indexed="81"/>
            <rFont val="Tahoma"/>
            <family val="2"/>
            <charset val="238"/>
          </rPr>
          <t>Jana Holíková:</t>
        </r>
        <r>
          <rPr>
            <sz val="9"/>
            <color indexed="81"/>
            <rFont val="Tahoma"/>
            <family val="2"/>
            <charset val="238"/>
          </rPr>
          <t xml:space="preserve">
24042/03 +45.000</t>
        </r>
      </text>
    </comment>
    <comment ref="D871" authorId="0" shapeId="0">
      <text>
        <r>
          <rPr>
            <b/>
            <sz val="9"/>
            <color indexed="81"/>
            <rFont val="Tahoma"/>
            <family val="2"/>
            <charset val="238"/>
          </rPr>
          <t>Jana Holíková:</t>
        </r>
        <r>
          <rPr>
            <sz val="9"/>
            <color indexed="81"/>
            <rFont val="Tahoma"/>
            <family val="2"/>
            <charset val="238"/>
          </rPr>
          <t xml:space="preserve">
24049/04 +16.435.050</t>
        </r>
      </text>
    </comment>
    <comment ref="D874" authorId="0" shapeId="0">
      <text>
        <r>
          <rPr>
            <b/>
            <sz val="9"/>
            <color indexed="81"/>
            <rFont val="Tahoma"/>
            <family val="2"/>
            <charset val="238"/>
          </rPr>
          <t>Jana Holíková:</t>
        </r>
        <r>
          <rPr>
            <sz val="9"/>
            <color indexed="81"/>
            <rFont val="Tahoma"/>
            <family val="2"/>
            <charset val="238"/>
          </rPr>
          <t xml:space="preserve">
24039/03  0322
+ 5.068,40  253 1441
+45.615,60  911 1445</t>
        </r>
      </text>
    </comment>
    <comment ref="D875" authorId="0" shapeId="0">
      <text>
        <r>
          <rPr>
            <b/>
            <sz val="9"/>
            <color indexed="81"/>
            <rFont val="Tahoma"/>
            <family val="2"/>
            <charset val="238"/>
          </rPr>
          <t>Jana Holíková:</t>
        </r>
        <r>
          <rPr>
            <sz val="9"/>
            <color indexed="81"/>
            <rFont val="Tahoma"/>
            <family val="2"/>
            <charset val="238"/>
          </rPr>
          <t xml:space="preserve">
24040/03  0323
+ 4.089  253 1441
+36.801  911 1445</t>
        </r>
      </text>
    </comment>
    <comment ref="D876" authorId="0" shapeId="0">
      <text>
        <r>
          <rPr>
            <b/>
            <sz val="9"/>
            <color indexed="81"/>
            <rFont val="Tahoma"/>
            <family val="2"/>
            <charset val="238"/>
          </rPr>
          <t>Jana Holíková:</t>
        </r>
        <r>
          <rPr>
            <sz val="9"/>
            <color indexed="81"/>
            <rFont val="Tahoma"/>
            <family val="2"/>
            <charset val="238"/>
          </rPr>
          <t xml:space="preserve">
24022/02  0321
+ 1.835,40  253 1441
+16.518,60 911 1445</t>
        </r>
      </text>
    </comment>
    <comment ref="D878" authorId="0" shapeId="0">
      <text>
        <r>
          <rPr>
            <b/>
            <sz val="9"/>
            <color indexed="81"/>
            <rFont val="Tahoma"/>
            <family val="2"/>
            <charset val="238"/>
          </rPr>
          <t>Jana Holíková:</t>
        </r>
        <r>
          <rPr>
            <sz val="9"/>
            <color indexed="81"/>
            <rFont val="Tahoma"/>
            <family val="2"/>
            <charset val="238"/>
          </rPr>
          <t xml:space="preserve">
24003/01 -10.000
24004/01 -15.000
24005/01 -272.932
24006/01 -3.337.434
24011/01 -192.228
24012/01 +192.228
24015/02 +319.987,99
24016/02 -90.488
24017/02 +289.333
24019/02 -266.805
24020/02 -96.558
24024/03 +400.000
24025.03 -348.800
24026.03 +3.226.272,84
24032/03 -70.000
24033/03 -59.000
24035/03 +5.514.060
24043/03 +1.548
24045/03 +5.904.137,50
24046/04 +1.844.214,70
24047/04 +1.284
24051/04 -231.352,61
24052/04 +21.989
24058/04 -80.000
24059/05 -134.310
24063/05 +8.862
24064/05 -313.948
24067/05 -10.000
24068/05 -150.000
24069/05
-36.900 -30.000
24070/05 -5.000
24071/05 -40.000
24072/05 
-1.002.336,01 +943.202,20
24073/06 +16.164.266,27
24077/06 +13.443,03
24083/06 -150.000
24084/06 -250.000
24085/06 -147.000
24587/06 -75.000</t>
        </r>
      </text>
    </comment>
    <comment ref="D879" authorId="0" shapeId="0">
      <text>
        <r>
          <rPr>
            <b/>
            <sz val="9"/>
            <color indexed="81"/>
            <rFont val="Tahoma"/>
            <charset val="1"/>
          </rPr>
          <t>Jana Holíková:</t>
        </r>
        <r>
          <rPr>
            <sz val="9"/>
            <color indexed="81"/>
            <rFont val="Tahoma"/>
            <charset val="1"/>
          </rPr>
          <t xml:space="preserve">
24587/06 +75.000</t>
        </r>
      </text>
    </comment>
  </commentList>
</comments>
</file>

<file path=xl/comments3.xml><?xml version="1.0" encoding="utf-8"?>
<comments xmlns="http://schemas.openxmlformats.org/spreadsheetml/2006/main">
  <authors>
    <author>Jana Holíková</author>
  </authors>
  <commentList>
    <comment ref="D38" authorId="0" shapeId="0">
      <text>
        <r>
          <rPr>
            <b/>
            <sz val="9"/>
            <color indexed="81"/>
            <rFont val="Tahoma"/>
            <family val="2"/>
            <charset val="238"/>
          </rPr>
          <t>Jana Holíková:</t>
        </r>
        <r>
          <rPr>
            <sz val="9"/>
            <color indexed="81"/>
            <rFont val="Tahoma"/>
            <family val="2"/>
            <charset val="238"/>
          </rPr>
          <t xml:space="preserve">
24049/04 +16.435.050</t>
        </r>
      </text>
    </comment>
    <comment ref="D42" authorId="0" shapeId="0">
      <text>
        <r>
          <rPr>
            <b/>
            <sz val="9"/>
            <color indexed="81"/>
            <rFont val="Tahoma"/>
            <family val="2"/>
            <charset val="238"/>
          </rPr>
          <t>Jana Holíková:</t>
        </r>
        <r>
          <rPr>
            <sz val="9"/>
            <color indexed="81"/>
            <rFont val="Tahoma"/>
            <family val="2"/>
            <charset val="238"/>
          </rPr>
          <t xml:space="preserve">
24045.03 +32.200</t>
        </r>
      </text>
    </comment>
    <comment ref="D61" authorId="0" shapeId="0">
      <text>
        <r>
          <rPr>
            <b/>
            <sz val="9"/>
            <color indexed="81"/>
            <rFont val="Tahoma"/>
            <family val="2"/>
            <charset val="238"/>
          </rPr>
          <t>Jana Holíková:</t>
        </r>
        <r>
          <rPr>
            <sz val="9"/>
            <color indexed="81"/>
            <rFont val="Tahoma"/>
            <family val="2"/>
            <charset val="238"/>
          </rPr>
          <t xml:space="preserve">
24045/03 +3.000.000</t>
        </r>
      </text>
    </comment>
    <comment ref="D78" authorId="0" shapeId="0">
      <text>
        <r>
          <rPr>
            <b/>
            <sz val="9"/>
            <color indexed="81"/>
            <rFont val="Tahoma"/>
            <family val="2"/>
            <charset val="238"/>
          </rPr>
          <t>Jana Holíková:</t>
        </r>
        <r>
          <rPr>
            <sz val="9"/>
            <color indexed="81"/>
            <rFont val="Tahoma"/>
            <family val="2"/>
            <charset val="238"/>
          </rPr>
          <t xml:space="preserve">
24012/01 +192.228 (309)
24046/04
+1.009.024,72 (0501)
+ 835.189,98 (0504)
24048/04 -1.196</t>
        </r>
      </text>
    </comment>
    <comment ref="D89" authorId="0" shapeId="0">
      <text>
        <r>
          <rPr>
            <b/>
            <sz val="9"/>
            <color indexed="81"/>
            <rFont val="Tahoma"/>
            <family val="2"/>
            <charset val="238"/>
          </rPr>
          <t>Jana Holíková:</t>
        </r>
        <r>
          <rPr>
            <sz val="9"/>
            <color indexed="81"/>
            <rFont val="Tahoma"/>
            <family val="2"/>
            <charset val="238"/>
          </rPr>
          <t xml:space="preserve">
24017/02 +289.333</t>
        </r>
      </text>
    </comment>
    <comment ref="D102" authorId="0" shapeId="0">
      <text>
        <r>
          <rPr>
            <b/>
            <sz val="9"/>
            <color indexed="81"/>
            <rFont val="Tahoma"/>
            <family val="2"/>
            <charset val="238"/>
          </rPr>
          <t>Jana Holíková:</t>
        </r>
        <r>
          <rPr>
            <sz val="9"/>
            <color indexed="81"/>
            <rFont val="Tahoma"/>
            <family val="2"/>
            <charset val="238"/>
          </rPr>
          <t xml:space="preserve">
24045/03 +50.700</t>
        </r>
      </text>
    </comment>
    <comment ref="D108" authorId="0" shapeId="0">
      <text>
        <r>
          <rPr>
            <b/>
            <sz val="9"/>
            <color indexed="81"/>
            <rFont val="Tahoma"/>
            <family val="2"/>
            <charset val="238"/>
          </rPr>
          <t>Jana Holíková:</t>
        </r>
        <r>
          <rPr>
            <sz val="9"/>
            <color indexed="81"/>
            <rFont val="Tahoma"/>
            <family val="2"/>
            <charset val="238"/>
          </rPr>
          <t xml:space="preserve">
24045/03 +1.600.000</t>
        </r>
      </text>
    </comment>
    <comment ref="D109" authorId="0" shapeId="0">
      <text>
        <r>
          <rPr>
            <b/>
            <sz val="9"/>
            <color indexed="81"/>
            <rFont val="Tahoma"/>
            <family val="2"/>
            <charset val="238"/>
          </rPr>
          <t>Jana Holíková:</t>
        </r>
        <r>
          <rPr>
            <sz val="9"/>
            <color indexed="81"/>
            <rFont val="Tahoma"/>
            <family val="2"/>
            <charset val="238"/>
          </rPr>
          <t xml:space="preserve">
24015/02 
+13.779,02 (0309)
+87.878,61 (0305)
+201.127,47 (0307)</t>
        </r>
      </text>
    </comment>
    <comment ref="D110" authorId="0" shapeId="0">
      <text>
        <r>
          <rPr>
            <b/>
            <sz val="9"/>
            <color indexed="81"/>
            <rFont val="Tahoma"/>
            <family val="2"/>
            <charset val="238"/>
          </rPr>
          <t>Jana Holíková:</t>
        </r>
        <r>
          <rPr>
            <sz val="9"/>
            <color indexed="81"/>
            <rFont val="Tahoma"/>
            <family val="2"/>
            <charset val="238"/>
          </rPr>
          <t xml:space="preserve">
24015/02 +236.709,36</t>
        </r>
      </text>
    </comment>
    <comment ref="D111" authorId="0" shapeId="0">
      <text>
        <r>
          <rPr>
            <b/>
            <sz val="9"/>
            <color indexed="81"/>
            <rFont val="Tahoma"/>
            <family val="2"/>
            <charset val="238"/>
          </rPr>
          <t>Jana Holíková:</t>
        </r>
        <r>
          <rPr>
            <sz val="9"/>
            <color indexed="81"/>
            <rFont val="Tahoma"/>
            <family val="2"/>
            <charset val="238"/>
          </rPr>
          <t xml:space="preserve">
24015/02 +159.713,55</t>
        </r>
      </text>
    </comment>
    <comment ref="D112" authorId="0" shapeId="0">
      <text>
        <r>
          <rPr>
            <b/>
            <sz val="9"/>
            <color indexed="81"/>
            <rFont val="Tahoma"/>
            <family val="2"/>
            <charset val="238"/>
          </rPr>
          <t>Jana Holíková:</t>
        </r>
        <r>
          <rPr>
            <sz val="9"/>
            <color indexed="81"/>
            <rFont val="Tahoma"/>
            <family val="2"/>
            <charset val="238"/>
          </rPr>
          <t xml:space="preserve">
24015/02 +391.374,39</t>
        </r>
      </text>
    </comment>
    <comment ref="D113" authorId="0" shapeId="0">
      <text>
        <r>
          <rPr>
            <b/>
            <sz val="9"/>
            <color indexed="81"/>
            <rFont val="Tahoma"/>
            <family val="2"/>
            <charset val="238"/>
          </rPr>
          <t>Jana Holíková:</t>
        </r>
        <r>
          <rPr>
            <sz val="9"/>
            <color indexed="81"/>
            <rFont val="Tahoma"/>
            <family val="2"/>
            <charset val="238"/>
          </rPr>
          <t xml:space="preserve">
24026.03 +3.226.272,84</t>
        </r>
      </text>
    </comment>
    <comment ref="D116" authorId="0" shapeId="0">
      <text>
        <r>
          <rPr>
            <b/>
            <sz val="9"/>
            <color indexed="81"/>
            <rFont val="Tahoma"/>
            <family val="2"/>
            <charset val="238"/>
          </rPr>
          <t>Jana Holíková:</t>
        </r>
        <r>
          <rPr>
            <sz val="9"/>
            <color indexed="81"/>
            <rFont val="Tahoma"/>
            <family val="2"/>
            <charset val="238"/>
          </rPr>
          <t xml:space="preserve">
24045/03 +25.251</t>
        </r>
      </text>
    </comment>
    <comment ref="D117" authorId="0" shapeId="0">
      <text>
        <r>
          <rPr>
            <b/>
            <sz val="9"/>
            <color indexed="81"/>
            <rFont val="Tahoma"/>
            <family val="2"/>
            <charset val="238"/>
          </rPr>
          <t>Jana Holíková:</t>
        </r>
        <r>
          <rPr>
            <sz val="9"/>
            <color indexed="81"/>
            <rFont val="Tahoma"/>
            <family val="2"/>
            <charset val="238"/>
          </rPr>
          <t xml:space="preserve">
24045/03 org 1180
+74.693,50  § 3111
+40.293      § 3113</t>
        </r>
      </text>
    </comment>
    <comment ref="D118" authorId="0" shapeId="0">
      <text>
        <r>
          <rPr>
            <b/>
            <sz val="9"/>
            <color indexed="81"/>
            <rFont val="Tahoma"/>
            <family val="2"/>
            <charset val="238"/>
          </rPr>
          <t>Jana Holíková:</t>
        </r>
        <r>
          <rPr>
            <sz val="9"/>
            <color indexed="81"/>
            <rFont val="Tahoma"/>
            <family val="2"/>
            <charset val="238"/>
          </rPr>
          <t xml:space="preserve">
24045/03 +900.000</t>
        </r>
      </text>
    </comment>
    <comment ref="D119" authorId="0" shapeId="0">
      <text>
        <r>
          <rPr>
            <b/>
            <sz val="9"/>
            <color indexed="81"/>
            <rFont val="Tahoma"/>
            <family val="2"/>
            <charset val="238"/>
          </rPr>
          <t>Jana Holíková:</t>
        </r>
        <r>
          <rPr>
            <sz val="9"/>
            <color indexed="81"/>
            <rFont val="Tahoma"/>
            <family val="2"/>
            <charset val="238"/>
          </rPr>
          <t xml:space="preserve">
24022/02  0321
+ 1.835,40  253 1441
+16.518,60 911 1445</t>
        </r>
      </text>
    </comment>
    <comment ref="D120" authorId="0" shapeId="0">
      <text>
        <r>
          <rPr>
            <b/>
            <sz val="9"/>
            <color indexed="81"/>
            <rFont val="Tahoma"/>
            <family val="2"/>
            <charset val="238"/>
          </rPr>
          <t>Jana Holíková:</t>
        </r>
        <r>
          <rPr>
            <sz val="9"/>
            <color indexed="81"/>
            <rFont val="Tahoma"/>
            <family val="2"/>
            <charset val="238"/>
          </rPr>
          <t xml:space="preserve">
24039/03 
+ 5.068,40 úz 253 1441
+45.615,60 úz 911 1445</t>
        </r>
      </text>
    </comment>
    <comment ref="D121" authorId="0" shapeId="0">
      <text>
        <r>
          <rPr>
            <b/>
            <sz val="9"/>
            <color indexed="81"/>
            <rFont val="Tahoma"/>
            <family val="2"/>
            <charset val="238"/>
          </rPr>
          <t>Jana Holíková:</t>
        </r>
        <r>
          <rPr>
            <sz val="9"/>
            <color indexed="81"/>
            <rFont val="Tahoma"/>
            <family val="2"/>
            <charset val="238"/>
          </rPr>
          <t xml:space="preserve">
24040/03 
+ 4.089 úz 253 1441
+36.801 úz 911 1445</t>
        </r>
      </text>
    </comment>
    <comment ref="D124" authorId="0" shapeId="0">
      <text>
        <r>
          <rPr>
            <b/>
            <sz val="9"/>
            <color indexed="81"/>
            <rFont val="Tahoma"/>
            <family val="2"/>
            <charset val="238"/>
          </rPr>
          <t>Jana Holíková:</t>
        </r>
        <r>
          <rPr>
            <sz val="9"/>
            <color indexed="81"/>
            <rFont val="Tahoma"/>
            <family val="2"/>
            <charset val="238"/>
          </rPr>
          <t xml:space="preserve">
24014/02 
-50.000 (741)
+50.000 (528)
24023/02 
-50.000 (741)
+50.000 (416)</t>
        </r>
      </text>
    </comment>
    <comment ref="D125" authorId="0" shapeId="0">
      <text>
        <r>
          <rPr>
            <b/>
            <sz val="9"/>
            <color indexed="81"/>
            <rFont val="Tahoma"/>
            <family val="2"/>
            <charset val="238"/>
          </rPr>
          <t>Jana Holíková:</t>
        </r>
        <r>
          <rPr>
            <sz val="9"/>
            <color indexed="81"/>
            <rFont val="Tahoma"/>
            <family val="2"/>
            <charset val="238"/>
          </rPr>
          <t xml:space="preserve">
24052/04 +112.397
24074/06 +186.860</t>
        </r>
      </text>
    </comment>
    <comment ref="D132" authorId="0" shapeId="0">
      <text>
        <r>
          <rPr>
            <b/>
            <sz val="9"/>
            <color indexed="81"/>
            <rFont val="Tahoma"/>
            <family val="2"/>
            <charset val="238"/>
          </rPr>
          <t>Jana Holíková:</t>
        </r>
        <r>
          <rPr>
            <sz val="9"/>
            <color indexed="81"/>
            <rFont val="Tahoma"/>
            <family val="2"/>
            <charset val="238"/>
          </rPr>
          <t xml:space="preserve">
24045/03 +180.000</t>
        </r>
      </text>
    </comment>
    <comment ref="D134" authorId="0" shapeId="0">
      <text>
        <r>
          <rPr>
            <b/>
            <sz val="9"/>
            <color indexed="81"/>
            <rFont val="Tahoma"/>
            <family val="2"/>
            <charset val="238"/>
          </rPr>
          <t>Jana Holíková:</t>
        </r>
        <r>
          <rPr>
            <sz val="9"/>
            <color indexed="81"/>
            <rFont val="Tahoma"/>
            <family val="2"/>
            <charset val="238"/>
          </rPr>
          <t xml:space="preserve">
24005/01 +250.000</t>
        </r>
      </text>
    </comment>
    <comment ref="D138" authorId="0" shapeId="0">
      <text>
        <r>
          <rPr>
            <b/>
            <sz val="9"/>
            <color indexed="81"/>
            <rFont val="Tahoma"/>
            <family val="2"/>
            <charset val="238"/>
          </rPr>
          <t>Jana Holíková:</t>
        </r>
        <r>
          <rPr>
            <sz val="9"/>
            <color indexed="81"/>
            <rFont val="Tahoma"/>
            <family val="2"/>
            <charset val="238"/>
          </rPr>
          <t xml:space="preserve">
24044/03 -3.000.000</t>
        </r>
      </text>
    </comment>
    <comment ref="D139" authorId="0" shapeId="0">
      <text>
        <r>
          <rPr>
            <b/>
            <sz val="9"/>
            <color indexed="81"/>
            <rFont val="Tahoma"/>
            <family val="2"/>
            <charset val="238"/>
          </rPr>
          <t>Jana Holíková:</t>
        </r>
        <r>
          <rPr>
            <sz val="9"/>
            <color indexed="81"/>
            <rFont val="Tahoma"/>
            <family val="2"/>
            <charset val="238"/>
          </rPr>
          <t xml:space="preserve">
24044/03 +3.000.000</t>
        </r>
      </text>
    </comment>
    <comment ref="D140" authorId="0" shapeId="0">
      <text>
        <r>
          <rPr>
            <b/>
            <sz val="9"/>
            <color indexed="81"/>
            <rFont val="Tahoma"/>
            <family val="2"/>
            <charset val="238"/>
          </rPr>
          <t>Jana Holíková:</t>
        </r>
        <r>
          <rPr>
            <sz val="9"/>
            <color indexed="81"/>
            <rFont val="Tahoma"/>
            <family val="2"/>
            <charset val="238"/>
          </rPr>
          <t xml:space="preserve">
24045/03 +1.000</t>
        </r>
      </text>
    </comment>
    <comment ref="D150" authorId="0" shapeId="0">
      <text>
        <r>
          <rPr>
            <b/>
            <sz val="9"/>
            <color indexed="81"/>
            <rFont val="Tahoma"/>
            <family val="2"/>
            <charset val="238"/>
          </rPr>
          <t>Jana Holíková:</t>
        </r>
        <r>
          <rPr>
            <sz val="9"/>
            <color indexed="81"/>
            <rFont val="Tahoma"/>
            <family val="2"/>
            <charset val="238"/>
          </rPr>
          <t xml:space="preserve">
24045/03 +250.000</t>
        </r>
      </text>
    </comment>
    <comment ref="D153" authorId="0" shapeId="0">
      <text>
        <r>
          <rPr>
            <b/>
            <sz val="9"/>
            <color indexed="81"/>
            <rFont val="Tahoma"/>
            <family val="2"/>
            <charset val="238"/>
          </rPr>
          <t>Jana Holíková:</t>
        </r>
        <r>
          <rPr>
            <sz val="9"/>
            <color indexed="81"/>
            <rFont val="Tahoma"/>
            <family val="2"/>
            <charset val="238"/>
          </rPr>
          <t xml:space="preserve">
24045/03 -250.000 chata Jič</t>
        </r>
      </text>
    </comment>
    <comment ref="D165" authorId="0" shapeId="0">
      <text>
        <r>
          <rPr>
            <b/>
            <sz val="9"/>
            <color indexed="81"/>
            <rFont val="Tahoma"/>
            <charset val="1"/>
          </rPr>
          <t>Jana Holíková:</t>
        </r>
        <r>
          <rPr>
            <sz val="9"/>
            <color indexed="81"/>
            <rFont val="Tahoma"/>
            <charset val="1"/>
          </rPr>
          <t xml:space="preserve">
24065/05 -500.000 EP </t>
        </r>
      </text>
    </comment>
    <comment ref="D166" authorId="0" shapeId="0">
      <text>
        <r>
          <rPr>
            <b/>
            <sz val="9"/>
            <color indexed="81"/>
            <rFont val="Tahoma"/>
            <charset val="1"/>
          </rPr>
          <t>Jana Holíková:</t>
        </r>
        <r>
          <rPr>
            <sz val="9"/>
            <color indexed="81"/>
            <rFont val="Tahoma"/>
            <charset val="1"/>
          </rPr>
          <t xml:space="preserve">
24073/06 +16.164.266,27 </t>
        </r>
      </text>
    </comment>
    <comment ref="D189" authorId="0" shapeId="0">
      <text>
        <r>
          <rPr>
            <b/>
            <sz val="9"/>
            <color indexed="81"/>
            <rFont val="Tahoma"/>
            <family val="2"/>
            <charset val="238"/>
          </rPr>
          <t>Jana Holíková:</t>
        </r>
        <r>
          <rPr>
            <sz val="9"/>
            <color indexed="81"/>
            <rFont val="Tahoma"/>
            <family val="2"/>
            <charset val="238"/>
          </rPr>
          <t xml:space="preserve">
24005/01 -522.932</t>
        </r>
      </text>
    </comment>
    <comment ref="D190" authorId="0" shapeId="0">
      <text>
        <r>
          <rPr>
            <b/>
            <sz val="9"/>
            <color indexed="81"/>
            <rFont val="Tahoma"/>
            <charset val="1"/>
          </rPr>
          <t>Jana Holíková:</t>
        </r>
        <r>
          <rPr>
            <sz val="9"/>
            <color indexed="81"/>
            <rFont val="Tahoma"/>
            <charset val="1"/>
          </rPr>
          <t xml:space="preserve">
24062/05-400.000</t>
        </r>
      </text>
    </comment>
    <comment ref="D191" authorId="0" shapeId="0">
      <text>
        <r>
          <rPr>
            <b/>
            <sz val="9"/>
            <color indexed="81"/>
            <rFont val="Tahoma"/>
            <charset val="1"/>
          </rPr>
          <t>Jana Holíková:</t>
        </r>
        <r>
          <rPr>
            <sz val="9"/>
            <color indexed="81"/>
            <rFont val="Tahoma"/>
            <charset val="1"/>
          </rPr>
          <t xml:space="preserve">
24072/05 -1.002.336,01</t>
        </r>
      </text>
    </comment>
    <comment ref="D197" authorId="0" shapeId="0">
      <text>
        <r>
          <rPr>
            <b/>
            <sz val="9"/>
            <color indexed="81"/>
            <rFont val="Tahoma"/>
            <family val="2"/>
            <charset val="238"/>
          </rPr>
          <t>Jana Holíková:</t>
        </r>
        <r>
          <rPr>
            <sz val="9"/>
            <color indexed="81"/>
            <rFont val="Tahoma"/>
            <family val="2"/>
            <charset val="238"/>
          </rPr>
          <t xml:space="preserve">
24018/02 +124.612,64
24050/04 +-124.612,64</t>
        </r>
      </text>
    </comment>
    <comment ref="D198" authorId="0" shapeId="0">
      <text>
        <r>
          <rPr>
            <b/>
            <sz val="9"/>
            <color indexed="81"/>
            <rFont val="Tahoma"/>
            <charset val="1"/>
          </rPr>
          <t>Jana Holíková:</t>
        </r>
        <r>
          <rPr>
            <sz val="9"/>
            <color indexed="81"/>
            <rFont val="Tahoma"/>
            <charset val="1"/>
          </rPr>
          <t xml:space="preserve">
24065/05 +724.000
</t>
        </r>
      </text>
    </comment>
    <comment ref="D208" authorId="0" shapeId="0">
      <text>
        <r>
          <rPr>
            <b/>
            <sz val="9"/>
            <color indexed="81"/>
            <rFont val="Tahoma"/>
            <family val="2"/>
            <charset val="238"/>
          </rPr>
          <t>Jana Holíková:</t>
        </r>
        <r>
          <rPr>
            <sz val="9"/>
            <color indexed="81"/>
            <rFont val="Tahoma"/>
            <family val="2"/>
            <charset val="238"/>
          </rPr>
          <t xml:space="preserve">
24018/02 +625.431,35</t>
        </r>
      </text>
    </comment>
    <comment ref="D209" authorId="0" shapeId="0">
      <text>
        <r>
          <rPr>
            <b/>
            <sz val="9"/>
            <color indexed="81"/>
            <rFont val="Tahoma"/>
            <charset val="1"/>
          </rPr>
          <t>Jana Holíková:</t>
        </r>
        <r>
          <rPr>
            <sz val="9"/>
            <color indexed="81"/>
            <rFont val="Tahoma"/>
            <charset val="1"/>
          </rPr>
          <t xml:space="preserve">
24066/05 
+   261.245,45 úz17084 1491
+4.441.172,63 úz17085 1495</t>
        </r>
      </text>
    </comment>
    <comment ref="D210" authorId="0" shapeId="0">
      <text>
        <r>
          <rPr>
            <b/>
            <sz val="9"/>
            <color indexed="81"/>
            <rFont val="Tahoma"/>
            <charset val="1"/>
          </rPr>
          <t>Jana Holíková:</t>
        </r>
        <r>
          <rPr>
            <sz val="9"/>
            <color indexed="81"/>
            <rFont val="Tahoma"/>
            <charset val="1"/>
          </rPr>
          <t xml:space="preserve">
24072/05 
+   61.704,81 úz17085 1495</t>
        </r>
      </text>
    </comment>
    <comment ref="D211" authorId="0" shapeId="0">
      <text>
        <r>
          <rPr>
            <b/>
            <sz val="9"/>
            <color indexed="81"/>
            <rFont val="Tahoma"/>
            <charset val="1"/>
          </rPr>
          <t>Jana Holíková:</t>
        </r>
        <r>
          <rPr>
            <sz val="9"/>
            <color indexed="81"/>
            <rFont val="Tahoma"/>
            <charset val="1"/>
          </rPr>
          <t xml:space="preserve">
24062/05 +400.000</t>
        </r>
      </text>
    </comment>
    <comment ref="D225" authorId="0" shapeId="0">
      <text>
        <r>
          <rPr>
            <b/>
            <sz val="9"/>
            <color indexed="81"/>
            <rFont val="Tahoma"/>
            <family val="2"/>
            <charset val="238"/>
          </rPr>
          <t>Jana Holíková:</t>
        </r>
        <r>
          <rPr>
            <sz val="9"/>
            <color indexed="81"/>
            <rFont val="Tahoma"/>
            <family val="2"/>
            <charset val="238"/>
          </rPr>
          <t xml:space="preserve">
24041/03 -+ 354.926
z ORJ 541 na 029</t>
        </r>
      </text>
    </comment>
    <comment ref="D229" authorId="0" shapeId="0">
      <text>
        <r>
          <rPr>
            <b/>
            <sz val="9"/>
            <color indexed="81"/>
            <rFont val="Tahoma"/>
            <family val="2"/>
            <charset val="238"/>
          </rPr>
          <t>Jana Holíková:</t>
        </r>
        <r>
          <rPr>
            <sz val="9"/>
            <color indexed="81"/>
            <rFont val="Tahoma"/>
            <family val="2"/>
            <charset val="238"/>
          </rPr>
          <t xml:space="preserve">
24001/01 +4.743.000</t>
        </r>
      </text>
    </comment>
    <comment ref="D230" authorId="0" shapeId="0">
      <text>
        <r>
          <rPr>
            <b/>
            <sz val="9"/>
            <color indexed="81"/>
            <rFont val="Tahoma"/>
            <family val="2"/>
            <charset val="238"/>
          </rPr>
          <t>Jana Holíková:</t>
        </r>
        <r>
          <rPr>
            <sz val="9"/>
            <color indexed="81"/>
            <rFont val="Tahoma"/>
            <family val="2"/>
            <charset val="238"/>
          </rPr>
          <t xml:space="preserve">
24056/04 +80.000</t>
        </r>
      </text>
    </comment>
    <comment ref="D233" authorId="0" shapeId="0">
      <text>
        <r>
          <rPr>
            <b/>
            <sz val="9"/>
            <color indexed="81"/>
            <rFont val="Tahoma"/>
            <family val="2"/>
            <charset val="238"/>
          </rPr>
          <t>Jana Holíková:</t>
        </r>
        <r>
          <rPr>
            <sz val="9"/>
            <color indexed="81"/>
            <rFont val="Tahoma"/>
            <family val="2"/>
            <charset val="238"/>
          </rPr>
          <t xml:space="preserve">
24055/04 +210.200</t>
        </r>
      </text>
    </comment>
    <comment ref="D236" authorId="0" shapeId="0">
      <text>
        <r>
          <rPr>
            <b/>
            <sz val="9"/>
            <color indexed="81"/>
            <rFont val="Tahoma"/>
            <family val="2"/>
            <charset val="238"/>
          </rPr>
          <t>Jana Holíková:</t>
        </r>
        <r>
          <rPr>
            <sz val="9"/>
            <color indexed="81"/>
            <rFont val="Tahoma"/>
            <family val="2"/>
            <charset val="238"/>
          </rPr>
          <t xml:space="preserve">
24030/03 
+ 3.419,60  úz253 1441
+30.776,40 úz911 1445</t>
        </r>
      </text>
    </comment>
    <comment ref="D237" authorId="0" shapeId="0">
      <text>
        <r>
          <rPr>
            <b/>
            <sz val="9"/>
            <color indexed="81"/>
            <rFont val="Tahoma"/>
            <family val="2"/>
            <charset val="238"/>
          </rPr>
          <t>Jana Holíková:</t>
        </r>
        <r>
          <rPr>
            <sz val="9"/>
            <color indexed="81"/>
            <rFont val="Tahoma"/>
            <family val="2"/>
            <charset val="238"/>
          </rPr>
          <t xml:space="preserve">
24027/03 
+ 4.890  úz253 1441
+44.010 úz911 1445</t>
        </r>
      </text>
    </comment>
    <comment ref="D238" authorId="0" shapeId="0">
      <text>
        <r>
          <rPr>
            <b/>
            <sz val="9"/>
            <color indexed="81"/>
            <rFont val="Tahoma"/>
            <family val="2"/>
            <charset val="238"/>
          </rPr>
          <t>Jana Holíková:</t>
        </r>
        <r>
          <rPr>
            <sz val="9"/>
            <color indexed="81"/>
            <rFont val="Tahoma"/>
            <family val="2"/>
            <charset val="238"/>
          </rPr>
          <t xml:space="preserve">
24027/03 
+ 7.519  úz253 1441
+67.671 úz911 1445</t>
        </r>
      </text>
    </comment>
    <comment ref="D239" authorId="0" shapeId="0">
      <text>
        <r>
          <rPr>
            <b/>
            <sz val="9"/>
            <color indexed="81"/>
            <rFont val="Tahoma"/>
            <family val="2"/>
            <charset val="238"/>
          </rPr>
          <t>Jana Holíková:</t>
        </r>
        <r>
          <rPr>
            <sz val="9"/>
            <color indexed="81"/>
            <rFont val="Tahoma"/>
            <family val="2"/>
            <charset val="238"/>
          </rPr>
          <t xml:space="preserve">
24029/03 
+ 6.180  úz253 1441
+55.620 úz911 1445</t>
        </r>
      </text>
    </comment>
    <comment ref="D241" authorId="0" shapeId="0">
      <text>
        <r>
          <rPr>
            <b/>
            <sz val="9"/>
            <color indexed="81"/>
            <rFont val="Tahoma"/>
            <family val="2"/>
            <charset val="238"/>
          </rPr>
          <t>Jana Holíková:</t>
        </r>
        <r>
          <rPr>
            <sz val="9"/>
            <color indexed="81"/>
            <rFont val="Tahoma"/>
            <family val="2"/>
            <charset val="238"/>
          </rPr>
          <t xml:space="preserve">
24031/03 +4.573.000
24570/05
oprava úz na 914</t>
        </r>
      </text>
    </comment>
    <comment ref="D253" authorId="0" shapeId="0">
      <text>
        <r>
          <rPr>
            <b/>
            <sz val="9"/>
            <color indexed="81"/>
            <rFont val="Tahoma"/>
            <charset val="1"/>
          </rPr>
          <t>Jana Holíková:</t>
        </r>
        <r>
          <rPr>
            <sz val="9"/>
            <color indexed="81"/>
            <rFont val="Tahoma"/>
            <charset val="1"/>
          </rPr>
          <t xml:space="preserve">
24066/05 
+  336.616,61 úz17518 1491
+5.722.482,44 úz17519 1495</t>
        </r>
      </text>
    </comment>
    <comment ref="D254" authorId="0" shapeId="0">
      <text>
        <r>
          <rPr>
            <b/>
            <sz val="9"/>
            <color indexed="81"/>
            <rFont val="Tahoma"/>
            <charset val="1"/>
          </rPr>
          <t>Jana Holíková:</t>
        </r>
        <r>
          <rPr>
            <sz val="9"/>
            <color indexed="81"/>
            <rFont val="Tahoma"/>
            <charset val="1"/>
          </rPr>
          <t xml:space="preserve">
24072/05 
+  881.497,39 úz17519 1495</t>
        </r>
      </text>
    </comment>
    <comment ref="D262" authorId="0" shapeId="0">
      <text>
        <r>
          <rPr>
            <b/>
            <sz val="9"/>
            <color indexed="81"/>
            <rFont val="Tahoma"/>
            <family val="2"/>
            <charset val="238"/>
          </rPr>
          <t>Jana Holíková:</t>
        </r>
        <r>
          <rPr>
            <sz val="9"/>
            <color indexed="81"/>
            <rFont val="Tahoma"/>
            <family val="2"/>
            <charset val="238"/>
          </rPr>
          <t xml:space="preserve">
24035/03 + 5.514.060</t>
        </r>
      </text>
    </comment>
    <comment ref="D264" authorId="0" shapeId="0">
      <text>
        <r>
          <rPr>
            <b/>
            <sz val="9"/>
            <color indexed="81"/>
            <rFont val="Tahoma"/>
            <family val="2"/>
            <charset val="238"/>
          </rPr>
          <t>Jana Holíková:</t>
        </r>
        <r>
          <rPr>
            <sz val="9"/>
            <color indexed="81"/>
            <rFont val="Tahoma"/>
            <family val="2"/>
            <charset val="238"/>
          </rPr>
          <t xml:space="preserve">
24057/04 +300.000</t>
        </r>
      </text>
    </comment>
    <comment ref="D273" authorId="0" shapeId="0">
      <text>
        <r>
          <rPr>
            <b/>
            <sz val="9"/>
            <color indexed="81"/>
            <rFont val="Tahoma"/>
            <charset val="1"/>
          </rPr>
          <t>Jana Holíková:</t>
        </r>
        <r>
          <rPr>
            <sz val="9"/>
            <color indexed="81"/>
            <rFont val="Tahoma"/>
            <charset val="1"/>
          </rPr>
          <t xml:space="preserve">
24073 -+16.164.266,27</t>
        </r>
      </text>
    </comment>
    <comment ref="D285" authorId="0" shapeId="0">
      <text>
        <r>
          <rPr>
            <b/>
            <sz val="9"/>
            <color indexed="81"/>
            <rFont val="Tahoma"/>
            <family val="2"/>
            <charset val="238"/>
          </rPr>
          <t>Jana Holíková:</t>
        </r>
        <r>
          <rPr>
            <sz val="9"/>
            <color indexed="81"/>
            <rFont val="Tahoma"/>
            <family val="2"/>
            <charset val="238"/>
          </rPr>
          <t xml:space="preserve">
24009/01 -200.000
</t>
        </r>
      </text>
    </comment>
    <comment ref="D287" authorId="0" shapeId="0">
      <text>
        <r>
          <rPr>
            <b/>
            <sz val="9"/>
            <color indexed="81"/>
            <rFont val="Tahoma"/>
            <family val="2"/>
            <charset val="238"/>
          </rPr>
          <t>Jana Holíková:</t>
        </r>
        <r>
          <rPr>
            <sz val="9"/>
            <color indexed="81"/>
            <rFont val="Tahoma"/>
            <family val="2"/>
            <charset val="238"/>
          </rPr>
          <t xml:space="preserve">
24009/01 -1.500.000</t>
        </r>
      </text>
    </comment>
    <comment ref="D303" authorId="0" shapeId="0">
      <text>
        <r>
          <rPr>
            <b/>
            <sz val="9"/>
            <color indexed="81"/>
            <rFont val="Tahoma"/>
            <charset val="1"/>
          </rPr>
          <t>Jana Holíková:</t>
        </r>
        <r>
          <rPr>
            <sz val="9"/>
            <color indexed="81"/>
            <rFont val="Tahoma"/>
            <charset val="1"/>
          </rPr>
          <t xml:space="preserve">
24076/06 + 353.320</t>
        </r>
      </text>
    </comment>
    <comment ref="D305" authorId="0" shapeId="0">
      <text>
        <r>
          <rPr>
            <b/>
            <sz val="9"/>
            <color indexed="81"/>
            <rFont val="Tahoma"/>
            <charset val="1"/>
          </rPr>
          <t>Jana Holíková:</t>
        </r>
        <r>
          <rPr>
            <sz val="9"/>
            <color indexed="81"/>
            <rFont val="Tahoma"/>
            <charset val="1"/>
          </rPr>
          <t xml:space="preserve">
24076/06 -353.320</t>
        </r>
      </text>
    </comment>
    <comment ref="D310" authorId="0" shapeId="0">
      <text>
        <r>
          <rPr>
            <b/>
            <sz val="9"/>
            <color indexed="81"/>
            <rFont val="Tahoma"/>
            <charset val="1"/>
          </rPr>
          <t>Jana Holíková:</t>
        </r>
        <r>
          <rPr>
            <sz val="9"/>
            <color indexed="81"/>
            <rFont val="Tahoma"/>
            <charset val="1"/>
          </rPr>
          <t xml:space="preserve">
24060/05 +1.100.000
lávka Novosady</t>
        </r>
      </text>
    </comment>
    <comment ref="D311" authorId="0" shapeId="0">
      <text>
        <r>
          <rPr>
            <b/>
            <sz val="9"/>
            <color indexed="81"/>
            <rFont val="Tahoma"/>
            <family val="2"/>
            <charset val="238"/>
          </rPr>
          <t>Jana Holíková:</t>
        </r>
        <r>
          <rPr>
            <sz val="9"/>
            <color indexed="81"/>
            <rFont val="Tahoma"/>
            <family val="2"/>
            <charset val="238"/>
          </rPr>
          <t xml:space="preserve">
24508/01 -42.086</t>
        </r>
      </text>
    </comment>
    <comment ref="D312" authorId="0" shapeId="0">
      <text>
        <r>
          <rPr>
            <b/>
            <sz val="9"/>
            <color indexed="81"/>
            <rFont val="Tahoma"/>
            <family val="2"/>
            <charset val="238"/>
          </rPr>
          <t>Jana Holíková:</t>
        </r>
        <r>
          <rPr>
            <sz val="9"/>
            <color indexed="81"/>
            <rFont val="Tahoma"/>
            <family val="2"/>
            <charset val="238"/>
          </rPr>
          <t xml:space="preserve">
24508/01 +42.086
</t>
        </r>
      </text>
    </comment>
    <comment ref="D320" authorId="0" shapeId="0">
      <text>
        <r>
          <rPr>
            <b/>
            <sz val="9"/>
            <color indexed="81"/>
            <rFont val="Tahoma"/>
            <family val="2"/>
            <charset val="238"/>
          </rPr>
          <t>Jana Holíková:</t>
        </r>
        <r>
          <rPr>
            <sz val="9"/>
            <color indexed="81"/>
            <rFont val="Tahoma"/>
            <family val="2"/>
            <charset val="238"/>
          </rPr>
          <t xml:space="preserve">
24010/01 +100.000
24580/06 +76.452,36</t>
        </r>
      </text>
    </comment>
    <comment ref="D323" authorId="0" shapeId="0">
      <text>
        <r>
          <rPr>
            <b/>
            <sz val="9"/>
            <color indexed="81"/>
            <rFont val="Tahoma"/>
            <family val="2"/>
            <charset val="238"/>
          </rPr>
          <t>Jana Holíková:</t>
        </r>
        <r>
          <rPr>
            <sz val="9"/>
            <color indexed="81"/>
            <rFont val="Tahoma"/>
            <family val="2"/>
            <charset val="238"/>
          </rPr>
          <t xml:space="preserve">
24580/06 -76.452,36</t>
        </r>
      </text>
    </comment>
    <comment ref="D324" authorId="0" shapeId="0">
      <text>
        <r>
          <rPr>
            <b/>
            <sz val="9"/>
            <color indexed="81"/>
            <rFont val="Tahoma"/>
            <family val="2"/>
            <charset val="238"/>
          </rPr>
          <t>Jana Holíková:</t>
        </r>
        <r>
          <rPr>
            <sz val="9"/>
            <color indexed="81"/>
            <rFont val="Tahoma"/>
            <family val="2"/>
            <charset val="238"/>
          </rPr>
          <t xml:space="preserve">
24019/02 +266.805</t>
        </r>
      </text>
    </comment>
    <comment ref="D328" authorId="0" shapeId="0">
      <text>
        <r>
          <rPr>
            <b/>
            <sz val="9"/>
            <color indexed="81"/>
            <rFont val="Tahoma"/>
            <family val="2"/>
            <charset val="238"/>
          </rPr>
          <t>Jana Holíková:</t>
        </r>
        <r>
          <rPr>
            <sz val="9"/>
            <color indexed="81"/>
            <rFont val="Tahoma"/>
            <family val="2"/>
            <charset val="238"/>
          </rPr>
          <t xml:space="preserve">
24582/06 +-16.044,60
z 5169 na 5139</t>
        </r>
      </text>
    </comment>
    <comment ref="D333" authorId="0" shapeId="0">
      <text>
        <r>
          <rPr>
            <b/>
            <sz val="9"/>
            <color indexed="81"/>
            <rFont val="Tahoma"/>
            <family val="2"/>
            <charset val="238"/>
          </rPr>
          <t>Jana Holíková:</t>
        </r>
        <r>
          <rPr>
            <sz val="9"/>
            <color indexed="81"/>
            <rFont val="Tahoma"/>
            <family val="2"/>
            <charset val="238"/>
          </rPr>
          <t xml:space="preserve">
24581/06 -5.000</t>
        </r>
      </text>
    </comment>
    <comment ref="D334" authorId="0" shapeId="0">
      <text>
        <r>
          <rPr>
            <b/>
            <sz val="9"/>
            <color indexed="81"/>
            <rFont val="Tahoma"/>
            <family val="2"/>
            <charset val="238"/>
          </rPr>
          <t>Jana Holíková:</t>
        </r>
        <r>
          <rPr>
            <sz val="9"/>
            <color indexed="81"/>
            <rFont val="Tahoma"/>
            <family val="2"/>
            <charset val="238"/>
          </rPr>
          <t xml:space="preserve">
24581/06 +5.000</t>
        </r>
      </text>
    </comment>
    <comment ref="D338" authorId="0" shapeId="0">
      <text>
        <r>
          <rPr>
            <b/>
            <sz val="9"/>
            <color indexed="81"/>
            <rFont val="Tahoma"/>
            <charset val="1"/>
          </rPr>
          <t>Jana Holíková:</t>
        </r>
        <r>
          <rPr>
            <sz val="9"/>
            <color indexed="81"/>
            <rFont val="Tahoma"/>
            <charset val="1"/>
          </rPr>
          <t xml:space="preserve">
24569/05 -10.000</t>
        </r>
      </text>
    </comment>
    <comment ref="D339" authorId="0" shapeId="0">
      <text>
        <r>
          <rPr>
            <b/>
            <sz val="9"/>
            <color indexed="81"/>
            <rFont val="Tahoma"/>
            <charset val="1"/>
          </rPr>
          <t>Jana Holíková:</t>
        </r>
        <r>
          <rPr>
            <sz val="9"/>
            <color indexed="81"/>
            <rFont val="Tahoma"/>
            <charset val="1"/>
          </rPr>
          <t xml:space="preserve">
24569/05 +10.000
</t>
        </r>
      </text>
    </comment>
    <comment ref="D342" authorId="0" shapeId="0">
      <text>
        <r>
          <rPr>
            <b/>
            <sz val="9"/>
            <color indexed="81"/>
            <rFont val="Tahoma"/>
            <family val="2"/>
            <charset val="238"/>
          </rPr>
          <t>Jana Holíková:</t>
        </r>
        <r>
          <rPr>
            <sz val="9"/>
            <color indexed="81"/>
            <rFont val="Tahoma"/>
            <family val="2"/>
            <charset val="238"/>
          </rPr>
          <t xml:space="preserve">
24513/01 -1230</t>
        </r>
      </text>
    </comment>
    <comment ref="D343" authorId="0" shapeId="0">
      <text>
        <r>
          <rPr>
            <b/>
            <sz val="9"/>
            <color indexed="81"/>
            <rFont val="Tahoma"/>
            <family val="2"/>
            <charset val="238"/>
          </rPr>
          <t>Jana Holíková:</t>
        </r>
        <r>
          <rPr>
            <sz val="9"/>
            <color indexed="81"/>
            <rFont val="Tahoma"/>
            <family val="2"/>
            <charset val="238"/>
          </rPr>
          <t xml:space="preserve">
24513/01 +1.230</t>
        </r>
      </text>
    </comment>
    <comment ref="D344" authorId="0" shapeId="0">
      <text>
        <r>
          <rPr>
            <b/>
            <sz val="9"/>
            <color indexed="81"/>
            <rFont val="Tahoma"/>
            <family val="2"/>
            <charset val="238"/>
          </rPr>
          <t>Jana Holíková:</t>
        </r>
        <r>
          <rPr>
            <sz val="9"/>
            <color indexed="81"/>
            <rFont val="Tahoma"/>
            <family val="2"/>
            <charset val="238"/>
          </rPr>
          <t xml:space="preserve">
24578/06 +29.142</t>
        </r>
      </text>
    </comment>
    <comment ref="D345" authorId="0" shapeId="0">
      <text>
        <r>
          <rPr>
            <b/>
            <sz val="9"/>
            <color indexed="81"/>
            <rFont val="Tahoma"/>
            <family val="2"/>
            <charset val="238"/>
          </rPr>
          <t>Jana Holíková:</t>
        </r>
        <r>
          <rPr>
            <sz val="9"/>
            <color indexed="81"/>
            <rFont val="Tahoma"/>
            <family val="2"/>
            <charset val="238"/>
          </rPr>
          <t xml:space="preserve">
24512/01 +-600.000
z 6121 na 6122
24578/06 -29.142</t>
        </r>
      </text>
    </comment>
    <comment ref="D351" authorId="0" shapeId="0">
      <text>
        <r>
          <rPr>
            <b/>
            <sz val="9"/>
            <color indexed="81"/>
            <rFont val="Tahoma"/>
            <charset val="1"/>
          </rPr>
          <t>Jana Holíková:</t>
        </r>
        <r>
          <rPr>
            <sz val="9"/>
            <color indexed="81"/>
            <rFont val="Tahoma"/>
            <charset val="1"/>
          </rPr>
          <t xml:space="preserve">
24078/06 -39.446</t>
        </r>
      </text>
    </comment>
    <comment ref="D353" authorId="0" shapeId="0">
      <text>
        <r>
          <rPr>
            <b/>
            <sz val="9"/>
            <color indexed="81"/>
            <rFont val="Tahoma"/>
            <family val="2"/>
            <charset val="238"/>
          </rPr>
          <t>Jana Holíková:</t>
        </r>
        <r>
          <rPr>
            <sz val="9"/>
            <color indexed="81"/>
            <rFont val="Tahoma"/>
            <family val="2"/>
            <charset val="238"/>
          </rPr>
          <t xml:space="preserve">
24054/04 -287.641,20
24082/06 -33.226,60</t>
        </r>
      </text>
    </comment>
    <comment ref="D358" authorId="0" shapeId="0">
      <text>
        <r>
          <rPr>
            <b/>
            <sz val="9"/>
            <color indexed="81"/>
            <rFont val="Tahoma"/>
            <charset val="1"/>
          </rPr>
          <t>Jana Holíková:</t>
        </r>
        <r>
          <rPr>
            <sz val="9"/>
            <color indexed="81"/>
            <rFont val="Tahoma"/>
            <charset val="1"/>
          </rPr>
          <t xml:space="preserve">
24057/04 +287.641,20
24078/06 +39.446</t>
        </r>
      </text>
    </comment>
    <comment ref="D366" authorId="0" shapeId="0">
      <text>
        <r>
          <rPr>
            <b/>
            <sz val="9"/>
            <color indexed="81"/>
            <rFont val="Tahoma"/>
            <charset val="1"/>
          </rPr>
          <t>Jana Holíková:</t>
        </r>
        <r>
          <rPr>
            <sz val="9"/>
            <color indexed="81"/>
            <rFont val="Tahoma"/>
            <charset val="1"/>
          </rPr>
          <t xml:space="preserve">
24074/06 +144.474 poj.událost-oploc Hükc.v.</t>
        </r>
      </text>
    </comment>
    <comment ref="D371" authorId="0" shapeId="0">
      <text>
        <r>
          <rPr>
            <b/>
            <sz val="9"/>
            <color indexed="81"/>
            <rFont val="Tahoma"/>
            <family val="2"/>
            <charset val="238"/>
          </rPr>
          <t>Jana Holíková:</t>
        </r>
        <r>
          <rPr>
            <sz val="9"/>
            <color indexed="81"/>
            <rFont val="Tahoma"/>
            <family val="2"/>
            <charset val="238"/>
          </rPr>
          <t xml:space="preserve">
24511/01 -102.752,67
24550/04 -51.376,34
24074/06 +42.386 poj.u</t>
        </r>
      </text>
    </comment>
    <comment ref="D373" authorId="0" shapeId="0">
      <text>
        <r>
          <rPr>
            <b/>
            <sz val="9"/>
            <color indexed="81"/>
            <rFont val="Tahoma"/>
            <charset val="1"/>
          </rPr>
          <t>Jana Holíková:</t>
        </r>
        <r>
          <rPr>
            <sz val="9"/>
            <color indexed="81"/>
            <rFont val="Tahoma"/>
            <charset val="1"/>
          </rPr>
          <t xml:space="preserve">
24063/05 +75.138</t>
        </r>
      </text>
    </comment>
    <comment ref="D375" authorId="0" shapeId="0">
      <text>
        <r>
          <rPr>
            <b/>
            <sz val="9"/>
            <color indexed="81"/>
            <rFont val="Tahoma"/>
            <charset val="1"/>
          </rPr>
          <t>Jana Holíková:</t>
        </r>
        <r>
          <rPr>
            <sz val="9"/>
            <color indexed="81"/>
            <rFont val="Tahoma"/>
            <charset val="1"/>
          </rPr>
          <t xml:space="preserve">
24063/05 -84.000</t>
        </r>
      </text>
    </comment>
    <comment ref="D376" authorId="0" shapeId="0">
      <text>
        <r>
          <rPr>
            <b/>
            <sz val="9"/>
            <color indexed="81"/>
            <rFont val="Tahoma"/>
            <family val="2"/>
            <charset val="238"/>
          </rPr>
          <t>Jana Holíková:</t>
        </r>
        <r>
          <rPr>
            <sz val="9"/>
            <color indexed="81"/>
            <rFont val="Tahoma"/>
            <family val="2"/>
            <charset val="238"/>
          </rPr>
          <t xml:space="preserve">
24511/01 +102.752,67
24550/04 + 51.376,34
</t>
        </r>
      </text>
    </comment>
    <comment ref="D378" authorId="0" shapeId="0">
      <text>
        <r>
          <rPr>
            <b/>
            <sz val="9"/>
            <color indexed="81"/>
            <rFont val="Tahoma"/>
            <family val="2"/>
            <charset val="238"/>
          </rPr>
          <t>Jana Holíková:</t>
        </r>
        <r>
          <rPr>
            <sz val="9"/>
            <color indexed="81"/>
            <rFont val="Tahoma"/>
            <family val="2"/>
            <charset val="238"/>
          </rPr>
          <t xml:space="preserve">
24020/02 +70.301</t>
        </r>
      </text>
    </comment>
    <comment ref="D379" authorId="0" shapeId="0">
      <text>
        <r>
          <rPr>
            <b/>
            <sz val="9"/>
            <color indexed="81"/>
            <rFont val="Tahoma"/>
            <family val="2"/>
            <charset val="238"/>
          </rPr>
          <t>Jana Holíková:</t>
        </r>
        <r>
          <rPr>
            <sz val="9"/>
            <color indexed="81"/>
            <rFont val="Tahoma"/>
            <family val="2"/>
            <charset val="238"/>
          </rPr>
          <t xml:space="preserve">
24020/02 +26.257</t>
        </r>
      </text>
    </comment>
    <comment ref="D406" authorId="0" shapeId="0">
      <text>
        <r>
          <rPr>
            <b/>
            <sz val="9"/>
            <color indexed="81"/>
            <rFont val="Tahoma"/>
            <family val="2"/>
            <charset val="238"/>
          </rPr>
          <t>Jana Holíková:</t>
        </r>
        <r>
          <rPr>
            <sz val="9"/>
            <color indexed="81"/>
            <rFont val="Tahoma"/>
            <family val="2"/>
            <charset val="238"/>
          </rPr>
          <t xml:space="preserve">
24009/01 +200.000
24541/03 +40.000</t>
        </r>
      </text>
    </comment>
    <comment ref="D407" authorId="0" shapeId="0">
      <text>
        <r>
          <rPr>
            <b/>
            <sz val="9"/>
            <color indexed="81"/>
            <rFont val="Tahoma"/>
            <family val="2"/>
            <charset val="238"/>
          </rPr>
          <t>Jana Holíková:</t>
        </r>
        <r>
          <rPr>
            <sz val="9"/>
            <color indexed="81"/>
            <rFont val="Tahoma"/>
            <family val="2"/>
            <charset val="238"/>
          </rPr>
          <t xml:space="preserve">
24009/01 +1.500.000
24541/03 -40.000</t>
        </r>
      </text>
    </comment>
    <comment ref="D414" authorId="0" shapeId="0">
      <text>
        <r>
          <rPr>
            <b/>
            <sz val="9"/>
            <color indexed="81"/>
            <rFont val="Tahoma"/>
            <family val="2"/>
            <charset val="238"/>
          </rPr>
          <t>Jana Holíková:</t>
        </r>
        <r>
          <rPr>
            <sz val="9"/>
            <color indexed="81"/>
            <rFont val="Tahoma"/>
            <family val="2"/>
            <charset val="238"/>
          </rPr>
          <t xml:space="preserve">
24549/04 -300</t>
        </r>
      </text>
    </comment>
    <comment ref="D417" authorId="0" shapeId="0">
      <text>
        <r>
          <rPr>
            <b/>
            <sz val="9"/>
            <color indexed="81"/>
            <rFont val="Tahoma"/>
            <family val="2"/>
            <charset val="238"/>
          </rPr>
          <t>Jana Holíková:</t>
        </r>
        <r>
          <rPr>
            <sz val="9"/>
            <color indexed="81"/>
            <rFont val="Tahoma"/>
            <family val="2"/>
            <charset val="238"/>
          </rPr>
          <t xml:space="preserve">
24549/04 +300</t>
        </r>
      </text>
    </comment>
    <comment ref="D420" authorId="0" shapeId="0">
      <text>
        <r>
          <rPr>
            <b/>
            <sz val="9"/>
            <color indexed="81"/>
            <rFont val="Tahoma"/>
            <charset val="1"/>
          </rPr>
          <t>Jana Holíková:</t>
        </r>
        <r>
          <rPr>
            <sz val="9"/>
            <color indexed="81"/>
            <rFont val="Tahoma"/>
            <charset val="1"/>
          </rPr>
          <t xml:space="preserve">
24574/06 -160.000</t>
        </r>
      </text>
    </comment>
    <comment ref="D422" authorId="0" shapeId="0">
      <text>
        <r>
          <rPr>
            <b/>
            <sz val="9"/>
            <color indexed="81"/>
            <rFont val="Tahoma"/>
            <charset val="1"/>
          </rPr>
          <t>Jana Holíková:</t>
        </r>
        <r>
          <rPr>
            <sz val="9"/>
            <color indexed="81"/>
            <rFont val="Tahoma"/>
            <charset val="1"/>
          </rPr>
          <t xml:space="preserve">
24060/05 -1.100.000
24563/05 - 400.000</t>
        </r>
      </text>
    </comment>
    <comment ref="D428" authorId="0" shapeId="0">
      <text>
        <r>
          <rPr>
            <b/>
            <sz val="9"/>
            <color indexed="81"/>
            <rFont val="Tahoma"/>
            <family val="2"/>
            <charset val="238"/>
          </rPr>
          <t>Jana Holíková:</t>
        </r>
        <r>
          <rPr>
            <sz val="9"/>
            <color indexed="81"/>
            <rFont val="Tahoma"/>
            <family val="2"/>
            <charset val="238"/>
          </rPr>
          <t xml:space="preserve">
24038/03 +8.000.000</t>
        </r>
      </text>
    </comment>
    <comment ref="D429" authorId="0" shapeId="0">
      <text>
        <r>
          <rPr>
            <b/>
            <sz val="9"/>
            <color indexed="81"/>
            <rFont val="Tahoma"/>
            <family val="2"/>
            <charset val="238"/>
          </rPr>
          <t>Jana Holíková:</t>
        </r>
        <r>
          <rPr>
            <sz val="9"/>
            <color indexed="81"/>
            <rFont val="Tahoma"/>
            <family val="2"/>
            <charset val="238"/>
          </rPr>
          <t xml:space="preserve">
24574/06 +160.000</t>
        </r>
      </text>
    </comment>
    <comment ref="D435" authorId="0" shapeId="0">
      <text>
        <r>
          <rPr>
            <b/>
            <sz val="9"/>
            <color indexed="81"/>
            <rFont val="Tahoma"/>
            <charset val="1"/>
          </rPr>
          <t>Jana Holíková:</t>
        </r>
        <r>
          <rPr>
            <sz val="9"/>
            <color indexed="81"/>
            <rFont val="Tahoma"/>
            <charset val="1"/>
          </rPr>
          <t xml:space="preserve">
24080/06 -400.000</t>
        </r>
      </text>
    </comment>
    <comment ref="D437" authorId="0" shapeId="0">
      <text>
        <r>
          <rPr>
            <b/>
            <sz val="9"/>
            <color indexed="81"/>
            <rFont val="Tahoma"/>
            <charset val="1"/>
          </rPr>
          <t>Jana Holíková:</t>
        </r>
        <r>
          <rPr>
            <sz val="9"/>
            <color indexed="81"/>
            <rFont val="Tahoma"/>
            <charset val="1"/>
          </rPr>
          <t xml:space="preserve">
24563/05 +400.000</t>
        </r>
      </text>
    </comment>
    <comment ref="D443" authorId="0" shapeId="0">
      <text>
        <r>
          <rPr>
            <b/>
            <sz val="9"/>
            <color indexed="81"/>
            <rFont val="Tahoma"/>
            <family val="2"/>
            <charset val="238"/>
          </rPr>
          <t>Jana Holíková:</t>
        </r>
        <r>
          <rPr>
            <sz val="9"/>
            <color indexed="81"/>
            <rFont val="Tahoma"/>
            <family val="2"/>
            <charset val="238"/>
          </rPr>
          <t xml:space="preserve">
24522/02 +481.000</t>
        </r>
      </text>
    </comment>
    <comment ref="D445" authorId="0" shapeId="0">
      <text>
        <r>
          <rPr>
            <b/>
            <sz val="9"/>
            <color indexed="81"/>
            <rFont val="Tahoma"/>
            <charset val="1"/>
          </rPr>
          <t>Jana Holíková:</t>
        </r>
        <r>
          <rPr>
            <sz val="9"/>
            <color indexed="81"/>
            <rFont val="Tahoma"/>
            <charset val="1"/>
          </rPr>
          <t xml:space="preserve">
24080/06 -500.000</t>
        </r>
      </text>
    </comment>
    <comment ref="D448" authorId="0" shapeId="0">
      <text>
        <r>
          <rPr>
            <b/>
            <sz val="9"/>
            <color indexed="81"/>
            <rFont val="Tahoma"/>
            <family val="2"/>
            <charset val="238"/>
          </rPr>
          <t>Jana Holíková:</t>
        </r>
        <r>
          <rPr>
            <sz val="9"/>
            <color indexed="81"/>
            <rFont val="Tahoma"/>
            <family val="2"/>
            <charset val="238"/>
          </rPr>
          <t xml:space="preserve">
24037/03 -500.000
24568/05 -12.000</t>
        </r>
      </text>
    </comment>
    <comment ref="D449" authorId="0" shapeId="0">
      <text>
        <r>
          <rPr>
            <b/>
            <sz val="9"/>
            <color indexed="81"/>
            <rFont val="Tahoma"/>
            <family val="2"/>
            <charset val="238"/>
          </rPr>
          <t>Jana Holíková:</t>
        </r>
        <r>
          <rPr>
            <sz val="9"/>
            <color indexed="81"/>
            <rFont val="Tahoma"/>
            <family val="2"/>
            <charset val="238"/>
          </rPr>
          <t xml:space="preserve">
24037/03 -500.000</t>
        </r>
      </text>
    </comment>
    <comment ref="D456" authorId="0" shapeId="0">
      <text>
        <r>
          <rPr>
            <b/>
            <sz val="9"/>
            <color indexed="81"/>
            <rFont val="Tahoma"/>
            <family val="2"/>
            <charset val="238"/>
          </rPr>
          <t>Jana Holíková:</t>
        </r>
        <r>
          <rPr>
            <sz val="9"/>
            <color indexed="81"/>
            <rFont val="Tahoma"/>
            <family val="2"/>
            <charset val="238"/>
          </rPr>
          <t xml:space="preserve">
24504/01 -1.055.000
24562/05 +1.255.000</t>
        </r>
      </text>
    </comment>
    <comment ref="D459" authorId="0" shapeId="0">
      <text>
        <r>
          <rPr>
            <b/>
            <sz val="9"/>
            <color indexed="81"/>
            <rFont val="Tahoma"/>
            <family val="2"/>
            <charset val="238"/>
          </rPr>
          <t>Jana Holíková:</t>
        </r>
        <r>
          <rPr>
            <sz val="9"/>
            <color indexed="81"/>
            <rFont val="Tahoma"/>
            <family val="2"/>
            <charset val="238"/>
          </rPr>
          <t xml:space="preserve">
24503/01 +11.390</t>
        </r>
      </text>
    </comment>
    <comment ref="D462" authorId="0" shapeId="0">
      <text>
        <r>
          <rPr>
            <b/>
            <sz val="9"/>
            <color indexed="81"/>
            <rFont val="Tahoma"/>
            <family val="2"/>
            <charset val="238"/>
          </rPr>
          <t>Jana Holíková:</t>
        </r>
        <r>
          <rPr>
            <sz val="9"/>
            <color indexed="81"/>
            <rFont val="Tahoma"/>
            <family val="2"/>
            <charset val="238"/>
          </rPr>
          <t xml:space="preserve">
24543/03 +181.000</t>
        </r>
      </text>
    </comment>
    <comment ref="D463" authorId="0" shapeId="0">
      <text>
        <r>
          <rPr>
            <b/>
            <sz val="9"/>
            <color indexed="81"/>
            <rFont val="Tahoma"/>
            <family val="2"/>
            <charset val="238"/>
          </rPr>
          <t>Jana Holíková:</t>
        </r>
        <r>
          <rPr>
            <sz val="9"/>
            <color indexed="81"/>
            <rFont val="Tahoma"/>
            <family val="2"/>
            <charset val="238"/>
          </rPr>
          <t xml:space="preserve">
24522/02 -158.000
24537/03 - 34.000</t>
        </r>
      </text>
    </comment>
    <comment ref="D464" authorId="0" shapeId="0">
      <text>
        <r>
          <rPr>
            <b/>
            <sz val="9"/>
            <color indexed="81"/>
            <rFont val="Tahoma"/>
            <family val="2"/>
            <charset val="238"/>
          </rPr>
          <t>Jana Holíková:</t>
        </r>
        <r>
          <rPr>
            <sz val="9"/>
            <color indexed="81"/>
            <rFont val="Tahoma"/>
            <family val="2"/>
            <charset val="238"/>
          </rPr>
          <t xml:space="preserve">
24522/02 -323.000
24568/05 +12.000</t>
        </r>
      </text>
    </comment>
    <comment ref="D467" authorId="0" shapeId="0">
      <text>
        <r>
          <rPr>
            <b/>
            <sz val="9"/>
            <color indexed="81"/>
            <rFont val="Tahoma"/>
            <family val="2"/>
            <charset val="238"/>
          </rPr>
          <t>Jana Holíková:</t>
        </r>
        <r>
          <rPr>
            <sz val="9"/>
            <color indexed="81"/>
            <rFont val="Tahoma"/>
            <family val="2"/>
            <charset val="238"/>
          </rPr>
          <t xml:space="preserve">
24504/01 +540.500
24537/03 + 34.000</t>
        </r>
      </text>
    </comment>
    <comment ref="D468" authorId="0" shapeId="0">
      <text>
        <r>
          <rPr>
            <b/>
            <sz val="9"/>
            <color indexed="81"/>
            <rFont val="Tahoma"/>
            <family val="2"/>
            <charset val="238"/>
          </rPr>
          <t>Jana Holíková:</t>
        </r>
        <r>
          <rPr>
            <sz val="9"/>
            <color indexed="81"/>
            <rFont val="Tahoma"/>
            <family val="2"/>
            <charset val="238"/>
          </rPr>
          <t xml:space="preserve">
24504/01 +514.500</t>
        </r>
      </text>
    </comment>
    <comment ref="D470" authorId="0" shapeId="0">
      <text>
        <r>
          <rPr>
            <b/>
            <sz val="9"/>
            <color indexed="81"/>
            <rFont val="Tahoma"/>
            <family val="2"/>
            <charset val="238"/>
          </rPr>
          <t>Jana Holíková:</t>
        </r>
        <r>
          <rPr>
            <sz val="9"/>
            <color indexed="81"/>
            <rFont val="Tahoma"/>
            <family val="2"/>
            <charset val="238"/>
          </rPr>
          <t xml:space="preserve">
24503/01 -11.390
24565/05 -30.000</t>
        </r>
      </text>
    </comment>
    <comment ref="D471" authorId="0" shapeId="0">
      <text>
        <r>
          <rPr>
            <b/>
            <sz val="9"/>
            <color indexed="81"/>
            <rFont val="Tahoma"/>
            <charset val="1"/>
          </rPr>
          <t>Jana Holíková:</t>
        </r>
        <r>
          <rPr>
            <sz val="9"/>
            <color indexed="81"/>
            <rFont val="Tahoma"/>
            <charset val="1"/>
          </rPr>
          <t xml:space="preserve">
24565/05 +30.000</t>
        </r>
      </text>
    </comment>
    <comment ref="D472" authorId="0" shapeId="0">
      <text>
        <r>
          <rPr>
            <b/>
            <sz val="9"/>
            <color indexed="81"/>
            <rFont val="Tahoma"/>
            <family val="2"/>
            <charset val="238"/>
          </rPr>
          <t>Jana Holíková:</t>
        </r>
        <r>
          <rPr>
            <sz val="9"/>
            <color indexed="81"/>
            <rFont val="Tahoma"/>
            <family val="2"/>
            <charset val="238"/>
          </rPr>
          <t xml:space="preserve">
24010/01 -100.000</t>
        </r>
      </text>
    </comment>
    <comment ref="D473" authorId="0" shapeId="0">
      <text>
        <r>
          <rPr>
            <b/>
            <sz val="9"/>
            <color indexed="81"/>
            <rFont val="Tahoma"/>
            <family val="2"/>
            <charset val="238"/>
          </rPr>
          <t>Jana Holíková:</t>
        </r>
        <r>
          <rPr>
            <sz val="9"/>
            <color indexed="81"/>
            <rFont val="Tahoma"/>
            <family val="2"/>
            <charset val="238"/>
          </rPr>
          <t xml:space="preserve">
24543/03 -181.000
24562/05 -1.255.000</t>
        </r>
      </text>
    </comment>
    <comment ref="D483" authorId="0" shapeId="0">
      <text>
        <r>
          <rPr>
            <b/>
            <sz val="9"/>
            <color indexed="81"/>
            <rFont val="Tahoma"/>
            <charset val="1"/>
          </rPr>
          <t>Jana Holíková:</t>
        </r>
        <r>
          <rPr>
            <sz val="9"/>
            <color indexed="81"/>
            <rFont val="Tahoma"/>
            <charset val="1"/>
          </rPr>
          <t xml:space="preserve">
24080/06 -500.000</t>
        </r>
      </text>
    </comment>
    <comment ref="D487" authorId="0" shapeId="0">
      <text>
        <r>
          <rPr>
            <b/>
            <sz val="9"/>
            <color indexed="81"/>
            <rFont val="Tahoma"/>
            <family val="2"/>
            <charset val="238"/>
          </rPr>
          <t>Jana Holíková:</t>
        </r>
        <r>
          <rPr>
            <sz val="9"/>
            <color indexed="81"/>
            <rFont val="Tahoma"/>
            <family val="2"/>
            <charset val="238"/>
          </rPr>
          <t xml:space="preserve">
24530/03 +27.000</t>
        </r>
      </text>
    </comment>
    <comment ref="D488" authorId="0" shapeId="0">
      <text>
        <r>
          <rPr>
            <b/>
            <sz val="9"/>
            <color indexed="81"/>
            <rFont val="Tahoma"/>
            <family val="2"/>
            <charset val="238"/>
          </rPr>
          <t>Jana Holíková:</t>
        </r>
        <r>
          <rPr>
            <sz val="9"/>
            <color indexed="81"/>
            <rFont val="Tahoma"/>
            <family val="2"/>
            <charset val="238"/>
          </rPr>
          <t xml:space="preserve">
24530/03 +17.000
24534/03 +12.000</t>
        </r>
      </text>
    </comment>
    <comment ref="D490" authorId="0" shapeId="0">
      <text>
        <r>
          <rPr>
            <b/>
            <sz val="9"/>
            <color indexed="81"/>
            <rFont val="Tahoma"/>
            <family val="2"/>
            <charset val="238"/>
          </rPr>
          <t>Jana Holíková:</t>
        </r>
        <r>
          <rPr>
            <sz val="9"/>
            <color indexed="81"/>
            <rFont val="Tahoma"/>
            <family val="2"/>
            <charset val="238"/>
          </rPr>
          <t xml:space="preserve">
24530/03 -44.000
24534/03 -12.000</t>
        </r>
      </text>
    </comment>
    <comment ref="D497" authorId="0" shapeId="0">
      <text>
        <r>
          <rPr>
            <b/>
            <sz val="9"/>
            <color indexed="81"/>
            <rFont val="Tahoma"/>
            <family val="2"/>
            <charset val="238"/>
          </rPr>
          <t>Jana Holíková:</t>
        </r>
        <r>
          <rPr>
            <sz val="9"/>
            <color indexed="81"/>
            <rFont val="Tahoma"/>
            <family val="2"/>
            <charset val="238"/>
          </rPr>
          <t xml:space="preserve">
34546/04 
+-27.929.601,32
dopl. úz, NáZ</t>
        </r>
      </text>
    </comment>
    <comment ref="D498" authorId="0" shapeId="0">
      <text>
        <r>
          <rPr>
            <b/>
            <sz val="9"/>
            <color indexed="81"/>
            <rFont val="Tahoma"/>
            <charset val="1"/>
          </rPr>
          <t>Jana Holíková:</t>
        </r>
        <r>
          <rPr>
            <sz val="9"/>
            <color indexed="81"/>
            <rFont val="Tahoma"/>
            <charset val="1"/>
          </rPr>
          <t xml:space="preserve">
24061/05 +70.000</t>
        </r>
      </text>
    </comment>
    <comment ref="D499" authorId="0" shapeId="0">
      <text>
        <r>
          <rPr>
            <b/>
            <sz val="9"/>
            <color indexed="81"/>
            <rFont val="Tahoma"/>
            <family val="2"/>
            <charset val="238"/>
          </rPr>
          <t>Jana Holíková:</t>
        </r>
        <r>
          <rPr>
            <sz val="9"/>
            <color indexed="81"/>
            <rFont val="Tahoma"/>
            <family val="2"/>
            <charset val="238"/>
          </rPr>
          <t xml:space="preserve">
24526.02 -10.000</t>
        </r>
      </text>
    </comment>
    <comment ref="D500" authorId="0" shapeId="0">
      <text>
        <r>
          <rPr>
            <b/>
            <sz val="9"/>
            <color indexed="81"/>
            <rFont val="Tahoma"/>
            <family val="2"/>
            <charset val="238"/>
          </rPr>
          <t>Jana Holíková:</t>
        </r>
        <r>
          <rPr>
            <sz val="9"/>
            <color indexed="81"/>
            <rFont val="Tahoma"/>
            <family val="2"/>
            <charset val="238"/>
          </rPr>
          <t xml:space="preserve">
24526/02 +10.000</t>
        </r>
      </text>
    </comment>
    <comment ref="D501" authorId="0" shapeId="0">
      <text>
        <r>
          <rPr>
            <b/>
            <sz val="9"/>
            <color indexed="81"/>
            <rFont val="Tahoma"/>
            <family val="2"/>
            <charset val="238"/>
          </rPr>
          <t>Jana Holíková:</t>
        </r>
        <r>
          <rPr>
            <sz val="9"/>
            <color indexed="81"/>
            <rFont val="Tahoma"/>
            <family val="2"/>
            <charset val="238"/>
          </rPr>
          <t xml:space="preserve">
24007/01 -850.000</t>
        </r>
      </text>
    </comment>
    <comment ref="D504" authorId="0" shapeId="0">
      <text>
        <r>
          <rPr>
            <b/>
            <sz val="9"/>
            <color indexed="81"/>
            <rFont val="Tahoma"/>
            <family val="2"/>
            <charset val="238"/>
          </rPr>
          <t>Jana Holíková:</t>
        </r>
        <r>
          <rPr>
            <sz val="9"/>
            <color indexed="81"/>
            <rFont val="Tahoma"/>
            <family val="2"/>
            <charset val="238"/>
          </rPr>
          <t xml:space="preserve">
24501/01 +40.000
24514/01 +4.000</t>
        </r>
      </text>
    </comment>
    <comment ref="D505" authorId="0" shapeId="0">
      <text>
        <r>
          <rPr>
            <b/>
            <sz val="9"/>
            <color indexed="81"/>
            <rFont val="Tahoma"/>
            <family val="2"/>
            <charset val="238"/>
          </rPr>
          <t>Jana Holíková:</t>
        </r>
        <r>
          <rPr>
            <sz val="9"/>
            <color indexed="81"/>
            <rFont val="Tahoma"/>
            <family val="2"/>
            <charset val="238"/>
          </rPr>
          <t xml:space="preserve">
24501/01 -40.000
24514/01 -4.000
24038/03 -5.700.000
24080/06 -1.000.000</t>
        </r>
      </text>
    </comment>
    <comment ref="D509" authorId="0" shapeId="0">
      <text>
        <r>
          <rPr>
            <b/>
            <sz val="9"/>
            <color indexed="81"/>
            <rFont val="Tahoma"/>
            <family val="2"/>
            <charset val="238"/>
          </rPr>
          <t>Jana Holíková:</t>
        </r>
        <r>
          <rPr>
            <sz val="9"/>
            <color indexed="81"/>
            <rFont val="Tahoma"/>
            <family val="2"/>
            <charset val="238"/>
          </rPr>
          <t xml:space="preserve">
24036/03 
+1.000.000+100.000</t>
        </r>
      </text>
    </comment>
    <comment ref="D516" authorId="0" shapeId="0">
      <text>
        <r>
          <rPr>
            <b/>
            <sz val="9"/>
            <color indexed="81"/>
            <rFont val="Tahoma"/>
            <family val="2"/>
            <charset val="238"/>
          </rPr>
          <t>Jana Holíková:</t>
        </r>
        <r>
          <rPr>
            <sz val="9"/>
            <color indexed="81"/>
            <rFont val="Tahoma"/>
            <family val="2"/>
            <charset val="238"/>
          </rPr>
          <t xml:space="preserve">
24502/01 +200.000</t>
        </r>
      </text>
    </comment>
    <comment ref="D517" authorId="0" shapeId="0">
      <text>
        <r>
          <rPr>
            <b/>
            <sz val="9"/>
            <color indexed="81"/>
            <rFont val="Tahoma"/>
            <family val="2"/>
            <charset val="238"/>
          </rPr>
          <t>Jana Holíková:</t>
        </r>
        <r>
          <rPr>
            <sz val="9"/>
            <color indexed="81"/>
            <rFont val="Tahoma"/>
            <family val="2"/>
            <charset val="238"/>
          </rPr>
          <t xml:space="preserve">
24502/01 -200.000
24024/03 -400.000 part.rozp
24036/03 -1.000.000 -100.000
24586/06 -59.290</t>
        </r>
      </text>
    </comment>
    <comment ref="D518" authorId="0" shapeId="0">
      <text>
        <r>
          <rPr>
            <b/>
            <sz val="9"/>
            <color indexed="81"/>
            <rFont val="Tahoma"/>
            <family val="2"/>
            <charset val="238"/>
          </rPr>
          <t>Jana Holíková:</t>
        </r>
        <r>
          <rPr>
            <sz val="9"/>
            <color indexed="81"/>
            <rFont val="Tahoma"/>
            <family val="2"/>
            <charset val="238"/>
          </rPr>
          <t xml:space="preserve">
24586/06
+ 41.503 úz 15017 1701
+ 17.787 bez úz     1701</t>
        </r>
      </text>
    </comment>
    <comment ref="D525" authorId="0" shapeId="0">
      <text>
        <r>
          <rPr>
            <b/>
            <sz val="9"/>
            <color indexed="81"/>
            <rFont val="Tahoma"/>
            <family val="2"/>
            <charset val="238"/>
          </rPr>
          <t>Jana Holíková:</t>
        </r>
        <r>
          <rPr>
            <sz val="9"/>
            <color indexed="81"/>
            <rFont val="Tahoma"/>
            <family val="2"/>
            <charset val="238"/>
          </rPr>
          <t xml:space="preserve">
24529/03 - oprava pol na 6121</t>
        </r>
      </text>
    </comment>
    <comment ref="D526" authorId="0" shapeId="0">
      <text>
        <r>
          <rPr>
            <b/>
            <sz val="9"/>
            <color indexed="81"/>
            <rFont val="Tahoma"/>
            <family val="2"/>
            <charset val="238"/>
          </rPr>
          <t>Jana Holíková:</t>
        </r>
        <r>
          <rPr>
            <sz val="9"/>
            <color indexed="81"/>
            <rFont val="Tahoma"/>
            <family val="2"/>
            <charset val="238"/>
          </rPr>
          <t xml:space="preserve">
24506/01 -+250.000 
z 5169 na 6122</t>
        </r>
      </text>
    </comment>
    <comment ref="D529" authorId="0" shapeId="0">
      <text>
        <r>
          <rPr>
            <b/>
            <sz val="9"/>
            <color indexed="81"/>
            <rFont val="Tahoma"/>
            <family val="2"/>
            <charset val="238"/>
          </rPr>
          <t>Jana Holíková:</t>
        </r>
        <r>
          <rPr>
            <sz val="9"/>
            <color indexed="81"/>
            <rFont val="Tahoma"/>
            <family val="2"/>
            <charset val="238"/>
          </rPr>
          <t xml:space="preserve">
24535/03 
-20.000 5171
+20.000 5169</t>
        </r>
      </text>
    </comment>
    <comment ref="D531" authorId="0" shapeId="0">
      <text>
        <r>
          <rPr>
            <b/>
            <sz val="9"/>
            <color indexed="81"/>
            <rFont val="Tahoma"/>
            <family val="2"/>
            <charset val="238"/>
          </rPr>
          <t>Jana Holíková:</t>
        </r>
        <r>
          <rPr>
            <sz val="9"/>
            <color indexed="81"/>
            <rFont val="Tahoma"/>
            <family val="2"/>
            <charset val="238"/>
          </rPr>
          <t xml:space="preserve">
24532/03 -6.000</t>
        </r>
      </text>
    </comment>
    <comment ref="D534" authorId="0" shapeId="0">
      <text>
        <r>
          <rPr>
            <b/>
            <sz val="9"/>
            <color indexed="81"/>
            <rFont val="Tahoma"/>
            <family val="2"/>
            <charset val="238"/>
          </rPr>
          <t>Jana Holíková:</t>
        </r>
        <r>
          <rPr>
            <sz val="9"/>
            <color indexed="81"/>
            <rFont val="Tahoma"/>
            <family val="2"/>
            <charset val="238"/>
          </rPr>
          <t xml:space="preserve">
24532/03 +6.000</t>
        </r>
      </text>
    </comment>
    <comment ref="D535" authorId="0" shapeId="0">
      <text>
        <r>
          <rPr>
            <b/>
            <sz val="9"/>
            <color indexed="81"/>
            <rFont val="Tahoma"/>
            <charset val="1"/>
          </rPr>
          <t>Jana Holíková:</t>
        </r>
        <r>
          <rPr>
            <sz val="9"/>
            <color indexed="81"/>
            <rFont val="Tahoma"/>
            <charset val="1"/>
          </rPr>
          <t xml:space="preserve">
24079/06 +160.000</t>
        </r>
      </text>
    </comment>
    <comment ref="D539" authorId="0" shapeId="0">
      <text>
        <r>
          <rPr>
            <b/>
            <sz val="9"/>
            <color indexed="81"/>
            <rFont val="Tahoma"/>
            <family val="2"/>
            <charset val="238"/>
          </rPr>
          <t>Jana Holíková:</t>
        </r>
        <r>
          <rPr>
            <sz val="9"/>
            <color indexed="81"/>
            <rFont val="Tahoma"/>
            <family val="2"/>
            <charset val="238"/>
          </rPr>
          <t xml:space="preserve">
240518.02 +150.470</t>
        </r>
      </text>
    </comment>
    <comment ref="D541" authorId="0" shapeId="0">
      <text>
        <r>
          <rPr>
            <b/>
            <sz val="9"/>
            <color indexed="81"/>
            <rFont val="Tahoma"/>
            <family val="2"/>
            <charset val="238"/>
          </rPr>
          <t>Jana Holíková:</t>
        </r>
        <r>
          <rPr>
            <sz val="9"/>
            <color indexed="81"/>
            <rFont val="Tahoma"/>
            <family val="2"/>
            <charset val="238"/>
          </rPr>
          <t xml:space="preserve">
24505/01 -20.000
24518/02 -150.470
24080/06 +4.500.000</t>
        </r>
      </text>
    </comment>
    <comment ref="D542" authorId="0" shapeId="0">
      <text>
        <r>
          <rPr>
            <b/>
            <sz val="9"/>
            <color indexed="81"/>
            <rFont val="Tahoma"/>
            <family val="2"/>
            <charset val="238"/>
          </rPr>
          <t>Jana Holíková:</t>
        </r>
        <r>
          <rPr>
            <sz val="9"/>
            <color indexed="81"/>
            <rFont val="Tahoma"/>
            <family val="2"/>
            <charset val="238"/>
          </rPr>
          <t xml:space="preserve">
24505/01 +20.000</t>
        </r>
      </text>
    </comment>
    <comment ref="D552" authorId="0" shapeId="0">
      <text>
        <r>
          <rPr>
            <b/>
            <sz val="9"/>
            <color indexed="81"/>
            <rFont val="Tahoma"/>
            <charset val="1"/>
          </rPr>
          <t>Jana Holíková:</t>
        </r>
        <r>
          <rPr>
            <sz val="9"/>
            <color indexed="81"/>
            <rFont val="Tahoma"/>
            <charset val="1"/>
          </rPr>
          <t xml:space="preserve">
24061/05 -70.000</t>
        </r>
      </text>
    </comment>
    <comment ref="D565" authorId="0" shapeId="0">
      <text>
        <r>
          <rPr>
            <b/>
            <sz val="9"/>
            <color indexed="81"/>
            <rFont val="Tahoma"/>
            <family val="2"/>
            <charset val="238"/>
          </rPr>
          <t>Jana Holíková:</t>
        </r>
        <r>
          <rPr>
            <sz val="9"/>
            <color indexed="81"/>
            <rFont val="Tahoma"/>
            <family val="2"/>
            <charset val="238"/>
          </rPr>
          <t xml:space="preserve">
24037/03 -1.000.000</t>
        </r>
      </text>
    </comment>
    <comment ref="D570" authorId="0" shapeId="0">
      <text>
        <r>
          <rPr>
            <b/>
            <sz val="9"/>
            <color indexed="81"/>
            <rFont val="Tahoma"/>
            <family val="2"/>
            <charset val="238"/>
          </rPr>
          <t>Jana Holíková:</t>
        </r>
        <r>
          <rPr>
            <sz val="9"/>
            <color indexed="81"/>
            <rFont val="Tahoma"/>
            <family val="2"/>
            <charset val="238"/>
          </rPr>
          <t xml:space="preserve">
24536/03 
-550.000 5169
</t>
        </r>
      </text>
    </comment>
    <comment ref="D576" authorId="0" shapeId="0">
      <text>
        <r>
          <rPr>
            <b/>
            <sz val="9"/>
            <color indexed="81"/>
            <rFont val="Tahoma"/>
            <family val="2"/>
            <charset val="238"/>
          </rPr>
          <t>Jana Holíková:</t>
        </r>
        <r>
          <rPr>
            <sz val="9"/>
            <color indexed="81"/>
            <rFont val="Tahoma"/>
            <family val="2"/>
            <charset val="238"/>
          </rPr>
          <t xml:space="preserve">
24536/03 +550.000</t>
        </r>
      </text>
    </comment>
    <comment ref="D577" authorId="0" shapeId="0">
      <text>
        <r>
          <rPr>
            <b/>
            <sz val="9"/>
            <color indexed="81"/>
            <rFont val="Tahoma"/>
            <charset val="1"/>
          </rPr>
          <t>Jana Holíková:</t>
        </r>
        <r>
          <rPr>
            <sz val="9"/>
            <color indexed="81"/>
            <rFont val="Tahoma"/>
            <charset val="1"/>
          </rPr>
          <t xml:space="preserve">
24080/06 -1.900.000</t>
        </r>
      </text>
    </comment>
    <comment ref="D578" authorId="0" shapeId="0">
      <text>
        <r>
          <rPr>
            <b/>
            <sz val="9"/>
            <color indexed="81"/>
            <rFont val="Tahoma"/>
            <charset val="1"/>
          </rPr>
          <t>Jana Holíková:</t>
        </r>
        <r>
          <rPr>
            <sz val="9"/>
            <color indexed="81"/>
            <rFont val="Tahoma"/>
            <charset val="1"/>
          </rPr>
          <t xml:space="preserve">
24079/06 -160.000</t>
        </r>
      </text>
    </comment>
    <comment ref="D581" authorId="0" shapeId="0">
      <text>
        <r>
          <rPr>
            <b/>
            <sz val="9"/>
            <color indexed="81"/>
            <rFont val="Tahoma"/>
            <family val="2"/>
            <charset val="238"/>
          </rPr>
          <t>Jana Holíková:</t>
        </r>
        <r>
          <rPr>
            <sz val="9"/>
            <color indexed="81"/>
            <rFont val="Tahoma"/>
            <family val="2"/>
            <charset val="238"/>
          </rPr>
          <t xml:space="preserve">
24008/01 -3.500.000</t>
        </r>
      </text>
    </comment>
    <comment ref="D582" authorId="0" shapeId="0">
      <text>
        <r>
          <rPr>
            <b/>
            <sz val="9"/>
            <color indexed="81"/>
            <rFont val="Tahoma"/>
            <family val="2"/>
            <charset val="238"/>
          </rPr>
          <t>Jana Holíková:</t>
        </r>
        <r>
          <rPr>
            <sz val="9"/>
            <color indexed="81"/>
            <rFont val="Tahoma"/>
            <family val="2"/>
            <charset val="238"/>
          </rPr>
          <t xml:space="preserve">
23037/03 +5.600.000</t>
        </r>
      </text>
    </comment>
    <comment ref="D585" authorId="0" shapeId="0">
      <text>
        <r>
          <rPr>
            <b/>
            <sz val="9"/>
            <color indexed="81"/>
            <rFont val="Tahoma"/>
            <family val="2"/>
            <charset val="238"/>
          </rPr>
          <t>Jana Holíková:</t>
        </r>
        <r>
          <rPr>
            <sz val="9"/>
            <color indexed="81"/>
            <rFont val="Tahoma"/>
            <family val="2"/>
            <charset val="238"/>
          </rPr>
          <t xml:space="preserve">
24008/01 -500.000</t>
        </r>
      </text>
    </comment>
    <comment ref="D588" authorId="0" shapeId="0">
      <text>
        <r>
          <rPr>
            <b/>
            <sz val="9"/>
            <color indexed="81"/>
            <rFont val="Tahoma"/>
            <family val="2"/>
            <charset val="238"/>
          </rPr>
          <t>Jana Holíková:</t>
        </r>
        <r>
          <rPr>
            <sz val="9"/>
            <color indexed="81"/>
            <rFont val="Tahoma"/>
            <family val="2"/>
            <charset val="238"/>
          </rPr>
          <t xml:space="preserve">
24037/03 -900.000 -200.000
24038/03 -2.300.000</t>
        </r>
      </text>
    </comment>
    <comment ref="D602" authorId="0" shapeId="0">
      <text>
        <r>
          <rPr>
            <b/>
            <sz val="9"/>
            <color indexed="81"/>
            <rFont val="Tahoma"/>
            <family val="2"/>
            <charset val="238"/>
          </rPr>
          <t>Jana Holíková:</t>
        </r>
        <r>
          <rPr>
            <sz val="9"/>
            <color indexed="81"/>
            <rFont val="Tahoma"/>
            <family val="2"/>
            <charset val="238"/>
          </rPr>
          <t xml:space="preserve">
24037/03 -2.500.000
24080/06 -200.000</t>
        </r>
      </text>
    </comment>
    <comment ref="D604" authorId="0" shapeId="0">
      <text>
        <r>
          <rPr>
            <b/>
            <sz val="9"/>
            <color indexed="81"/>
            <rFont val="Tahoma"/>
            <family val="2"/>
            <charset val="238"/>
          </rPr>
          <t>Jana Holíková:</t>
        </r>
        <r>
          <rPr>
            <sz val="9"/>
            <color indexed="81"/>
            <rFont val="Tahoma"/>
            <family val="2"/>
            <charset val="238"/>
          </rPr>
          <t xml:space="preserve">
24008/01 +3.500.000</t>
        </r>
      </text>
    </comment>
    <comment ref="D606" authorId="0" shapeId="0">
      <text>
        <r>
          <rPr>
            <b/>
            <sz val="9"/>
            <color indexed="81"/>
            <rFont val="Tahoma"/>
            <family val="2"/>
            <charset val="238"/>
          </rPr>
          <t>Jana Holíková:</t>
        </r>
        <r>
          <rPr>
            <sz val="9"/>
            <color indexed="81"/>
            <rFont val="Tahoma"/>
            <family val="2"/>
            <charset val="238"/>
          </rPr>
          <t xml:space="preserve">
24008/01 +500.000</t>
        </r>
      </text>
    </comment>
    <comment ref="D611" authorId="0" shapeId="0">
      <text>
        <r>
          <rPr>
            <b/>
            <sz val="9"/>
            <color indexed="81"/>
            <rFont val="Tahoma"/>
            <family val="2"/>
            <charset val="238"/>
          </rPr>
          <t>Jana Holíková:</t>
        </r>
        <r>
          <rPr>
            <sz val="9"/>
            <color indexed="81"/>
            <rFont val="Tahoma"/>
            <family val="2"/>
            <charset val="238"/>
          </rPr>
          <t xml:space="preserve">
24583/06 +380.000</t>
        </r>
      </text>
    </comment>
    <comment ref="D612" authorId="0" shapeId="0">
      <text>
        <r>
          <rPr>
            <b/>
            <sz val="9"/>
            <color indexed="81"/>
            <rFont val="Tahoma"/>
            <family val="2"/>
            <charset val="238"/>
          </rPr>
          <t>Jana Holíková:</t>
        </r>
        <r>
          <rPr>
            <sz val="9"/>
            <color indexed="81"/>
            <rFont val="Tahoma"/>
            <family val="2"/>
            <charset val="238"/>
          </rPr>
          <t xml:space="preserve">
24583/06 +100.000</t>
        </r>
      </text>
    </comment>
    <comment ref="D614" authorId="0" shapeId="0">
      <text>
        <r>
          <rPr>
            <b/>
            <sz val="9"/>
            <color indexed="81"/>
            <rFont val="Tahoma"/>
            <family val="2"/>
            <charset val="238"/>
          </rPr>
          <t>Jana Holíková:</t>
        </r>
        <r>
          <rPr>
            <sz val="9"/>
            <color indexed="81"/>
            <rFont val="Tahoma"/>
            <family val="2"/>
            <charset val="238"/>
          </rPr>
          <t xml:space="preserve">
24583/06 -480.000</t>
        </r>
      </text>
    </comment>
    <comment ref="D619" authorId="0" shapeId="0">
      <text>
        <r>
          <rPr>
            <b/>
            <sz val="9"/>
            <color indexed="81"/>
            <rFont val="Tahoma"/>
            <family val="2"/>
            <charset val="238"/>
          </rPr>
          <t>Jana Holíková:</t>
        </r>
        <r>
          <rPr>
            <sz val="9"/>
            <color indexed="81"/>
            <rFont val="Tahoma"/>
            <family val="2"/>
            <charset val="238"/>
          </rPr>
          <t xml:space="preserve">
24035/03 +- 5.514.060
dozn úz22504 NáZ1705
24548/04 +110.000</t>
        </r>
      </text>
    </comment>
    <comment ref="D622" authorId="0" shapeId="0">
      <text>
        <r>
          <rPr>
            <b/>
            <sz val="9"/>
            <color indexed="81"/>
            <rFont val="Tahoma"/>
            <family val="2"/>
            <charset val="238"/>
          </rPr>
          <t>Jana Holíková:</t>
        </r>
        <r>
          <rPr>
            <sz val="9"/>
            <color indexed="81"/>
            <rFont val="Tahoma"/>
            <family val="2"/>
            <charset val="238"/>
          </rPr>
          <t xml:space="preserve">
24548/04 -110.000</t>
        </r>
      </text>
    </comment>
    <comment ref="D627" authorId="0" shapeId="0">
      <text>
        <r>
          <rPr>
            <b/>
            <sz val="9"/>
            <color indexed="81"/>
            <rFont val="Tahoma"/>
            <family val="2"/>
            <charset val="238"/>
          </rPr>
          <t>Jana Holíková:</t>
        </r>
        <r>
          <rPr>
            <sz val="9"/>
            <color indexed="81"/>
            <rFont val="Tahoma"/>
            <family val="2"/>
            <charset val="238"/>
          </rPr>
          <t xml:space="preserve">
24539/03 +- 250.000
dopl. úz42</t>
        </r>
      </text>
    </comment>
    <comment ref="D640" authorId="0" shapeId="0">
      <text>
        <r>
          <rPr>
            <b/>
            <sz val="9"/>
            <color indexed="81"/>
            <rFont val="Tahoma"/>
            <family val="2"/>
            <charset val="238"/>
          </rPr>
          <t>Jana Holíková:</t>
        </r>
        <r>
          <rPr>
            <sz val="9"/>
            <color indexed="81"/>
            <rFont val="Tahoma"/>
            <family val="2"/>
            <charset val="238"/>
          </rPr>
          <t xml:space="preserve">
24538/03 +-231.352,61 
dopl. Úz 15501 NáZ 1481,5
245051/04 
+196.649,72 úz 15501 1485
+ 34.702,89 1481
24053/04 -535.000
24056/04 +80.000 úz673
24057/04 +300.000 úz392
24554/04 +-231.352,61 zpět</t>
        </r>
      </text>
    </comment>
    <comment ref="D642" authorId="0" shapeId="0">
      <text>
        <r>
          <rPr>
            <b/>
            <sz val="9"/>
            <color indexed="81"/>
            <rFont val="Tahoma"/>
            <family val="2"/>
            <charset val="238"/>
          </rPr>
          <t>Jana Holíková:</t>
        </r>
        <r>
          <rPr>
            <sz val="9"/>
            <color indexed="81"/>
            <rFont val="Tahoma"/>
            <family val="2"/>
            <charset val="238"/>
          </rPr>
          <t xml:space="preserve">
24053/04 +535.000</t>
        </r>
      </text>
    </comment>
    <comment ref="D659" authorId="0" shapeId="0">
      <text>
        <r>
          <rPr>
            <b/>
            <sz val="9"/>
            <color indexed="81"/>
            <rFont val="Tahoma"/>
            <charset val="1"/>
          </rPr>
          <t>Jana Holíková:</t>
        </r>
        <r>
          <rPr>
            <sz val="9"/>
            <color indexed="81"/>
            <rFont val="Tahoma"/>
            <charset val="1"/>
          </rPr>
          <t xml:space="preserve">
24065/05 
+724.000 úz98348
-500.000 bez úz
</t>
        </r>
      </text>
    </comment>
    <comment ref="D677" authorId="0" shapeId="0">
      <text>
        <r>
          <rPr>
            <b/>
            <sz val="9"/>
            <color indexed="81"/>
            <rFont val="Tahoma"/>
            <family val="2"/>
            <charset val="238"/>
          </rPr>
          <t>Jana Holíková:</t>
        </r>
        <r>
          <rPr>
            <sz val="9"/>
            <color indexed="81"/>
            <rFont val="Tahoma"/>
            <family val="2"/>
            <charset val="238"/>
          </rPr>
          <t xml:space="preserve">
24011/01 +192.228
24030/03 
 +3.419,60 úz253 1441
+30.776,40 úz911 1445
24047/04 -1.284
24048/04 -1.196
</t>
        </r>
      </text>
    </comment>
    <comment ref="D681" authorId="0" shapeId="0">
      <text>
        <r>
          <rPr>
            <b/>
            <sz val="9"/>
            <color indexed="81"/>
            <rFont val="Tahoma"/>
            <charset val="1"/>
          </rPr>
          <t>Jana Holíková:</t>
        </r>
        <r>
          <rPr>
            <sz val="9"/>
            <color indexed="81"/>
            <rFont val="Tahoma"/>
            <charset val="1"/>
          </rPr>
          <t xml:space="preserve">
24059/05 +134.310</t>
        </r>
      </text>
    </comment>
    <comment ref="D686" authorId="0" shapeId="0">
      <text>
        <r>
          <rPr>
            <b/>
            <sz val="9"/>
            <color indexed="81"/>
            <rFont val="Tahoma"/>
            <family val="2"/>
            <charset val="238"/>
          </rPr>
          <t>Jana Holíková:</t>
        </r>
        <r>
          <rPr>
            <sz val="9"/>
            <color indexed="81"/>
            <rFont val="Tahoma"/>
            <family val="2"/>
            <charset val="238"/>
          </rPr>
          <t xml:space="preserve">
24016/02 +90.488 odpisy
24027/03 
+ 4.890 úz253 1441
+44.010 úz911 1445 </t>
        </r>
      </text>
    </comment>
    <comment ref="D687" authorId="0" shapeId="0">
      <text>
        <r>
          <rPr>
            <b/>
            <sz val="9"/>
            <color indexed="81"/>
            <rFont val="Tahoma"/>
            <family val="2"/>
            <charset val="238"/>
          </rPr>
          <t>Jana Holíková:</t>
        </r>
        <r>
          <rPr>
            <sz val="9"/>
            <color indexed="81"/>
            <rFont val="Tahoma"/>
            <family val="2"/>
            <charset val="238"/>
          </rPr>
          <t xml:space="preserve">
24052/04 +72.208</t>
        </r>
      </text>
    </comment>
    <comment ref="D690" authorId="0" shapeId="0">
      <text>
        <r>
          <rPr>
            <b/>
            <sz val="9"/>
            <color indexed="81"/>
            <rFont val="Tahoma"/>
            <family val="2"/>
            <charset val="238"/>
          </rPr>
          <t>Jana Holíková:</t>
        </r>
        <r>
          <rPr>
            <sz val="9"/>
            <color indexed="81"/>
            <rFont val="Tahoma"/>
            <family val="2"/>
            <charset val="238"/>
          </rPr>
          <t xml:space="preserve">
24028/03
 +7.519 ÚZ253 1441
+67.671 úz911 1445</t>
        </r>
      </text>
    </comment>
    <comment ref="D693" authorId="0" shapeId="0">
      <text>
        <r>
          <rPr>
            <b/>
            <sz val="9"/>
            <color indexed="81"/>
            <rFont val="Tahoma"/>
            <family val="2"/>
            <charset val="238"/>
          </rPr>
          <t>Jana Holíková:</t>
        </r>
        <r>
          <rPr>
            <sz val="9"/>
            <color indexed="81"/>
            <rFont val="Tahoma"/>
            <family val="2"/>
            <charset val="238"/>
          </rPr>
          <t xml:space="preserve">
24029/03
 +6.180 ÚZ253 1441
+55.620 úz911 1445
24064/05 +313.948
24066/05 
+  261.245,45 úz 17084 1491
+4.441.172,63 úz 17085 1495
24077/06 -13.443,03</t>
        </r>
      </text>
    </comment>
    <comment ref="D695" authorId="0" shapeId="0">
      <text>
        <r>
          <rPr>
            <b/>
            <sz val="9"/>
            <color indexed="81"/>
            <rFont val="Tahoma"/>
            <charset val="1"/>
          </rPr>
          <t>Jana Holíková:</t>
        </r>
        <r>
          <rPr>
            <sz val="9"/>
            <color indexed="81"/>
            <rFont val="Tahoma"/>
            <charset val="1"/>
          </rPr>
          <t xml:space="preserve">
24066/05 
+  336.616,61 úz17518 1491
+5.722.482,44 úz 17519 1491</t>
        </r>
      </text>
    </comment>
    <comment ref="D698" authorId="0" shapeId="0">
      <text>
        <r>
          <rPr>
            <b/>
            <sz val="9"/>
            <color indexed="81"/>
            <rFont val="Tahoma"/>
            <family val="2"/>
            <charset val="238"/>
          </rPr>
          <t>Jana Holíková:</t>
        </r>
        <r>
          <rPr>
            <sz val="9"/>
            <color indexed="81"/>
            <rFont val="Tahoma"/>
            <family val="2"/>
            <charset val="238"/>
          </rPr>
          <t xml:space="preserve">
24007/01 +850.000</t>
        </r>
      </text>
    </comment>
    <comment ref="D702" authorId="0" shapeId="0">
      <text>
        <r>
          <rPr>
            <b/>
            <sz val="9"/>
            <color indexed="81"/>
            <rFont val="Tahoma"/>
            <family val="2"/>
            <charset val="238"/>
          </rPr>
          <t>Jana Holíková:</t>
        </r>
        <r>
          <rPr>
            <sz val="9"/>
            <color indexed="81"/>
            <rFont val="Tahoma"/>
            <family val="2"/>
            <charset val="238"/>
          </rPr>
          <t xml:space="preserve">
24055/04 +210.200 úz 833</t>
        </r>
      </text>
    </comment>
    <comment ref="D709" authorId="0" shapeId="0">
      <text>
        <r>
          <rPr>
            <b/>
            <sz val="9"/>
            <color indexed="81"/>
            <rFont val="Tahoma"/>
            <family val="2"/>
            <charset val="238"/>
          </rPr>
          <t>Jana Holíková:</t>
        </r>
        <r>
          <rPr>
            <sz val="9"/>
            <color indexed="81"/>
            <rFont val="Tahoma"/>
            <family val="2"/>
            <charset val="238"/>
          </rPr>
          <t xml:space="preserve">
24043/03 -1.548</t>
        </r>
      </text>
    </comment>
    <comment ref="D719" authorId="0" shapeId="0">
      <text>
        <r>
          <rPr>
            <b/>
            <sz val="9"/>
            <color indexed="81"/>
            <rFont val="Tahoma"/>
            <family val="2"/>
            <charset val="238"/>
          </rPr>
          <t>Jana Holíková:</t>
        </r>
        <r>
          <rPr>
            <sz val="9"/>
            <color indexed="81"/>
            <rFont val="Tahoma"/>
            <family val="2"/>
            <charset val="238"/>
          </rPr>
          <t xml:space="preserve">
24021/02 -25.000</t>
        </r>
      </text>
    </comment>
    <comment ref="D720" authorId="0" shapeId="0">
      <text>
        <r>
          <rPr>
            <b/>
            <sz val="9"/>
            <color indexed="81"/>
            <rFont val="Tahoma"/>
            <family val="2"/>
            <charset val="238"/>
          </rPr>
          <t>Jana Holíková:</t>
        </r>
        <r>
          <rPr>
            <sz val="9"/>
            <color indexed="81"/>
            <rFont val="Tahoma"/>
            <family val="2"/>
            <charset val="238"/>
          </rPr>
          <t xml:space="preserve">
24021/02 -170.000</t>
        </r>
      </text>
    </comment>
    <comment ref="D722" authorId="0" shapeId="0">
      <text>
        <r>
          <rPr>
            <b/>
            <sz val="9"/>
            <color indexed="81"/>
            <rFont val="Tahoma"/>
            <family val="2"/>
            <charset val="238"/>
          </rPr>
          <t>Jana Holíková:</t>
        </r>
        <r>
          <rPr>
            <sz val="9"/>
            <color indexed="81"/>
            <rFont val="Tahoma"/>
            <family val="2"/>
            <charset val="238"/>
          </rPr>
          <t xml:space="preserve">
24021/02 +195.000</t>
        </r>
      </text>
    </comment>
    <comment ref="D727" authorId="0" shapeId="0">
      <text>
        <r>
          <rPr>
            <b/>
            <sz val="9"/>
            <color indexed="81"/>
            <rFont val="Tahoma"/>
            <family val="2"/>
            <charset val="238"/>
          </rPr>
          <t>Jana Holíková:</t>
        </r>
        <r>
          <rPr>
            <sz val="9"/>
            <color indexed="81"/>
            <rFont val="Tahoma"/>
            <family val="2"/>
            <charset val="238"/>
          </rPr>
          <t xml:space="preserve">
24001.01 +4.743.000
24023/02 +- 50.000 dar NJKL
24052/04 +18.200
24083/06 +150.000 slavnost</t>
        </r>
      </text>
    </comment>
    <comment ref="D742" authorId="0" shapeId="0">
      <text>
        <r>
          <rPr>
            <b/>
            <sz val="9"/>
            <color indexed="81"/>
            <rFont val="Tahoma"/>
            <family val="2"/>
            <charset val="238"/>
          </rPr>
          <t>Jana Holíková:</t>
        </r>
        <r>
          <rPr>
            <sz val="9"/>
            <color indexed="81"/>
            <rFont val="Tahoma"/>
            <family val="2"/>
            <charset val="238"/>
          </rPr>
          <t xml:space="preserve">
24002/01 -30.000 
24069/05 +30.000</t>
        </r>
      </text>
    </comment>
    <comment ref="D745" authorId="0" shapeId="0">
      <text>
        <r>
          <rPr>
            <b/>
            <sz val="9"/>
            <color indexed="81"/>
            <rFont val="Tahoma"/>
            <family val="2"/>
            <charset val="238"/>
          </rPr>
          <t>Jana Holíková:</t>
        </r>
        <r>
          <rPr>
            <sz val="9"/>
            <color indexed="81"/>
            <rFont val="Tahoma"/>
            <family val="2"/>
            <charset val="238"/>
          </rPr>
          <t xml:space="preserve">
24002/01 +30.000
24003/01 +10.000
24004/01 +15.000
24032/03 +70.000
24058/04 +80.000
24067/05 +10.000
24068/05 +150.000
24069/05 +36.900
24070/05 +5.000
24071/05 +40.000
24084/06 +250.000
24085/06 +147.000</t>
        </r>
      </text>
    </comment>
    <comment ref="D772" authorId="0" shapeId="0">
      <text>
        <r>
          <rPr>
            <b/>
            <sz val="9"/>
            <color indexed="81"/>
            <rFont val="Tahoma"/>
            <family val="2"/>
            <charset val="238"/>
          </rPr>
          <t>Jana Holíková:</t>
        </r>
        <r>
          <rPr>
            <sz val="9"/>
            <color indexed="81"/>
            <rFont val="Tahoma"/>
            <family val="2"/>
            <charset val="238"/>
          </rPr>
          <t xml:space="preserve">
24025.03
+320.000 +28.800</t>
        </r>
      </text>
    </comment>
    <comment ref="D774" authorId="0" shapeId="0">
      <text>
        <r>
          <rPr>
            <b/>
            <sz val="9"/>
            <color indexed="81"/>
            <rFont val="Tahoma"/>
            <family val="2"/>
            <charset val="238"/>
          </rPr>
          <t>Jana Holíková:</t>
        </r>
        <r>
          <rPr>
            <sz val="9"/>
            <color indexed="81"/>
            <rFont val="Tahoma"/>
            <family val="2"/>
            <charset val="238"/>
          </rPr>
          <t xml:space="preserve">
24018/02
+563.940,99 (5011)
+135.346 (5031)
+ 50.757 (5032)</t>
        </r>
      </text>
    </comment>
    <comment ref="D785" authorId="0" shapeId="0">
      <text>
        <r>
          <rPr>
            <b/>
            <sz val="9"/>
            <color indexed="81"/>
            <rFont val="Tahoma"/>
            <family val="2"/>
            <charset val="238"/>
          </rPr>
          <t>Jana Holíková:</t>
        </r>
        <r>
          <rPr>
            <sz val="9"/>
            <color indexed="81"/>
            <rFont val="Tahoma"/>
            <family val="2"/>
            <charset val="238"/>
          </rPr>
          <t xml:space="preserve">
24014/02 +-50.000</t>
        </r>
      </text>
    </comment>
    <comment ref="D795" authorId="0" shapeId="0">
      <text>
        <r>
          <rPr>
            <b/>
            <sz val="9"/>
            <color indexed="81"/>
            <rFont val="Tahoma"/>
            <family val="2"/>
            <charset val="238"/>
          </rPr>
          <t>Jana Holíková:</t>
        </r>
        <r>
          <rPr>
            <sz val="9"/>
            <color indexed="81"/>
            <rFont val="Tahoma"/>
            <family val="2"/>
            <charset val="238"/>
          </rPr>
          <t xml:space="preserve">
24013/02 -50.000
24075/06 -4.745</t>
        </r>
      </text>
    </comment>
    <comment ref="D800" authorId="0" shapeId="0">
      <text>
        <r>
          <rPr>
            <b/>
            <sz val="9"/>
            <color indexed="81"/>
            <rFont val="Tahoma"/>
            <family val="2"/>
            <charset val="238"/>
          </rPr>
          <t>Jana Holíková:</t>
        </r>
        <r>
          <rPr>
            <sz val="9"/>
            <color indexed="81"/>
            <rFont val="Tahoma"/>
            <family val="2"/>
            <charset val="238"/>
          </rPr>
          <t xml:space="preserve">
24034/03 -360.000</t>
        </r>
      </text>
    </comment>
    <comment ref="D808" authorId="0" shapeId="0">
      <text>
        <r>
          <rPr>
            <b/>
            <sz val="9"/>
            <color indexed="81"/>
            <rFont val="Tahoma"/>
            <family val="2"/>
            <charset val="238"/>
          </rPr>
          <t>Jana Holíková:</t>
        </r>
        <r>
          <rPr>
            <sz val="9"/>
            <color indexed="81"/>
            <rFont val="Tahoma"/>
            <family val="2"/>
            <charset val="238"/>
          </rPr>
          <t xml:space="preserve">
24013/02 +50.000
24033/03 +59.000
24024/03 +75.000
24075/06 +4.745</t>
        </r>
      </text>
    </comment>
    <comment ref="D810" authorId="0" shapeId="0">
      <text>
        <r>
          <rPr>
            <b/>
            <sz val="9"/>
            <color indexed="81"/>
            <rFont val="Tahoma"/>
            <family val="2"/>
            <charset val="238"/>
          </rPr>
          <t>Jana Holíková:</t>
        </r>
        <r>
          <rPr>
            <sz val="9"/>
            <color indexed="81"/>
            <rFont val="Tahoma"/>
            <family val="2"/>
            <charset val="238"/>
          </rPr>
          <t xml:space="preserve">
24034/03 +285.000</t>
        </r>
      </text>
    </comment>
    <comment ref="D814" authorId="0" shapeId="0">
      <text>
        <r>
          <rPr>
            <b/>
            <sz val="9"/>
            <color indexed="81"/>
            <rFont val="Tahoma"/>
            <family val="2"/>
            <charset val="238"/>
          </rPr>
          <t>Jana Holíková:</t>
        </r>
        <r>
          <rPr>
            <sz val="9"/>
            <color indexed="81"/>
            <rFont val="Tahoma"/>
            <family val="2"/>
            <charset val="238"/>
          </rPr>
          <t xml:space="preserve">
24031/03 +2.980.000 úz
24570/05 dopl.úz:
+419.000 (0390)
+181.000 (0390)
+   2.000 (0390)
+ 161.000 (2390)
+2.217.000 (2390)
-2.980.000 (0390)</t>
        </r>
      </text>
    </comment>
    <comment ref="D815" authorId="0" shapeId="0">
      <text>
        <r>
          <rPr>
            <b/>
            <sz val="9"/>
            <color indexed="81"/>
            <rFont val="Tahoma"/>
            <family val="2"/>
            <charset val="238"/>
          </rPr>
          <t>Jana Holíková:</t>
        </r>
        <r>
          <rPr>
            <sz val="9"/>
            <color indexed="81"/>
            <rFont val="Tahoma"/>
            <family val="2"/>
            <charset val="238"/>
          </rPr>
          <t xml:space="preserve">
24031/04 +559.000 úz
24570/05 dopl úz914:
+492.000 (2391)
+36.000 (2391)
+ 31.000 (1391)
-559.000 (1391)</t>
        </r>
      </text>
    </comment>
    <comment ref="D816" authorId="0" shapeId="0">
      <text>
        <r>
          <rPr>
            <b/>
            <sz val="9"/>
            <color indexed="81"/>
            <rFont val="Tahoma"/>
            <family val="2"/>
            <charset val="238"/>
          </rPr>
          <t>Jana Holíková:</t>
        </r>
        <r>
          <rPr>
            <sz val="9"/>
            <color indexed="81"/>
            <rFont val="Tahoma"/>
            <family val="2"/>
            <charset val="238"/>
          </rPr>
          <t xml:space="preserve">
24031/04 +1.034.000
24570/05 dopl.úz914
+978.000 (2393)
+ 56.000 (1393)
-1.037.000 (1393)</t>
        </r>
      </text>
    </comment>
    <comment ref="D817" authorId="0" shapeId="0">
      <text>
        <r>
          <rPr>
            <b/>
            <sz val="9"/>
            <color indexed="81"/>
            <rFont val="Tahoma"/>
            <family val="2"/>
            <charset val="238"/>
          </rPr>
          <t>Jana Holíková:</t>
        </r>
        <r>
          <rPr>
            <sz val="9"/>
            <color indexed="81"/>
            <rFont val="Tahoma"/>
            <family val="2"/>
            <charset val="238"/>
          </rPr>
          <t xml:space="preserve">
24507/01 -+2.400.000
změna org
</t>
        </r>
      </text>
    </comment>
    <comment ref="D821" authorId="0" shapeId="0">
      <text>
        <r>
          <rPr>
            <b/>
            <sz val="9"/>
            <color indexed="81"/>
            <rFont val="Tahoma"/>
            <charset val="1"/>
          </rPr>
          <t>Jana Holíková:</t>
        </r>
        <r>
          <rPr>
            <sz val="9"/>
            <color indexed="81"/>
            <rFont val="Tahoma"/>
            <charset val="1"/>
          </rPr>
          <t xml:space="preserve">
24081/06 +50.000</t>
        </r>
      </text>
    </comment>
    <comment ref="D824" authorId="0" shapeId="0">
      <text>
        <r>
          <rPr>
            <b/>
            <sz val="9"/>
            <color indexed="81"/>
            <rFont val="Tahoma"/>
            <charset val="1"/>
          </rPr>
          <t>Jana Holíková:</t>
        </r>
        <r>
          <rPr>
            <sz val="9"/>
            <color indexed="81"/>
            <rFont val="Tahoma"/>
            <charset val="1"/>
          </rPr>
          <t xml:space="preserve">
24081/06 -50.000</t>
        </r>
      </text>
    </comment>
    <comment ref="D828" authorId="0" shapeId="0">
      <text>
        <r>
          <rPr>
            <b/>
            <sz val="9"/>
            <color indexed="81"/>
            <rFont val="Tahoma"/>
            <family val="2"/>
            <charset val="238"/>
          </rPr>
          <t>Jana Holíková:</t>
        </r>
        <r>
          <rPr>
            <sz val="9"/>
            <color indexed="81"/>
            <rFont val="Tahoma"/>
            <family val="2"/>
            <charset val="238"/>
          </rPr>
          <t xml:space="preserve">
24006/01 +3.337.434</t>
        </r>
      </text>
    </comment>
    <comment ref="D861" authorId="0" shapeId="0">
      <text>
        <r>
          <rPr>
            <b/>
            <sz val="9"/>
            <color indexed="81"/>
            <rFont val="Tahoma"/>
            <family val="2"/>
            <charset val="238"/>
          </rPr>
          <t>Jana Holíková:</t>
        </r>
        <r>
          <rPr>
            <sz val="9"/>
            <color indexed="81"/>
            <rFont val="Tahoma"/>
            <family val="2"/>
            <charset val="238"/>
          </rPr>
          <t xml:space="preserve">
24533/03 -25.482,15
24564/05 -7.793
24571/06 -88.036</t>
        </r>
      </text>
    </comment>
    <comment ref="D862" authorId="0" shapeId="0">
      <text>
        <r>
          <rPr>
            <b/>
            <sz val="9"/>
            <color indexed="81"/>
            <rFont val="Tahoma"/>
            <family val="2"/>
            <charset val="238"/>
          </rPr>
          <t>Jana Holíková:</t>
        </r>
        <r>
          <rPr>
            <sz val="9"/>
            <color indexed="81"/>
            <rFont val="Tahoma"/>
            <family val="2"/>
            <charset val="238"/>
          </rPr>
          <t xml:space="preserve">
24533/03 +25.482,15
24564/05 +7.793
24571/06 +88.036</t>
        </r>
      </text>
    </comment>
    <comment ref="D869" authorId="0" shapeId="0">
      <text>
        <r>
          <rPr>
            <b/>
            <sz val="9"/>
            <color indexed="81"/>
            <rFont val="Tahoma"/>
            <family val="2"/>
            <charset val="238"/>
          </rPr>
          <t>Jana Holíková:</t>
        </r>
        <r>
          <rPr>
            <sz val="9"/>
            <color indexed="81"/>
            <rFont val="Tahoma"/>
            <family val="2"/>
            <charset val="238"/>
          </rPr>
          <t xml:space="preserve">
24533/03 -7.633
24570/06 -2.800</t>
        </r>
      </text>
    </comment>
    <comment ref="D870" authorId="0" shapeId="0">
      <text>
        <r>
          <rPr>
            <b/>
            <sz val="9"/>
            <color indexed="81"/>
            <rFont val="Tahoma"/>
            <family val="2"/>
            <charset val="238"/>
          </rPr>
          <t>Jana Holíková:</t>
        </r>
        <r>
          <rPr>
            <sz val="9"/>
            <color indexed="81"/>
            <rFont val="Tahoma"/>
            <family val="2"/>
            <charset val="238"/>
          </rPr>
          <t xml:space="preserve">
24533/03 +7.633
24571/06 +2.800</t>
        </r>
      </text>
    </comment>
    <comment ref="D919" authorId="0" shapeId="0">
      <text>
        <r>
          <rPr>
            <b/>
            <sz val="9"/>
            <color indexed="81"/>
            <rFont val="Tahoma"/>
            <family val="2"/>
            <charset val="238"/>
          </rPr>
          <t>Jana Holíková:</t>
        </r>
        <r>
          <rPr>
            <sz val="9"/>
            <color indexed="81"/>
            <rFont val="Tahoma"/>
            <family val="2"/>
            <charset val="238"/>
          </rPr>
          <t xml:space="preserve">
24533/03 +210.000</t>
        </r>
      </text>
    </comment>
    <comment ref="D947" authorId="0" shapeId="0">
      <text>
        <r>
          <rPr>
            <b/>
            <sz val="9"/>
            <color indexed="81"/>
            <rFont val="Tahoma"/>
            <family val="2"/>
            <charset val="238"/>
          </rPr>
          <t>Jana Holíková:</t>
        </r>
        <r>
          <rPr>
            <sz val="9"/>
            <color indexed="81"/>
            <rFont val="Tahoma"/>
            <family val="2"/>
            <charset val="238"/>
          </rPr>
          <t xml:space="preserve">
24533/03 -210.000</t>
        </r>
      </text>
    </comment>
    <comment ref="D990" authorId="0" shapeId="0">
      <text>
        <r>
          <rPr>
            <b/>
            <sz val="9"/>
            <color indexed="81"/>
            <rFont val="Tahoma"/>
            <family val="2"/>
            <charset val="238"/>
          </rPr>
          <t>Jana Holíková:</t>
        </r>
        <r>
          <rPr>
            <sz val="9"/>
            <color indexed="81"/>
            <rFont val="Tahoma"/>
            <family val="2"/>
            <charset val="238"/>
          </rPr>
          <t xml:space="preserve">
24042/03 -45.000</t>
        </r>
      </text>
    </comment>
    <comment ref="D994" authorId="0" shapeId="0">
      <text>
        <r>
          <rPr>
            <b/>
            <sz val="9"/>
            <color indexed="81"/>
            <rFont val="Tahoma"/>
            <family val="2"/>
            <charset val="238"/>
          </rPr>
          <t>Jana Holíková:</t>
        </r>
        <r>
          <rPr>
            <sz val="9"/>
            <color indexed="81"/>
            <rFont val="Tahoma"/>
            <family val="2"/>
            <charset val="238"/>
          </rPr>
          <t xml:space="preserve">
24042/03 +45.000</t>
        </r>
      </text>
    </comment>
    <comment ref="D1009" authorId="0" shapeId="0">
      <text>
        <r>
          <rPr>
            <b/>
            <sz val="9"/>
            <color indexed="81"/>
            <rFont val="Tahoma"/>
            <family val="2"/>
            <charset val="238"/>
          </rPr>
          <t>Jana Holíková:</t>
        </r>
        <r>
          <rPr>
            <sz val="9"/>
            <color indexed="81"/>
            <rFont val="Tahoma"/>
            <family val="2"/>
            <charset val="238"/>
          </rPr>
          <t xml:space="preserve">
24049/04 +16.435.050</t>
        </r>
      </text>
    </comment>
    <comment ref="D1014" authorId="0" shapeId="0">
      <text>
        <r>
          <rPr>
            <b/>
            <sz val="9"/>
            <color indexed="81"/>
            <rFont val="Tahoma"/>
            <family val="2"/>
            <charset val="238"/>
          </rPr>
          <t>Jana Holíková:</t>
        </r>
        <r>
          <rPr>
            <sz val="9"/>
            <color indexed="81"/>
            <rFont val="Tahoma"/>
            <family val="2"/>
            <charset val="238"/>
          </rPr>
          <t xml:space="preserve">
24039/03  0322
+ 5.068,40  253 1441
+45.615,60  911 1445</t>
        </r>
      </text>
    </comment>
    <comment ref="D1015" authorId="0" shapeId="0">
      <text>
        <r>
          <rPr>
            <b/>
            <sz val="9"/>
            <color indexed="81"/>
            <rFont val="Tahoma"/>
            <family val="2"/>
            <charset val="238"/>
          </rPr>
          <t>Jana Holíková:</t>
        </r>
        <r>
          <rPr>
            <sz val="9"/>
            <color indexed="81"/>
            <rFont val="Tahoma"/>
            <family val="2"/>
            <charset val="238"/>
          </rPr>
          <t xml:space="preserve">
24040/03  0323
+ 4.089  253 1441
+36.801  911 1445</t>
        </r>
      </text>
    </comment>
    <comment ref="D1016" authorId="0" shapeId="0">
      <text>
        <r>
          <rPr>
            <b/>
            <sz val="9"/>
            <color indexed="81"/>
            <rFont val="Tahoma"/>
            <family val="2"/>
            <charset val="238"/>
          </rPr>
          <t>Jana Holíková:</t>
        </r>
        <r>
          <rPr>
            <sz val="9"/>
            <color indexed="81"/>
            <rFont val="Tahoma"/>
            <family val="2"/>
            <charset val="238"/>
          </rPr>
          <t xml:space="preserve">
24022/02  0321
+ 1.835,40  253 1441
+16.518,60 911 1445</t>
        </r>
      </text>
    </comment>
    <comment ref="D1021" authorId="0" shapeId="0">
      <text>
        <r>
          <rPr>
            <b/>
            <sz val="9"/>
            <color indexed="81"/>
            <rFont val="Tahoma"/>
            <family val="2"/>
            <charset val="238"/>
          </rPr>
          <t>Jana Holíková:</t>
        </r>
        <r>
          <rPr>
            <sz val="9"/>
            <color indexed="81"/>
            <rFont val="Tahoma"/>
            <family val="2"/>
            <charset val="238"/>
          </rPr>
          <t xml:space="preserve">
24003/01 -10.000
24004/01 -15.000
24005/01 -272.932
24006/01 -3.337.434
24011/01 -192.228
24012/01 +192.228
24015/02 +319.987,99
24016/02 -90.488
24017/02 +289.333
24019/02 -266.805
24020/02 -96.558
24024/03 +400.000
24025.03 -348.800
24026.03 +3.226.272,84
24032/03 -70.000
24033/03 -59.000
24035/03 +5.514.060
24043/03 +1.548
24045/03 +5.904.137,50
24046/04 +1.844.214,70
24047/04 +1.284
24051/04 -231.352,61
24052/04 +21.989
24058/04 -80.000
24059/05 -134.310
24063/05 +8.862
24064/05 -313.948
24067/05 -10.000
24068/05 -150.000
24069/05
-36.900 -30.000
24070/05 -5.000
24071/05 -40.000
24072/05 
-1.002.336,01 +943.202,20
24073/06 +16.164.266,27
24077/06 +13.443,03
24083/06 -150.000
24084/06 -250.000
24085/06 -147.000
24587/06 -75.000</t>
        </r>
      </text>
    </comment>
    <comment ref="D1022" authorId="0" shapeId="0">
      <text>
        <r>
          <rPr>
            <b/>
            <sz val="9"/>
            <color indexed="81"/>
            <rFont val="Tahoma"/>
            <charset val="1"/>
          </rPr>
          <t>Jana Holíková:</t>
        </r>
        <r>
          <rPr>
            <sz val="9"/>
            <color indexed="81"/>
            <rFont val="Tahoma"/>
            <charset val="1"/>
          </rPr>
          <t xml:space="preserve">
24587/06 +75.000</t>
        </r>
      </text>
    </comment>
  </commentList>
</comments>
</file>

<file path=xl/sharedStrings.xml><?xml version="1.0" encoding="utf-8"?>
<sst xmlns="http://schemas.openxmlformats.org/spreadsheetml/2006/main" count="3610" uniqueCount="2175">
  <si>
    <t>Příloha č. 1</t>
  </si>
  <si>
    <r>
      <rPr>
        <b/>
        <sz val="9"/>
        <rFont val="Arial CE"/>
        <charset val="238"/>
      </rPr>
      <t xml:space="preserve">Rozpočtová skladba                                                                                                                                                                                                                                                    </t>
    </r>
    <r>
      <rPr>
        <sz val="8"/>
        <rFont val="Arial CE"/>
        <charset val="238"/>
      </rPr>
      <t xml:space="preserve"> ORJ/odd.par./pol./org./ÚZ</t>
    </r>
  </si>
  <si>
    <r>
      <rPr>
        <b/>
        <sz val="14"/>
        <rFont val="Arial CE"/>
        <family val="2"/>
        <charset val="238"/>
      </rPr>
      <t xml:space="preserve">Návrh rozpočtu města Nový Jičín 
na rok 2021                                                                                                                                                                                                                                                                                                                                                                                  </t>
    </r>
    <r>
      <rPr>
        <sz val="11"/>
        <rFont val="Arial CE"/>
        <charset val="238"/>
      </rPr>
      <t xml:space="preserve"> (údaje </t>
    </r>
    <r>
      <rPr>
        <b/>
        <sz val="11"/>
        <rFont val="Arial CE"/>
        <charset val="238"/>
      </rPr>
      <t>v textu</t>
    </r>
    <r>
      <rPr>
        <sz val="11"/>
        <rFont val="Arial CE"/>
        <charset val="238"/>
      </rPr>
      <t xml:space="preserve"> jsou v tis. Kč)          </t>
    </r>
    <r>
      <rPr>
        <b/>
        <sz val="14"/>
        <rFont val="Arial CE"/>
        <family val="2"/>
        <charset val="238"/>
      </rPr>
      <t xml:space="preserve">                  </t>
    </r>
  </si>
  <si>
    <r>
      <rPr>
        <b/>
        <sz val="12"/>
        <rFont val="Arial CE"/>
        <family val="2"/>
        <charset val="238"/>
      </rPr>
      <t xml:space="preserve">Schválený
rozpočet 2020
</t>
    </r>
    <r>
      <rPr>
        <sz val="9"/>
        <rFont val="Arial CE"/>
        <charset val="238"/>
      </rPr>
      <t>(v Kč)</t>
    </r>
  </si>
  <si>
    <r>
      <rPr>
        <b/>
        <sz val="12"/>
        <rFont val="Arial CE"/>
        <family val="2"/>
        <charset val="238"/>
      </rPr>
      <t xml:space="preserve">Upravený
rozpočet                                                                                                                                                                                                                                                                                                                                                                                                                                                                                                                                         k 31.8.2020
</t>
    </r>
    <r>
      <rPr>
        <sz val="9"/>
        <rFont val="Arial CE"/>
        <charset val="238"/>
      </rPr>
      <t>(v Kč)</t>
    </r>
  </si>
  <si>
    <r>
      <rPr>
        <b/>
        <sz val="12"/>
        <rFont val="Arial CE"/>
        <family val="2"/>
        <charset val="238"/>
      </rPr>
      <t xml:space="preserve">Očekávané plnění
k 31.12. 2020
</t>
    </r>
    <r>
      <rPr>
        <sz val="9"/>
        <rFont val="Arial CE"/>
        <charset val="238"/>
      </rPr>
      <t>(v Kč)</t>
    </r>
  </si>
  <si>
    <r>
      <rPr>
        <b/>
        <sz val="12"/>
        <rFont val="Arial CE"/>
        <family val="2"/>
        <charset val="238"/>
      </rPr>
      <t xml:space="preserve">Skutečnost za
k 31.8. 2020
</t>
    </r>
    <r>
      <rPr>
        <sz val="9"/>
        <rFont val="Arial CE"/>
        <charset val="238"/>
      </rPr>
      <t>(v Kč)</t>
    </r>
  </si>
  <si>
    <r>
      <rPr>
        <b/>
        <sz val="12"/>
        <rFont val="Arial CE"/>
        <family val="2"/>
        <charset val="238"/>
      </rPr>
      <t xml:space="preserve">2021                                                                                                                                                                                                                                                                                                                                                                                                                      </t>
    </r>
    <r>
      <rPr>
        <sz val="9"/>
        <rFont val="Arial CE"/>
        <charset val="238"/>
      </rPr>
      <t xml:space="preserve"> (v Kč)   </t>
    </r>
    <r>
      <rPr>
        <b/>
        <sz val="9"/>
        <rFont val="Arial CE"/>
        <charset val="238"/>
      </rPr>
      <t xml:space="preserve">        </t>
    </r>
    <r>
      <rPr>
        <b/>
        <sz val="12"/>
        <rFont val="Arial CE"/>
        <family val="2"/>
        <charset val="238"/>
      </rPr>
      <t xml:space="preserve">                                                                                                                                                                  </t>
    </r>
  </si>
  <si>
    <t>Příjmy</t>
  </si>
  <si>
    <t>Třída 1 - Daňové příjmy</t>
  </si>
  <si>
    <t>Třída 2 - Nedaňové příjmy</t>
  </si>
  <si>
    <t>Třída 3 - Kapitálové příjmy</t>
  </si>
  <si>
    <t>Třída 4 - Přijaté transfery (dotace)</t>
  </si>
  <si>
    <t>Příjmy celkem</t>
  </si>
  <si>
    <t>Třída 8 - Financování</t>
  </si>
  <si>
    <t>Úhrn zdrojů</t>
  </si>
  <si>
    <r>
      <rPr>
        <b/>
        <sz val="14"/>
        <rFont val="Arial CE"/>
        <family val="2"/>
        <charset val="238"/>
      </rPr>
      <t>Výdaje:</t>
    </r>
    <r>
      <rPr>
        <sz val="14"/>
        <rFont val="Arial CE"/>
        <charset val="238"/>
      </rPr>
      <t xml:space="preserve"> </t>
    </r>
    <r>
      <rPr>
        <i/>
        <sz val="12"/>
        <rFont val="Arial CE"/>
        <charset val="238"/>
      </rPr>
      <t xml:space="preserve">(ORJ = organizační jednotka) </t>
    </r>
  </si>
  <si>
    <t>Třída 5 - Běžné výdaje</t>
  </si>
  <si>
    <t>Třída 6 - Kapitálové výdaje</t>
  </si>
  <si>
    <t>z toho:</t>
  </si>
  <si>
    <t xml:space="preserve">ORJ 1xx - Odbor správy majetku                                                                                                                                                                                                                                                                                                                                                                                                                                                                                          </t>
  </si>
  <si>
    <t>v tom: 102 - Vodní hospodářství</t>
  </si>
  <si>
    <t xml:space="preserve">           110 - Doprava</t>
  </si>
  <si>
    <t xml:space="preserve">           120 - Majetkoprávní záležitosti</t>
  </si>
  <si>
    <t xml:space="preserve">           139 - Komunální služby</t>
  </si>
  <si>
    <t xml:space="preserve">ORJ 6xx - Odbor rozvoje a investic                                                                                                                                                                                                                                                                                                                                                                                                                                                                                   </t>
  </si>
  <si>
    <t>v tom: 602 - Vodní hospodářství</t>
  </si>
  <si>
    <t xml:space="preserve">           610 - Doprava</t>
  </si>
  <si>
    <t xml:space="preserve">           615 - Zdravé město a marketing</t>
  </si>
  <si>
    <t xml:space="preserve">           639 - Komunální služby</t>
  </si>
  <si>
    <t xml:space="preserve">           641 - Dotace, návratné finanční výpomoci a dary cizích subjektům </t>
  </si>
  <si>
    <t>ORJ 009 - Obecní živnostenský úřad</t>
  </si>
  <si>
    <r>
      <rPr>
        <b/>
        <i/>
        <sz val="14"/>
        <rFont val="Arial CE"/>
        <family val="2"/>
        <charset val="238"/>
      </rPr>
      <t xml:space="preserve">ORJ 011 - Návštěvnické centrum NJ-město klobouků </t>
    </r>
    <r>
      <rPr>
        <i/>
        <sz val="12"/>
        <rFont val="Arial CE"/>
        <charset val="238"/>
      </rPr>
      <t>(org. složka)</t>
    </r>
  </si>
  <si>
    <t>ORJ 210 - Odbor dopravy</t>
  </si>
  <si>
    <t>ORJ 313 - Odbor přestupkových agend</t>
  </si>
  <si>
    <t xml:space="preserve">ORJ 317 - Odbor správních agend                                                                                                                                                                                                                                                                                                                                                                                                                                                                                          </t>
  </si>
  <si>
    <t>ORJ 4xx - Odbor školství, kultury a sportu</t>
  </si>
  <si>
    <t>v tom: 414 - Školství, sport</t>
  </si>
  <si>
    <t xml:space="preserve">           416 - Kultura</t>
  </si>
  <si>
    <t xml:space="preserve">           441 - Dotace, návratné finanční výpomoci a dary cizím subjektům</t>
  </si>
  <si>
    <t>ORJ 018 - Městská policie NJ</t>
  </si>
  <si>
    <t xml:space="preserve">ORJ 019 - Odbor organizační </t>
  </si>
  <si>
    <r>
      <rPr>
        <b/>
        <i/>
        <sz val="14"/>
        <rFont val="Arial CE"/>
        <family val="2"/>
        <charset val="238"/>
      </rPr>
      <t>ORJ 919 - Odbor kancelář vedení města</t>
    </r>
    <r>
      <rPr>
        <i/>
        <sz val="12"/>
        <rFont val="Arial CE"/>
        <charset val="238"/>
      </rPr>
      <t xml:space="preserve">                                                                                                                                                                                                                                                                                                                                                                                                                                                                                                                           </t>
    </r>
  </si>
  <si>
    <t>ORJ 5xx - Odbor sociálních věcí</t>
  </si>
  <si>
    <t>v tom: 528 - Sociální věci</t>
  </si>
  <si>
    <t xml:space="preserve">           541 - Dotace, návratné finanční výpomoci a dary cizím subjektům</t>
  </si>
  <si>
    <r>
      <rPr>
        <b/>
        <i/>
        <sz val="14"/>
        <rFont val="Arial CE"/>
        <family val="2"/>
        <charset val="238"/>
      </rPr>
      <t xml:space="preserve">ORJ 029 - Prosenior NJ </t>
    </r>
    <r>
      <rPr>
        <i/>
        <sz val="12"/>
        <rFont val="Arial CE"/>
        <charset val="238"/>
      </rPr>
      <t>(org. složka)</t>
    </r>
  </si>
  <si>
    <t>v tom:  Pečovatelská služba (org. 0390)</t>
  </si>
  <si>
    <t xml:space="preserve">            Denní stacionář (org. 1391)</t>
  </si>
  <si>
    <t xml:space="preserve">            Odlehčovací služba Pohoda (org. 1393)</t>
  </si>
  <si>
    <t>ORJ 035 - Odbor životního prostředí</t>
  </si>
  <si>
    <t>ORJ 037 - Odbor bytový</t>
  </si>
  <si>
    <t>ORJ 040 - Odbor územního plánování a stavebního řádu</t>
  </si>
  <si>
    <t xml:space="preserve">v tom: 041 - Dotace cizím subjektům </t>
  </si>
  <si>
    <t>ORJ 741 - Odbor finanční</t>
  </si>
  <si>
    <t>Výdaje celkem</t>
  </si>
  <si>
    <t xml:space="preserve">Příjmy </t>
  </si>
  <si>
    <t xml:space="preserve">Třída 1 - Daňové příjmy                                                                                                                                                                                                                                                                                                                                                                                                                                                                                                  </t>
  </si>
  <si>
    <r>
      <rPr>
        <b/>
        <sz val="10"/>
        <rFont val="Arial CE"/>
        <family val="2"/>
        <charset val="238"/>
      </rPr>
      <t xml:space="preserve">Daň z příjmů fyzických osob placená plátci </t>
    </r>
    <r>
      <rPr>
        <sz val="9"/>
        <rFont val="Arial CE"/>
        <charset val="238"/>
      </rPr>
      <t>(sdílená část)</t>
    </r>
    <r>
      <rPr>
        <b/>
        <sz val="10"/>
        <rFont val="Arial CE"/>
        <family val="2"/>
        <charset val="238"/>
      </rPr>
      <t xml:space="preserve"> </t>
    </r>
    <r>
      <rPr>
        <sz val="10"/>
        <rFont val="Arial CE"/>
        <charset val="238"/>
      </rPr>
      <t xml:space="preserve">                                                         </t>
    </r>
  </si>
  <si>
    <r>
      <rPr>
        <b/>
        <sz val="10"/>
        <rFont val="Arial CE"/>
        <family val="2"/>
        <charset val="238"/>
      </rPr>
      <t xml:space="preserve">Daň z příjmů fyzických osob placená plátci </t>
    </r>
    <r>
      <rPr>
        <sz val="9"/>
        <rFont val="Arial CE"/>
        <charset val="238"/>
      </rPr>
      <t xml:space="preserve">(motivační 1,5%)            </t>
    </r>
    <r>
      <rPr>
        <sz val="10"/>
        <rFont val="Arial CE"/>
        <family val="2"/>
        <charset val="238"/>
      </rPr>
      <t xml:space="preserve">                                       </t>
    </r>
  </si>
  <si>
    <r>
      <rPr>
        <b/>
        <sz val="10"/>
        <rFont val="Arial CE"/>
        <family val="2"/>
        <charset val="238"/>
      </rPr>
      <t>Daň z příjmů fyzických osob placená poplatníky</t>
    </r>
    <r>
      <rPr>
        <sz val="9"/>
        <rFont val="Arial CE"/>
        <charset val="238"/>
      </rPr>
      <t xml:space="preserve"> (sdílená) </t>
    </r>
    <r>
      <rPr>
        <i/>
        <sz val="9"/>
        <rFont val="Arial CE"/>
        <charset val="238"/>
      </rPr>
      <t xml:space="preserve"> </t>
    </r>
    <r>
      <rPr>
        <sz val="9"/>
        <rFont val="Arial CE"/>
        <charset val="238"/>
      </rPr>
      <t xml:space="preserve">      </t>
    </r>
    <r>
      <rPr>
        <b/>
        <sz val="10"/>
        <rFont val="Arial CE"/>
        <family val="2"/>
        <charset val="238"/>
      </rPr>
      <t xml:space="preserve">                                                   </t>
    </r>
  </si>
  <si>
    <r>
      <rPr>
        <b/>
        <sz val="10"/>
        <rFont val="Arial CE"/>
        <family val="2"/>
        <charset val="238"/>
      </rPr>
      <t xml:space="preserve">Daň z příjmů fyzických osob vybíraná srážkou </t>
    </r>
    <r>
      <rPr>
        <sz val="9"/>
        <rFont val="Arial CE"/>
        <charset val="238"/>
      </rPr>
      <t>(podle zvláštní sazby daně)</t>
    </r>
  </si>
  <si>
    <r>
      <rPr>
        <b/>
        <sz val="10"/>
        <rFont val="Arial CE"/>
        <family val="2"/>
        <charset val="238"/>
      </rPr>
      <t xml:space="preserve">Daň z příjmů právnických osob </t>
    </r>
    <r>
      <rPr>
        <sz val="9"/>
        <rFont val="Arial CE"/>
        <charset val="238"/>
      </rPr>
      <t xml:space="preserve">(sdílená)        </t>
    </r>
    <r>
      <rPr>
        <b/>
        <sz val="10"/>
        <rFont val="Arial CE"/>
        <family val="2"/>
        <charset val="238"/>
      </rPr>
      <t xml:space="preserve">                                                                     </t>
    </r>
    <r>
      <rPr>
        <sz val="9"/>
        <rFont val="Arial CE"/>
        <family val="2"/>
        <charset val="238"/>
      </rPr>
      <t xml:space="preserve"> </t>
    </r>
  </si>
  <si>
    <r>
      <rPr>
        <b/>
        <sz val="10"/>
        <rFont val="Arial CE"/>
        <family val="2"/>
        <charset val="238"/>
      </rPr>
      <t xml:space="preserve">Daň z příjmů právnických osob za obec </t>
    </r>
    <r>
      <rPr>
        <sz val="9"/>
        <rFont val="Arial CE"/>
        <family val="2"/>
        <charset val="238"/>
      </rPr>
      <t>(za město NJ) = 100%</t>
    </r>
  </si>
  <si>
    <r>
      <rPr>
        <b/>
        <sz val="10"/>
        <rFont val="Arial CE"/>
        <family val="2"/>
        <charset val="238"/>
      </rPr>
      <t xml:space="preserve">Daň z přidané hodnoty </t>
    </r>
    <r>
      <rPr>
        <sz val="9"/>
        <rFont val="Arial CE"/>
        <charset val="238"/>
      </rPr>
      <t xml:space="preserve">(sdílená) </t>
    </r>
    <r>
      <rPr>
        <b/>
        <sz val="9"/>
        <rFont val="Arial CE"/>
        <charset val="238"/>
      </rPr>
      <t xml:space="preserve">           </t>
    </r>
    <r>
      <rPr>
        <b/>
        <sz val="10"/>
        <rFont val="Arial CE"/>
        <family val="2"/>
        <charset val="238"/>
      </rPr>
      <t xml:space="preserve">                                                                                  </t>
    </r>
    <r>
      <rPr>
        <b/>
        <sz val="9"/>
        <rFont val="Arial CE"/>
        <family val="2"/>
        <charset val="238"/>
      </rPr>
      <t xml:space="preserve"> </t>
    </r>
  </si>
  <si>
    <t>Odvody za odnětí půdy ze zemědělského půdního fondu</t>
  </si>
  <si>
    <t>Poplatky za odnětí pozemků plnění funkcí lesa</t>
  </si>
  <si>
    <t>Poplatky za povolené vypouštění odpadních vod do vod podzemních</t>
  </si>
  <si>
    <t>Poplatek za provoz systému shromažďování, sběru, přepravy, třídění, využívání a odstraňování komunálních odpadů</t>
  </si>
  <si>
    <t>Poplatek ze psů</t>
  </si>
  <si>
    <t>Poplatek za užívání veřejného prostranství</t>
  </si>
  <si>
    <t xml:space="preserve">z toho: odbor obecní živnostenský úřad </t>
  </si>
  <si>
    <r>
      <rPr>
        <sz val="10"/>
        <rFont val="Arial CE"/>
        <family val="2"/>
        <charset val="238"/>
      </rPr>
      <t xml:space="preserve">            odbor správy majetku (</t>
    </r>
    <r>
      <rPr>
        <sz val="9"/>
        <rFont val="Arial CE"/>
        <family val="2"/>
        <charset val="238"/>
      </rPr>
      <t>překopy+zábory+MP vyhrazené parkování)</t>
    </r>
  </si>
  <si>
    <r>
      <rPr>
        <sz val="10"/>
        <rFont val="Arial CE"/>
        <family val="2"/>
        <charset val="238"/>
      </rPr>
      <t xml:space="preserve">            odbor životního prostředí</t>
    </r>
    <r>
      <rPr>
        <sz val="9"/>
        <rFont val="Arial CE"/>
        <charset val="238"/>
      </rPr>
      <t xml:space="preserve"> (zvláštní užívání zeleně)</t>
    </r>
  </si>
  <si>
    <r>
      <rPr>
        <b/>
        <sz val="10"/>
        <rFont val="Arial CE"/>
        <family val="2"/>
        <charset val="238"/>
      </rPr>
      <t xml:space="preserve">Poplatek za povolení k vjezdu do vybraných míst </t>
    </r>
    <r>
      <rPr>
        <sz val="9"/>
        <rFont val="Arial CE"/>
        <family val="2"/>
        <charset val="238"/>
      </rPr>
      <t>(od r. 2020: příjmy z parkovacích automatů v městské památkové rezervaci 30 zůstávají TSM, NCNJ: abonentní a rezidentní karty 90)</t>
    </r>
  </si>
  <si>
    <t>z toho: TSM NJ (příjmy z parkovacích automatů )</t>
  </si>
  <si>
    <t xml:space="preserve">            NC NJ (příjmy z abonentních a rezidentních karet)</t>
  </si>
  <si>
    <t>Příjmy za zkoušky z odborné způsobilosti od žadatelů o řidičské oprávnění</t>
  </si>
  <si>
    <t>Příjmy úhrad za dobývání nerostů a poplatků za geologické práce</t>
  </si>
  <si>
    <t>Ostatní odvody z vybraných činností a služeb j.n.</t>
  </si>
  <si>
    <t>Správní poplatky</t>
  </si>
  <si>
    <t>z toho: odbor dopravy</t>
  </si>
  <si>
    <r>
      <rPr>
        <sz val="10"/>
        <rFont val="Arial CE"/>
        <family val="2"/>
        <charset val="238"/>
      </rPr>
      <t xml:space="preserve">            obecní živnostenský úřad </t>
    </r>
    <r>
      <rPr>
        <sz val="9"/>
        <rFont val="Arial CE"/>
        <charset val="238"/>
      </rPr>
      <t>(nové a změnové výpisy z živnost.rejstříku 378, vydání výpisů z živnost.rejstříku 2,                                                                                                                                                                                                                                                                                                                                                                                                                vydání povolení k hernímu prostoru 30, osvědčení zemědělský podnikatel 10)</t>
    </r>
  </si>
  <si>
    <t xml:space="preserve">            odbor územního plánování a stavebního řádu </t>
  </si>
  <si>
    <r>
      <rPr>
        <sz val="10"/>
        <rFont val="Arial CE"/>
        <family val="2"/>
        <charset val="238"/>
      </rPr>
      <t xml:space="preserve">            odbor správních agend </t>
    </r>
    <r>
      <rPr>
        <sz val="9"/>
        <rFont val="Arial CE"/>
        <charset val="238"/>
      </rPr>
      <t>(r. 2021: matrika 170, ohlaš. 40, CzechPoint 70, OP+CD 720)</t>
    </r>
  </si>
  <si>
    <r>
      <rPr>
        <sz val="10"/>
        <rFont val="Arial CE"/>
        <family val="2"/>
        <charset val="238"/>
      </rPr>
      <t xml:space="preserve">            odbor životního prostředí </t>
    </r>
    <r>
      <rPr>
        <sz val="9"/>
        <rFont val="Arial CE"/>
        <charset val="238"/>
      </rPr>
      <t>(r. 2021: rybářské a lovecké lístky 80, vodní hospodářství 100, odpady 2)</t>
    </r>
  </si>
  <si>
    <r>
      <rPr>
        <sz val="10"/>
        <rFont val="Arial CE"/>
        <family val="2"/>
        <charset val="238"/>
      </rPr>
      <t xml:space="preserve">            odbor finanční </t>
    </r>
    <r>
      <rPr>
        <sz val="9"/>
        <rFont val="Arial CE"/>
        <charset val="238"/>
      </rPr>
      <t>(ověřování + splátkové kalendáře)</t>
    </r>
  </si>
  <si>
    <t>Daň z hazardních her s vvýjimkou dílčí daně z technických her</t>
  </si>
  <si>
    <t>Dílčí daň z technických her</t>
  </si>
  <si>
    <r>
      <rPr>
        <b/>
        <sz val="10"/>
        <rFont val="Arial CE"/>
        <family val="2"/>
        <charset val="238"/>
      </rPr>
      <t xml:space="preserve">Daň z nemovitých věcí </t>
    </r>
    <r>
      <rPr>
        <sz val="9"/>
        <rFont val="Arial CE"/>
        <charset val="238"/>
      </rPr>
      <t xml:space="preserve">(výlučná)    </t>
    </r>
    <r>
      <rPr>
        <b/>
        <sz val="10"/>
        <rFont val="Arial CE"/>
        <family val="2"/>
        <charset val="238"/>
      </rPr>
      <t xml:space="preserve">                                                                                                              </t>
    </r>
  </si>
  <si>
    <t>Příjmy z vlastní činnosti</t>
  </si>
  <si>
    <t xml:space="preserve">               § 1019 ostatní zemědělská a potravinářská činnost a rozvoj</t>
  </si>
  <si>
    <r>
      <rPr>
        <sz val="10"/>
        <rFont val="Arial CE"/>
        <family val="2"/>
        <charset val="238"/>
      </rPr>
      <t xml:space="preserve">               § 1031 pěstební činnost </t>
    </r>
    <r>
      <rPr>
        <sz val="9"/>
        <rFont val="Arial CE"/>
        <charset val="238"/>
      </rPr>
      <t>(těžba v městských lesích)</t>
    </r>
  </si>
  <si>
    <r>
      <rPr>
        <sz val="10"/>
        <rFont val="Arial CE"/>
        <family val="2"/>
        <charset val="238"/>
      </rPr>
      <t xml:space="preserve">               § 2143 cestovní ruch</t>
    </r>
    <r>
      <rPr>
        <sz val="9"/>
        <rFont val="Arial CE"/>
        <charset val="238"/>
      </rPr>
      <t xml:space="preserve"> (Návštěvnické centrum NJ-město klobouků)</t>
    </r>
  </si>
  <si>
    <r>
      <rPr>
        <sz val="10"/>
        <rFont val="Arial CE"/>
        <family val="2"/>
        <charset val="238"/>
      </rPr>
      <t xml:space="preserve">               § 2229 Baby-Senior taxi </t>
    </r>
    <r>
      <rPr>
        <sz val="9"/>
        <rFont val="Arial CE"/>
        <charset val="238"/>
      </rPr>
      <t>(prodej průkazek)</t>
    </r>
  </si>
  <si>
    <r>
      <rPr>
        <sz val="10"/>
        <rFont val="Arial CE"/>
        <family val="2"/>
        <charset val="238"/>
      </rPr>
      <t xml:space="preserve">               § 3412 sportovní zařízení v majetku obce</t>
    </r>
    <r>
      <rPr>
        <sz val="9"/>
        <rFont val="Arial CE"/>
        <charset val="238"/>
      </rPr>
      <t xml:space="preserve"> (bazé</t>
    </r>
    <r>
      <rPr>
        <sz val="9"/>
        <rFont val="Arial CE"/>
        <family val="2"/>
        <charset val="238"/>
      </rPr>
      <t>n: Basketbalový klub,o.s.-vstupné, nájmy)</t>
    </r>
  </si>
  <si>
    <r>
      <rPr>
        <sz val="10"/>
        <rFont val="Arial CE"/>
        <family val="2"/>
        <charset val="238"/>
      </rPr>
      <t xml:space="preserve">               § 3412 sportovní zařízení v majetku obce </t>
    </r>
    <r>
      <rPr>
        <sz val="9"/>
        <rFont val="Arial CE"/>
        <family val="2"/>
        <charset val="238"/>
      </rPr>
      <t>(zimní stadión: Hokejový klub-vstupné, nájmy)</t>
    </r>
  </si>
  <si>
    <r>
      <rPr>
        <sz val="10"/>
        <rFont val="Arial CE"/>
        <family val="2"/>
        <charset val="238"/>
      </rPr>
      <t xml:space="preserve">               § 3612 tržby za správu SVJ</t>
    </r>
    <r>
      <rPr>
        <sz val="9"/>
        <rFont val="Arial CE"/>
        <charset val="238"/>
      </rPr>
      <t xml:space="preserve"> (odbor bytový)</t>
    </r>
  </si>
  <si>
    <r>
      <rPr>
        <sz val="10"/>
        <rFont val="Arial CE"/>
        <family val="2"/>
        <charset val="238"/>
      </rPr>
      <t xml:space="preserve">               § 3613 tržby za metropolitní síť </t>
    </r>
    <r>
      <rPr>
        <sz val="9"/>
        <rFont val="Arial CE"/>
        <charset val="238"/>
      </rPr>
      <t>(odbor organizační)</t>
    </r>
  </si>
  <si>
    <r>
      <rPr>
        <sz val="10"/>
        <rFont val="Arial CE"/>
        <family val="2"/>
        <charset val="238"/>
      </rPr>
      <t xml:space="preserve">               § 3632 poplatky za hrobová místa</t>
    </r>
    <r>
      <rPr>
        <sz val="9"/>
        <rFont val="Arial CE"/>
        <charset val="238"/>
      </rPr>
      <t xml:space="preserve"> (odbor správy majetku: od r. 2020 zůstává TSM)</t>
    </r>
  </si>
  <si>
    <r>
      <rPr>
        <sz val="10"/>
        <rFont val="Arial CE"/>
        <family val="2"/>
        <charset val="238"/>
      </rPr>
      <t xml:space="preserve">               § 4351 </t>
    </r>
    <r>
      <rPr>
        <sz val="10"/>
        <rFont val="Arial CE"/>
        <charset val="238"/>
      </rPr>
      <t xml:space="preserve">pečovatelská služba, denní stacionář, odlehč. služba Pohoda </t>
    </r>
    <r>
      <rPr>
        <sz val="9"/>
        <rFont val="Arial CE"/>
        <family val="2"/>
        <charset val="238"/>
      </rPr>
      <t>(Prosenior NJ)</t>
    </r>
  </si>
  <si>
    <r>
      <rPr>
        <sz val="10"/>
        <rFont val="Arial CE"/>
        <family val="2"/>
        <charset val="238"/>
      </rPr>
      <t xml:space="preserve">               § 5311 bezpečnost a veřejný pořádek </t>
    </r>
    <r>
      <rPr>
        <sz val="9"/>
        <rFont val="Arial CE"/>
        <family val="2"/>
        <charset val="238"/>
      </rPr>
      <t>(Městská policie)</t>
    </r>
  </si>
  <si>
    <r>
      <rPr>
        <sz val="10"/>
        <rFont val="Arial CE"/>
        <family val="2"/>
        <charset val="238"/>
      </rPr>
      <t xml:space="preserve">               § 6171 činnost místní správy </t>
    </r>
    <r>
      <rPr>
        <sz val="9"/>
        <rFont val="Arial CE"/>
        <charset val="238"/>
      </rPr>
      <t>(kopírování pro veřejnost)</t>
    </r>
  </si>
  <si>
    <r>
      <rPr>
        <b/>
        <sz val="10"/>
        <rFont val="Arial CE"/>
        <family val="2"/>
        <charset val="238"/>
      </rPr>
      <t xml:space="preserve">Ostatní příjmy z vlastní činnosti </t>
    </r>
    <r>
      <rPr>
        <sz val="9"/>
        <rFont val="Arial CE"/>
        <family val="2"/>
        <charset val="238"/>
      </rPr>
      <t>(odbor správy majetku: věcná břemena s DPH 21%)</t>
    </r>
  </si>
  <si>
    <r>
      <rPr>
        <b/>
        <sz val="10"/>
        <rFont val="Arial CE"/>
        <family val="2"/>
        <charset val="238"/>
      </rPr>
      <t xml:space="preserve">Odvody příspěvkových organizací </t>
    </r>
    <r>
      <rPr>
        <sz val="9"/>
        <rFont val="Arial CE"/>
        <charset val="238"/>
      </rPr>
      <t>(z fondu investic: odpisy z nemovitého majetku)</t>
    </r>
    <r>
      <rPr>
        <b/>
        <i/>
        <sz val="9"/>
        <rFont val="Arial CE"/>
        <family val="2"/>
        <charset val="238"/>
      </rPr>
      <t xml:space="preserve">       </t>
    </r>
    <r>
      <rPr>
        <sz val="9"/>
        <rFont val="Arial CE"/>
        <charset val="238"/>
      </rPr>
      <t xml:space="preserve">      </t>
    </r>
  </si>
  <si>
    <r>
      <rPr>
        <b/>
        <sz val="10"/>
        <rFont val="Arial CE"/>
        <family val="2"/>
        <charset val="238"/>
      </rPr>
      <t xml:space="preserve">Příjmy z pronájmu pozemků </t>
    </r>
    <r>
      <rPr>
        <sz val="9"/>
        <rFont val="Arial CE"/>
        <charset val="238"/>
      </rPr>
      <t>(odbor správy majetku: s 0% DPH 1140, s 21% DPH 850 + zápočet oplocení p. Perútka 8,78833)</t>
    </r>
  </si>
  <si>
    <t>Příjmy z pronájmů ostatních nemovitých věcí a jejich částí</t>
  </si>
  <si>
    <r>
      <rPr>
        <sz val="10"/>
        <rFont val="Arial CE"/>
        <family val="2"/>
        <charset val="238"/>
      </rPr>
      <t xml:space="preserve">              § 2212 vyhrazené parkování formou nájemní smlouvy </t>
    </r>
    <r>
      <rPr>
        <sz val="9"/>
        <rFont val="Arial CE"/>
        <charset val="238"/>
      </rPr>
      <t>(odbor správy majetku: v režimu DPH)</t>
    </r>
  </si>
  <si>
    <r>
      <rPr>
        <sz val="10"/>
        <rFont val="Arial CE"/>
        <family val="2"/>
        <charset val="238"/>
      </rPr>
      <t xml:space="preserve">              § 2310 nájem ostatních nemovitostí </t>
    </r>
    <r>
      <rPr>
        <sz val="9"/>
        <rFont val="Arial CE"/>
        <charset val="238"/>
      </rPr>
      <t>(odbor správy majetku)</t>
    </r>
  </si>
  <si>
    <r>
      <rPr>
        <sz val="10"/>
        <rFont val="Arial CE"/>
        <family val="2"/>
        <charset val="238"/>
      </rPr>
      <t xml:space="preserve">              § 2321 nájem Kanalizace od SmVaK (DSO) </t>
    </r>
    <r>
      <rPr>
        <sz val="9"/>
        <rFont val="Arial CE"/>
        <charset val="238"/>
      </rPr>
      <t>- účet 2310441 Plán financování obnovy (PFO)</t>
    </r>
  </si>
  <si>
    <r>
      <rPr>
        <sz val="10"/>
        <rFont val="Arial CE"/>
        <family val="2"/>
        <charset val="238"/>
      </rPr>
      <t xml:space="preserve">              § 3122 nájem EDUCA </t>
    </r>
    <r>
      <rPr>
        <sz val="9"/>
        <rFont val="Arial CE"/>
        <charset val="238"/>
      </rPr>
      <t>(odbor bytový)</t>
    </r>
  </si>
  <si>
    <r>
      <rPr>
        <sz val="10"/>
        <rFont val="Arial CE"/>
        <family val="2"/>
        <charset val="238"/>
      </rPr>
      <t xml:space="preserve">              § 3612 z bytů v majetku města</t>
    </r>
    <r>
      <rPr>
        <sz val="9"/>
        <rFont val="Arial CE"/>
        <charset val="238"/>
      </rPr>
      <t xml:space="preserve"> (odbor bytový: nájmy 32000, zálohy na služby 18500, vyplácení přeplatků, pacht Suvorovova 441,650)</t>
    </r>
  </si>
  <si>
    <r>
      <rPr>
        <sz val="10"/>
        <rFont val="Arial CE"/>
        <family val="2"/>
        <charset val="238"/>
      </rPr>
      <t xml:space="preserve">              § 3613 v nebytových prostorech </t>
    </r>
    <r>
      <rPr>
        <sz val="9"/>
        <rFont val="Arial CE"/>
        <family val="2"/>
        <charset val="238"/>
      </rPr>
      <t>(odbor organizační: Kavamat 3, Metropolitní síť 83,405+1194,7929)</t>
    </r>
  </si>
  <si>
    <r>
      <rPr>
        <sz val="10"/>
        <rFont val="Arial CE"/>
        <family val="2"/>
        <charset val="238"/>
      </rPr>
      <t xml:space="preserve">              § 3613 v nebyt.prostorech </t>
    </r>
    <r>
      <rPr>
        <sz val="9"/>
        <rFont val="Arial CE"/>
        <family val="2"/>
        <charset val="238"/>
      </rPr>
      <t>(odbor správy majetku: s DPH 0% je 100 =nájem plynovodu, s DPH 21%=325)</t>
    </r>
  </si>
  <si>
    <r>
      <rPr>
        <sz val="10"/>
        <rFont val="Arial CE"/>
        <charset val="238"/>
      </rPr>
      <t xml:space="preserve">              § 3613 v nebytových prostorech </t>
    </r>
    <r>
      <rPr>
        <sz val="9"/>
        <rFont val="Arial CE"/>
        <charset val="238"/>
      </rPr>
      <t>(odbor bytový: nájmy 13500, zálohy na služby 3000, kryté stání Loučka 240, krátkodobé 20, Hotel Praha 746, zálohy na služby a energie Hotel Praha 216, nájem teplovod Smet.sady 134)</t>
    </r>
  </si>
  <si>
    <r>
      <rPr>
        <sz val="10"/>
        <rFont val="Arial CE"/>
        <family val="2"/>
        <charset val="238"/>
      </rPr>
      <t xml:space="preserve">              § 3634 v zásobování teplem </t>
    </r>
    <r>
      <rPr>
        <sz val="9"/>
        <rFont val="Arial CE"/>
        <family val="2"/>
        <charset val="238"/>
      </rPr>
      <t>(VEOLIA)</t>
    </r>
  </si>
  <si>
    <r>
      <rPr>
        <sz val="10"/>
        <rFont val="Arial CE"/>
        <family val="2"/>
        <charset val="238"/>
      </rPr>
      <t xml:space="preserve">              § 4351 v domech s pečovatelskou službou </t>
    </r>
    <r>
      <rPr>
        <sz val="9"/>
        <rFont val="Arial CE"/>
        <family val="2"/>
        <charset val="238"/>
      </rPr>
      <t xml:space="preserve">(nájmy: krátkodobé 18), </t>
    </r>
    <r>
      <rPr>
        <sz val="8"/>
        <rFont val="Arial CE"/>
        <charset val="238"/>
      </rPr>
      <t>pozn.:skut.k 31.8.2020 vč.pol.2329</t>
    </r>
  </si>
  <si>
    <r>
      <rPr>
        <sz val="10"/>
        <rFont val="Arial CE"/>
        <family val="2"/>
        <charset val="238"/>
      </rPr>
      <t xml:space="preserve">              § 4379 v klubech seniorů </t>
    </r>
    <r>
      <rPr>
        <sz val="9"/>
        <rFont val="Arial CE"/>
        <family val="2"/>
        <charset val="238"/>
      </rPr>
      <t xml:space="preserve">(nájmy: dlouhodobé 16, krátkodobé 11) </t>
    </r>
  </si>
  <si>
    <t>Příjmy z úroků</t>
  </si>
  <si>
    <t>Sankční platby přijaté od jiných subjektů</t>
  </si>
  <si>
    <r>
      <rPr>
        <sz val="10"/>
        <rFont val="Arial CE"/>
        <family val="2"/>
        <charset val="238"/>
      </rPr>
      <t xml:space="preserve">z toho:  § 2141 vnitřní obchod </t>
    </r>
    <r>
      <rPr>
        <sz val="9"/>
        <rFont val="Arial CE"/>
        <charset val="238"/>
      </rPr>
      <t>(obecní živnostenský úřad: ve správním řízení 5, v blokovém řízení 15)</t>
    </r>
  </si>
  <si>
    <t xml:space="preserve">             § 2169 stavební úřad</t>
  </si>
  <si>
    <t xml:space="preserve">             § 2223 dopravní přestupky </t>
  </si>
  <si>
    <r>
      <rPr>
        <sz val="10"/>
        <rFont val="Arial CE"/>
        <family val="2"/>
        <charset val="238"/>
      </rPr>
      <t xml:space="preserve">             § 2223 dopravní přestupky </t>
    </r>
    <r>
      <rPr>
        <sz val="9"/>
        <rFont val="Arial CE"/>
        <charset val="238"/>
      </rPr>
      <t>(radary)</t>
    </r>
  </si>
  <si>
    <t xml:space="preserve">             § 3613 smluvní pokuta Čerťák (odbor bytový)</t>
  </si>
  <si>
    <t xml:space="preserve">             § 3633 smluvní pokuta IS RD Za Školou</t>
  </si>
  <si>
    <t xml:space="preserve">             § 3769 ostatní správa v ochraně životního prostředí       </t>
  </si>
  <si>
    <r>
      <rPr>
        <sz val="10"/>
        <rFont val="Arial CE"/>
        <family val="2"/>
        <charset val="238"/>
      </rPr>
      <t xml:space="preserve">             § 5311 bezpečnost a veřejný pořádek </t>
    </r>
    <r>
      <rPr>
        <sz val="9"/>
        <rFont val="Arial CE"/>
        <charset val="238"/>
      </rPr>
      <t>(Městská policie: na místě zaplacené 500, na místě nezapl. 150)</t>
    </r>
  </si>
  <si>
    <r>
      <rPr>
        <sz val="10"/>
        <rFont val="Arial CE"/>
        <family val="2"/>
        <charset val="238"/>
      </rPr>
      <t xml:space="preserve">             § 6171 pokuty </t>
    </r>
    <r>
      <rPr>
        <sz val="9"/>
        <rFont val="Arial CE"/>
        <family val="2"/>
        <charset val="238"/>
      </rPr>
      <t>(odbor přestupkových agend)</t>
    </r>
  </si>
  <si>
    <r>
      <rPr>
        <sz val="10"/>
        <rFont val="Arial CE"/>
        <family val="2"/>
        <charset val="238"/>
      </rPr>
      <t xml:space="preserve">             § 6171 pokuty </t>
    </r>
    <r>
      <rPr>
        <sz val="9"/>
        <rFont val="Arial CE"/>
        <family val="2"/>
        <charset val="238"/>
      </rPr>
      <t>(odbor správních agend)</t>
    </r>
  </si>
  <si>
    <r>
      <rPr>
        <b/>
        <sz val="10"/>
        <rFont val="Arial CE"/>
        <family val="2"/>
        <charset val="238"/>
      </rPr>
      <t xml:space="preserve">Ostatní příjmy z fin.vypořádání předch.let od jiných veřej.rozpočtů </t>
    </r>
    <r>
      <rPr>
        <sz val="10"/>
        <rFont val="Arial CE"/>
        <charset val="238"/>
      </rPr>
      <t xml:space="preserve">doplatek dotace 2019-volby do EP </t>
    </r>
  </si>
  <si>
    <r>
      <rPr>
        <b/>
        <sz val="10"/>
        <rFont val="Arial CE"/>
        <family val="2"/>
        <charset val="238"/>
      </rPr>
      <t xml:space="preserve">Ostatní přijaté vratky transferů </t>
    </r>
    <r>
      <rPr>
        <sz val="10"/>
        <rFont val="Arial CE"/>
        <charset val="238"/>
      </rPr>
      <t>(příspěvků a dotací)</t>
    </r>
  </si>
  <si>
    <t>z toho § 3111 MŠ vratky příspěvků 2019 na energie (org.305+307+309)</t>
  </si>
  <si>
    <t xml:space="preserve">           § 3111 MŠ vratky dotace 2019 - Šablony I (org. 0309)</t>
  </si>
  <si>
    <t xml:space="preserve">           § 3111 vratky veř.výpomoci 2019 - individuální žádosti kultura+sport (org.1180)</t>
  </si>
  <si>
    <t xml:space="preserve">           § 3113 ZŠ vratky příspěvků 2019 na energie (org.321+325)</t>
  </si>
  <si>
    <t xml:space="preserve">           § 3113 ZŠ vratky dotace 2019 - Šablony I  (org. 0323)</t>
  </si>
  <si>
    <t xml:space="preserve">           § 3233 SVČ Fokus vratky příspěvků 2019 na energie</t>
  </si>
  <si>
    <t xml:space="preserve">           § 3311 Beskydské divadlo vratky příspěvků 2019 na energie</t>
  </si>
  <si>
    <t xml:space="preserve">           § 3392 MěKS vratky příspěvků 2019 na energie</t>
  </si>
  <si>
    <t xml:space="preserve">           § 3412 Basketbalový klub z.s.-vratky příspěvků 2019 energie a provoz</t>
  </si>
  <si>
    <t xml:space="preserve">           § 3419 vratky veř.výpomoci 2019 - sport (org.1134, 1136,1137, 1141, 1180)</t>
  </si>
  <si>
    <t xml:space="preserve">           § 3429 vratky veř.výpomoci 2019 - sport (org. 1141)</t>
  </si>
  <si>
    <t xml:space="preserve">           § 4171- § 4379 dávky a podpory v soc.zabezpečení z minulých let</t>
  </si>
  <si>
    <t>Příjmy z prodeje krd a drobného dld majetku</t>
  </si>
  <si>
    <r>
      <rPr>
        <b/>
        <sz val="10"/>
        <rFont val="Arial CE"/>
        <family val="2"/>
        <charset val="238"/>
      </rPr>
      <t xml:space="preserve">Přijaté neinvestiční dary </t>
    </r>
    <r>
      <rPr>
        <sz val="9"/>
        <rFont val="Arial CE"/>
        <family val="2"/>
        <charset val="238"/>
      </rPr>
      <t xml:space="preserve">(Veolia Dalkia ČR-financování kulturních a společenských akcí města) </t>
    </r>
  </si>
  <si>
    <t>Přijaté pojistné náhrady</t>
  </si>
  <si>
    <t>Přijaté nekapitálové příspěvky a náhrady</t>
  </si>
  <si>
    <r>
      <rPr>
        <sz val="10"/>
        <rFont val="Arial CE"/>
        <charset val="238"/>
      </rPr>
      <t xml:space="preserve">             § 2141 vnitřní obchod </t>
    </r>
    <r>
      <rPr>
        <sz val="9"/>
        <rFont val="Arial CE"/>
        <family val="2"/>
        <charset val="238"/>
      </rPr>
      <t>(obecní živnostenský úřad: náklady řízení)</t>
    </r>
  </si>
  <si>
    <r>
      <rPr>
        <sz val="10"/>
        <rFont val="Arial CE"/>
        <charset val="238"/>
      </rPr>
      <t xml:space="preserve">             § 2223 bezpečnost silničního provozu </t>
    </r>
    <r>
      <rPr>
        <sz val="9"/>
        <rFont val="Arial CE"/>
        <charset val="238"/>
      </rPr>
      <t>(dopravní přestupky: náklady řízení)</t>
    </r>
  </si>
  <si>
    <r>
      <rPr>
        <sz val="10"/>
        <rFont val="Arial CE"/>
        <charset val="238"/>
      </rPr>
      <t xml:space="preserve">             § 3612 bytové hospodářství </t>
    </r>
    <r>
      <rPr>
        <sz val="9"/>
        <rFont val="Arial CE"/>
        <charset val="238"/>
      </rPr>
      <t>(odbor bytový: úhrada nákladů soudních řízení+poplatky z prodlení)</t>
    </r>
  </si>
  <si>
    <r>
      <rPr>
        <sz val="10"/>
        <rFont val="Arial CE"/>
        <charset val="238"/>
      </rPr>
      <t xml:space="preserve">             § 3613 nebytové hospodářství </t>
    </r>
    <r>
      <rPr>
        <sz val="9"/>
        <rFont val="Arial CE"/>
        <charset val="238"/>
      </rPr>
      <t>(odb.bytový: úhrada nákladů soudních řízení+popl.z prodlení,OSM 3,84798)</t>
    </r>
  </si>
  <si>
    <r>
      <rPr>
        <sz val="10"/>
        <rFont val="Arial CE"/>
        <family val="2"/>
        <charset val="238"/>
      </rPr>
      <t xml:space="preserve">             § 3631 veřejné osvětlení (náhrada za </t>
    </r>
    <r>
      <rPr>
        <sz val="9"/>
        <rFont val="Arial CE"/>
        <charset val="238"/>
      </rPr>
      <t>VO na území obce Šenov u NJ+F67</t>
    </r>
    <r>
      <rPr>
        <sz val="10"/>
        <rFont val="Arial CE"/>
        <family val="2"/>
        <charset val="238"/>
      </rPr>
      <t>)</t>
    </r>
  </si>
  <si>
    <r>
      <rPr>
        <sz val="10"/>
        <rFont val="Arial CE"/>
        <family val="2"/>
        <charset val="238"/>
      </rPr>
      <t xml:space="preserve">             § 3632 pohřebnictví (</t>
    </r>
    <r>
      <rPr>
        <sz val="9"/>
        <rFont val="Arial CE"/>
        <charset val="238"/>
      </rPr>
      <t>příspěvek od Česko-něm fondu budoucnosti na sanaci čestných hrobů NJ</t>
    </r>
    <r>
      <rPr>
        <sz val="10"/>
        <rFont val="Arial CE"/>
        <family val="2"/>
        <charset val="238"/>
      </rPr>
      <t>)</t>
    </r>
  </si>
  <si>
    <r>
      <rPr>
        <sz val="10"/>
        <rFont val="Arial CE"/>
        <family val="2"/>
        <charset val="238"/>
      </rPr>
      <t xml:space="preserve">             § 3639 náklady řízení </t>
    </r>
    <r>
      <rPr>
        <sz val="9"/>
        <rFont val="Arial CE"/>
        <charset val="238"/>
      </rPr>
      <t>(odbor finanční)</t>
    </r>
  </si>
  <si>
    <r>
      <rPr>
        <sz val="10"/>
        <rFont val="Arial CE"/>
        <family val="2"/>
        <charset val="238"/>
      </rPr>
      <t xml:space="preserve">             § 3722 sběr a svoz komunálních odpadů </t>
    </r>
    <r>
      <rPr>
        <sz val="9"/>
        <rFont val="Arial CE"/>
        <family val="2"/>
        <charset val="238"/>
      </rPr>
      <t xml:space="preserve">(příspěvek od EKOKOMu)               </t>
    </r>
  </si>
  <si>
    <r>
      <rPr>
        <sz val="10"/>
        <rFont val="Arial CE"/>
        <family val="2"/>
        <charset val="238"/>
      </rPr>
      <t xml:space="preserve">             § 3769 ostatní správa v ochraně životního prostředí</t>
    </r>
    <r>
      <rPr>
        <sz val="9"/>
        <rFont val="Arial CE"/>
        <family val="2"/>
        <charset val="238"/>
      </rPr>
      <t xml:space="preserve">       </t>
    </r>
  </si>
  <si>
    <r>
      <rPr>
        <sz val="10"/>
        <rFont val="Arial CE"/>
        <family val="2"/>
        <charset val="238"/>
      </rPr>
      <t xml:space="preserve">             § 4329 ostatní soc.péče a pomoc dětem a mládeži</t>
    </r>
    <r>
      <rPr>
        <sz val="9"/>
        <rFont val="Arial CE"/>
        <family val="2"/>
        <charset val="238"/>
      </rPr>
      <t xml:space="preserve">   </t>
    </r>
  </si>
  <si>
    <r>
      <rPr>
        <sz val="10"/>
        <rFont val="Arial CE"/>
        <family val="2"/>
        <charset val="238"/>
      </rPr>
      <t xml:space="preserve">             § 5311 bezpečnost a veřejný pořádek</t>
    </r>
    <r>
      <rPr>
        <sz val="9"/>
        <rFont val="Arial CE"/>
        <charset val="238"/>
      </rPr>
      <t xml:space="preserve"> (Městská policie: náhrady)</t>
    </r>
  </si>
  <si>
    <r>
      <rPr>
        <sz val="10"/>
        <rFont val="Arial CE"/>
        <family val="2"/>
        <charset val="238"/>
      </rPr>
      <t xml:space="preserve">             § 6171 činnost místní správy </t>
    </r>
    <r>
      <rPr>
        <sz val="9"/>
        <rFont val="Arial CE"/>
        <charset val="238"/>
      </rPr>
      <t>(odbor přestupkových agend: náklady řízení)</t>
    </r>
  </si>
  <si>
    <r>
      <rPr>
        <sz val="10"/>
        <rFont val="Arial CE"/>
        <family val="2"/>
        <charset val="238"/>
      </rPr>
      <t xml:space="preserve">             § 6171 činnost místní správy</t>
    </r>
    <r>
      <rPr>
        <sz val="9"/>
        <rFont val="Arial CE"/>
        <family val="2"/>
        <charset val="238"/>
      </rPr>
      <t xml:space="preserve"> (náhrady škod, dobropisy z min.let)</t>
    </r>
  </si>
  <si>
    <r>
      <rPr>
        <sz val="10"/>
        <rFont val="Arial CE"/>
        <family val="2"/>
        <charset val="238"/>
      </rPr>
      <t xml:space="preserve">             § 6171 činnost místní správy</t>
    </r>
    <r>
      <rPr>
        <sz val="9"/>
        <rFont val="Arial CE"/>
        <family val="2"/>
        <charset val="238"/>
      </rPr>
      <t xml:space="preserve"> (odbor finanční: exekuční a soudní náklady)</t>
    </r>
  </si>
  <si>
    <r>
      <rPr>
        <sz val="10"/>
        <rFont val="Arial CE"/>
        <family val="2"/>
        <charset val="238"/>
      </rPr>
      <t xml:space="preserve">             § 6409 ostatní činnosti j.n. (</t>
    </r>
    <r>
      <rPr>
        <sz val="9"/>
        <rFont val="Arial CE"/>
        <charset val="238"/>
      </rPr>
      <t>příspěvek na opravu kamenného divadla</t>
    </r>
    <r>
      <rPr>
        <sz val="10"/>
        <rFont val="Arial CE"/>
        <family val="2"/>
        <charset val="238"/>
      </rPr>
      <t>)</t>
    </r>
  </si>
  <si>
    <t>Neidentifikované příjmy</t>
  </si>
  <si>
    <t>Ostatní nedaňové příjmy j.n.</t>
  </si>
  <si>
    <t>z toho: § 2292 dopravní obslužnost (odbor dopravy)</t>
  </si>
  <si>
    <r>
      <rPr>
        <sz val="10"/>
        <rFont val="Arial CE"/>
        <family val="2"/>
        <charset val="238"/>
      </rPr>
      <t xml:space="preserve">             § 3341 kabelová televize Straník-přihlášky</t>
    </r>
    <r>
      <rPr>
        <sz val="9"/>
        <rFont val="Arial CE"/>
        <family val="2"/>
        <charset val="238"/>
      </rPr>
      <t xml:space="preserve"> </t>
    </r>
    <r>
      <rPr>
        <sz val="10"/>
        <rFont val="Arial CE"/>
        <charset val="238"/>
      </rPr>
      <t>(odbor správy majetku)</t>
    </r>
  </si>
  <si>
    <t xml:space="preserve">             § 3612 bytové hospodářství (odbor bytový)</t>
  </si>
  <si>
    <t xml:space="preserve">             § 3613 nebytové hospodářství (odbor bytový)</t>
  </si>
  <si>
    <r>
      <rPr>
        <sz val="10"/>
        <rFont val="Arial CE"/>
        <family val="2"/>
        <charset val="238"/>
      </rPr>
      <t xml:space="preserve">             § 3613 chata Jičínka </t>
    </r>
    <r>
      <rPr>
        <sz val="10"/>
        <rFont val="Arial CE"/>
        <charset val="238"/>
      </rPr>
      <t>(org. 4381)=účet 2310440, OSM kovošrot 0,310 + ostatní=účet 2310600</t>
    </r>
  </si>
  <si>
    <r>
      <rPr>
        <sz val="10"/>
        <rFont val="Arial CE"/>
        <family val="2"/>
        <charset val="238"/>
      </rPr>
      <t xml:space="preserve">             § 3632</t>
    </r>
    <r>
      <rPr>
        <sz val="10"/>
        <rFont val="Arial CE"/>
        <charset val="238"/>
      </rPr>
      <t xml:space="preserve"> pohřebnictví (odbor sociálních věcí - příjmy ze sociálních pohřbů)</t>
    </r>
  </si>
  <si>
    <r>
      <rPr>
        <sz val="10"/>
        <rFont val="Arial CE"/>
        <family val="2"/>
        <charset val="238"/>
      </rPr>
      <t xml:space="preserve">             § 3639 provoz internetu ve Straníku </t>
    </r>
    <r>
      <rPr>
        <sz val="10"/>
        <rFont val="Arial CE"/>
        <charset val="238"/>
      </rPr>
      <t>(odbor správy majetku)</t>
    </r>
  </si>
  <si>
    <t xml:space="preserve">             § 4351 domy s pečovatelskou službou (odbor bytový)</t>
  </si>
  <si>
    <t xml:space="preserve">             § 4399 ostatní záležitosti soc.věcí a politiky zaměstnanosti</t>
  </si>
  <si>
    <t xml:space="preserve">             § 6171 odbor organizační (DPH)</t>
  </si>
  <si>
    <t xml:space="preserve">             § 6409 odbor organizační </t>
  </si>
  <si>
    <r>
      <rPr>
        <b/>
        <sz val="10"/>
        <rFont val="Arial CE"/>
        <family val="2"/>
        <charset val="238"/>
      </rPr>
      <t xml:space="preserve">Splátky půjč.prostředků od podnik.subjektů-FO </t>
    </r>
    <r>
      <rPr>
        <sz val="10"/>
        <rFont val="Arial CE"/>
        <charset val="238"/>
      </rPr>
      <t>(návratná fin.výpomoc 2019 org.1180-Ing.Žitníková, projekt Beránek s plandavým ouškem)</t>
    </r>
  </si>
  <si>
    <r>
      <rPr>
        <b/>
        <sz val="10"/>
        <rFont val="Arial CE"/>
        <family val="2"/>
        <charset val="238"/>
      </rPr>
      <t xml:space="preserve">Příjmy z prodeje pozemků </t>
    </r>
    <r>
      <rPr>
        <sz val="10"/>
        <rFont val="Arial CE"/>
        <charset val="238"/>
      </rPr>
      <t>(v mil. Kč: za Kauflandem 5,95 + Dolní Brána 3,9 + IS Za Školou 3.etapa 44,064+ Lokalita Pod Skalkou 14,478 + chata Bludovice 0,8 + SBD Venkov 1,8 + trafostanice ČP 0,4 + ost. 2,5)</t>
    </r>
  </si>
  <si>
    <t xml:space="preserve">Příjmy z prodeje ostatních nemovitých věcí a jejich částí </t>
  </si>
  <si>
    <t xml:space="preserve">z toho: bytový dům Purkyňova 40 (podíl města 64/100) </t>
  </si>
  <si>
    <t xml:space="preserve">            nebytový dům Karla Čapka 15</t>
  </si>
  <si>
    <t xml:space="preserve">            bytový dům Hoblíkova 32</t>
  </si>
  <si>
    <t xml:space="preserve">            bytový dům Dolní Brána 26</t>
  </si>
  <si>
    <t xml:space="preserve">            nebytový dům Hoblíkova 3</t>
  </si>
  <si>
    <t xml:space="preserve">            nebytový dům U Jezu - celý areál - odhad</t>
  </si>
  <si>
    <t xml:space="preserve">            bytový dům Beskydská 176 (Škola života) - odhad</t>
  </si>
  <si>
    <t xml:space="preserve">            vodovodní řady města na pozemcích Žilina, Bludovice, NJ (ORJ 102)</t>
  </si>
  <si>
    <r>
      <rPr>
        <b/>
        <sz val="10"/>
        <rFont val="Arial CE"/>
        <family val="2"/>
        <charset val="238"/>
      </rPr>
      <t>Příjmy z prodeje ostatního hmotného dlouhodobého majetku</t>
    </r>
    <r>
      <rPr>
        <sz val="9"/>
        <rFont val="Arial CE"/>
        <charset val="238"/>
      </rPr>
      <t xml:space="preserve"> </t>
    </r>
  </si>
  <si>
    <r>
      <rPr>
        <b/>
        <sz val="10"/>
        <rFont val="Arial CE"/>
        <family val="2"/>
        <charset val="238"/>
      </rPr>
      <t>Ostatní příjmy z prodeje dlouhodobého majetku</t>
    </r>
    <r>
      <rPr>
        <sz val="9"/>
        <rFont val="Arial CE"/>
        <charset val="238"/>
      </rPr>
      <t xml:space="preserve"> (odbor organizační: metropolitní síť)</t>
    </r>
  </si>
  <si>
    <r>
      <rPr>
        <b/>
        <sz val="10"/>
        <rFont val="Arial CE"/>
        <family val="2"/>
        <charset val="238"/>
      </rPr>
      <t xml:space="preserve">Přijaté dary na pořízení dlouhodobého majetku </t>
    </r>
    <r>
      <rPr>
        <sz val="10"/>
        <rFont val="Arial CE"/>
        <charset val="238"/>
      </rPr>
      <t>(chodník Na Valech-spoluúčast, komunikace ČSAD r. 2021)</t>
    </r>
  </si>
  <si>
    <t>Přijaté příspěvky na pořízení dlouhodobého majetku</t>
  </si>
  <si>
    <t>Ostatní investiční příjmy j.n.</t>
  </si>
  <si>
    <t xml:space="preserve">             Modernizace kotelny zimního stadionu- bude u dotace na Rekonstrukci střechy</t>
  </si>
  <si>
    <t xml:space="preserve">             Vybudování kotelny v DPS U Jičínky 25</t>
  </si>
  <si>
    <t xml:space="preserve">             Místo pro přecházení Bludovice u České školy</t>
  </si>
  <si>
    <t xml:space="preserve">             Stavební úprava a nástavba objektu SVČ Fokus</t>
  </si>
  <si>
    <t>Třída 4  - Přijaté transfery</t>
  </si>
  <si>
    <t xml:space="preserve">Neinvestiční přijaté transfery z všeobecné pokladní správy státního rozpočtu </t>
  </si>
  <si>
    <t xml:space="preserve">               kompenzační bonus v souvislosti s kriz.opatřeními spojenými s výskytem koronaviru </t>
  </si>
  <si>
    <t xml:space="preserve">               na společné volby do Senátu Parlamentu ČR a zastupitelstev krajů</t>
  </si>
  <si>
    <r>
      <rPr>
        <b/>
        <sz val="10"/>
        <rFont val="Arial CE"/>
        <family val="2"/>
        <charset val="238"/>
      </rPr>
      <t xml:space="preserve">Neinvestiční přijaté transfery ze státního rozpočtu v rámci souhrnného dotačního vztahu </t>
    </r>
    <r>
      <rPr>
        <sz val="10"/>
        <rFont val="Arial CE"/>
        <family val="2"/>
        <charset val="238"/>
      </rPr>
      <t>(2020: příspěvek na výkon státní správy, z toho základní působnost 958935,0949 + matriční působnost 709659,9826 + příspěvek za narozené 520950 + příspěvek za sňatek 433320 + příspěvek za úmrtí 542800 + příspěvek za určení otcovství 39919 + stavební působnost 4236063,649 + pověřený obecní úřad 7723640,937 + rozšířená působnost 23616817,65 + obč.průkazy (5454 ks) + veřejné opatrovnictví 1363000 (47 opatr.) + 1530786 územní plánování + 236555 řidičské průkazy (2057 ks) + zaokrouhleno)                                                                                                                                                                                                                                                                                                                                                                                                                                                                     (2021: ...................................)</t>
    </r>
  </si>
  <si>
    <t xml:space="preserve">Ostatní neinvestiční přijaté transfery ze státního rozpočtu </t>
  </si>
  <si>
    <r>
      <rPr>
        <sz val="10"/>
        <rFont val="Arial CE"/>
        <family val="2"/>
        <charset val="238"/>
      </rPr>
      <t xml:space="preserve">              ostatní </t>
    </r>
    <r>
      <rPr>
        <sz val="9"/>
        <rFont val="Arial CE"/>
        <family val="2"/>
        <charset val="238"/>
      </rPr>
      <t>(minimální podíl melioračních dřevin, aj.)</t>
    </r>
  </si>
  <si>
    <t xml:space="preserve">              Výkon pěstounské péče (ÚZ 13010)</t>
  </si>
  <si>
    <t xml:space="preserve">              Výkon sociálněprávní ochrany dětí (ÚZ 13011)</t>
  </si>
  <si>
    <t xml:space="preserve">              Na výkon sociální práce mimo SPOD (ÚZ 13015)</t>
  </si>
  <si>
    <t xml:space="preserve">                                                        ÚZ 13351</t>
  </si>
  <si>
    <t xml:space="preserve">              MMR IROP SR NIV-EÚ bytového domu Revoluční 36 (ÚZ 17015)</t>
  </si>
  <si>
    <t xml:space="preserve">              MMR IROP EU NIV-EÚ bytového domu Revoluční 36 (ÚZ 17016)</t>
  </si>
  <si>
    <t xml:space="preserve">              Mze-zmírnění dopadů kůrovcové kalamity v lesích 1.10.2017-31.12.2018 (ÚZ 29030)</t>
  </si>
  <si>
    <t xml:space="preserve">                                                 ÚZ 33063</t>
  </si>
  <si>
    <t xml:space="preserve">                                                 ÚZ 34053</t>
  </si>
  <si>
    <t xml:space="preserve">              Min.kultury-Program regenerace MPR a MPZ</t>
  </si>
  <si>
    <t>Neinvestiční přijaté transfery od obcí</t>
  </si>
  <si>
    <r>
      <rPr>
        <sz val="10"/>
        <rFont val="Arial CE"/>
        <family val="2"/>
        <charset val="238"/>
      </rPr>
      <t xml:space="preserve">z toho: za veřejnoprávní smlouvy s ostatními obcemi na úseku přestupků </t>
    </r>
    <r>
      <rPr>
        <sz val="9"/>
        <rFont val="Arial CE"/>
        <family val="2"/>
        <charset val="238"/>
      </rPr>
      <t>(odbor přestupkových agend)</t>
    </r>
  </si>
  <si>
    <r>
      <rPr>
        <sz val="10"/>
        <rFont val="Arial CE"/>
        <family val="2"/>
        <charset val="238"/>
      </rPr>
      <t xml:space="preserve">             za veřejnopravní smlouvy s ostatními obcemi </t>
    </r>
    <r>
      <rPr>
        <sz val="9"/>
        <rFont val="Arial CE"/>
        <family val="2"/>
        <charset val="238"/>
      </rPr>
      <t>(Městská policie-odchyt psů)</t>
    </r>
  </si>
  <si>
    <t xml:space="preserve">             za poskytování odlehčovací služby Pohoda (ProSenior NJ)</t>
  </si>
  <si>
    <t xml:space="preserve">             na poskytování podpory soc.služeb dle zákona o soc.službách ORJ 541, org.1113</t>
  </si>
  <si>
    <t xml:space="preserve">             na poskytování podpory soc.služeb dle zákona o soc.službách ORJ 541, org.1114</t>
  </si>
  <si>
    <t xml:space="preserve">             za veřejnoprávní smlouvy s ostatními obcemi (odbor životního prostředí - veř.zeleň)</t>
  </si>
  <si>
    <r>
      <rPr>
        <sz val="10"/>
        <rFont val="Arial CE"/>
        <family val="2"/>
        <charset val="238"/>
      </rPr>
      <t xml:space="preserve">             za veřejnoprávní smlouvy s ostatními obcemi </t>
    </r>
    <r>
      <rPr>
        <sz val="9"/>
        <rFont val="Arial CE"/>
        <charset val="238"/>
      </rPr>
      <t>(</t>
    </r>
    <r>
      <rPr>
        <sz val="10"/>
        <rFont val="Arial CE"/>
        <charset val="238"/>
      </rPr>
      <t>stavební úřad</t>
    </r>
    <r>
      <rPr>
        <sz val="9"/>
        <rFont val="Arial CE"/>
        <charset val="238"/>
      </rPr>
      <t>)</t>
    </r>
  </si>
  <si>
    <t xml:space="preserve">Neinvestiční přijaté transfery od krajů </t>
  </si>
  <si>
    <t xml:space="preserve">              pořízení ochranných prostředků a pomůcek pro dopravce veř.dopravy- covid-19 (ÚZ 27009) </t>
  </si>
  <si>
    <t xml:space="preserve">              Okresní a kraj.soutěže typu AaB-SVČ Fokus (ÚZ 133)</t>
  </si>
  <si>
    <t xml:space="preserve">              podpora technických atraktivit v NJ (ÚZ 201)</t>
  </si>
  <si>
    <t xml:space="preserve">              zajištění výkonu regionálních funkcí knihoven-MěKS (ÚZ 345)</t>
  </si>
  <si>
    <r>
      <rPr>
        <sz val="10"/>
        <rFont val="Arial CE"/>
        <family val="2"/>
        <charset val="238"/>
      </rPr>
      <t xml:space="preserve">              poskytování sociálních služeb (ÚZ 13305) - </t>
    </r>
    <r>
      <rPr>
        <sz val="9"/>
        <rFont val="Arial CE"/>
        <charset val="238"/>
      </rPr>
      <t>pro Prosenior</t>
    </r>
  </si>
  <si>
    <r>
      <rPr>
        <sz val="9"/>
        <rFont val="Arial CE"/>
        <charset val="238"/>
      </rPr>
      <t>2360100/741/6330/</t>
    </r>
    <r>
      <rPr>
        <b/>
        <sz val="9"/>
        <rFont val="Arial CE"/>
        <charset val="238"/>
      </rPr>
      <t>4134</t>
    </r>
    <r>
      <rPr>
        <sz val="9"/>
        <rFont val="Arial CE"/>
        <charset val="238"/>
      </rPr>
      <t>/0/0</t>
    </r>
  </si>
  <si>
    <r>
      <rPr>
        <b/>
        <sz val="10"/>
        <rFont val="Arial CE"/>
        <family val="2"/>
        <charset val="238"/>
      </rPr>
      <t xml:space="preserve">Převody z rozpočtových účtů </t>
    </r>
    <r>
      <rPr>
        <sz val="9"/>
        <rFont val="Arial CE"/>
        <family val="2"/>
        <charset val="238"/>
      </rPr>
      <t>(sociální fond)</t>
    </r>
  </si>
  <si>
    <t>Investiční přijaté transfery ze SF</t>
  </si>
  <si>
    <t xml:space="preserve">              SFŽP -IV- nákup vozidel na alternativní pohon pro město NJ (ÚZ 90992)</t>
  </si>
  <si>
    <t xml:space="preserve">              SZIF-dotace pro JSDH Straník</t>
  </si>
  <si>
    <t xml:space="preserve">              SZIF- IV-SR-Program na rozvoj venkova-proj.Oprava kamenného divadla Skalky (ÚZ 89509)</t>
  </si>
  <si>
    <t xml:space="preserve">              SZIF- IV-EU-Program na rozvoj venkova-proj.Oprava kamenného divadla Skalky (ÚZ 89510)</t>
  </si>
  <si>
    <t>Ostatní investiční přijaté transfery ze státního rozpočtu</t>
  </si>
  <si>
    <t xml:space="preserve">             Zborovská 11 (revitalizace bytového domu) - dle rozhodnutí o poskytnutí dotace</t>
  </si>
  <si>
    <t xml:space="preserve">             Na Lani 212 (revitalizace bytového domu) -  dle rozhodnutí o poskytnutí dotace</t>
  </si>
  <si>
    <t xml:space="preserve">              MMR - Místo pro přecházení na silnici I/57 Bludovice u NJ (ÚZ 17969) </t>
  </si>
  <si>
    <t xml:space="preserve">              MMR IROP SR IV-EÚ bytového domu Revoluční 36 (ÚZ 17968)</t>
  </si>
  <si>
    <t xml:space="preserve">              MMR IROP EU IV-EÚ bytového domu Revoluční 36 (ÚZ 17969)</t>
  </si>
  <si>
    <t xml:space="preserve">              MMR IROP SR IV-Regulační plán MPR NJ (ÚZ 17968)</t>
  </si>
  <si>
    <t xml:space="preserve">              MMR IROP EU IV-Regulační plán MPR NJ (ÚZ 17969)</t>
  </si>
  <si>
    <t xml:space="preserve">              Opatření ke snížení energ.náročnosti VO - EFEKT 2021 (ÚZ 22500) </t>
  </si>
  <si>
    <t xml:space="preserve">                                          ÚZ 33502</t>
  </si>
  <si>
    <t xml:space="preserve">                                          ÚZ 34544</t>
  </si>
  <si>
    <t>Investiční přijaté transfery od krajů</t>
  </si>
  <si>
    <t xml:space="preserve">             Huckelovy vily (ÚZ 201) - dotace</t>
  </si>
  <si>
    <t xml:space="preserve">             Podpora technických atraktivit v NJ (ÚZ 201)</t>
  </si>
  <si>
    <t xml:space="preserve">             Rozšíření průmyslové zóny 2.etapa - dotace MSK (ÚZ 201)</t>
  </si>
  <si>
    <t xml:space="preserve">             Cyklostezka NJ-Hostašovice - úsek vojenská vlečka (ÚZ 719)</t>
  </si>
  <si>
    <r>
      <rPr>
        <b/>
        <sz val="10"/>
        <rFont val="Arial CE"/>
        <family val="2"/>
        <charset val="238"/>
      </rPr>
      <t xml:space="preserve">Změna stavu krátkodobých prostředků na bankovních účtech </t>
    </r>
    <r>
      <rPr>
        <sz val="9"/>
        <rFont val="Arial CE"/>
        <charset val="238"/>
      </rPr>
      <t>(zapojení konečného zůstatku k 31.12.2020 na účtech města)</t>
    </r>
  </si>
  <si>
    <r>
      <rPr>
        <b/>
        <sz val="10"/>
        <rFont val="Arial CE"/>
        <family val="2"/>
        <charset val="238"/>
      </rPr>
      <t xml:space="preserve">Aktivní krátkodobé operace řízení likvidity - příjmy </t>
    </r>
    <r>
      <rPr>
        <sz val="9"/>
        <rFont val="Arial CE"/>
        <charset val="238"/>
      </rPr>
      <t>(zhodnocování volných finančních zdrojů města)</t>
    </r>
  </si>
  <si>
    <r>
      <rPr>
        <b/>
        <sz val="10"/>
        <rFont val="Arial CE"/>
        <family val="2"/>
        <charset val="238"/>
      </rPr>
      <t>Dlouhodobé přijaté půjčené prostředky</t>
    </r>
    <r>
      <rPr>
        <sz val="9"/>
        <rFont val="Arial CE"/>
        <charset val="238"/>
      </rPr>
      <t xml:space="preserve"> (investiční úvěr na akce: Revitalizace K Archívu 2+Revitalizace Zborovská 11+Revitalizace Na Lani 212)</t>
    </r>
  </si>
  <si>
    <t>Změna stavu dlouhodobých prostředků na bankovních účtech</t>
  </si>
  <si>
    <t>Operace z peněžních účtů organizace nemající charakter příjmů a výdajů vládního sektoru</t>
  </si>
  <si>
    <t xml:space="preserve">            splátky úvěru do DSO regionu Novojičínska - Kanalizace Žilina-Loučka</t>
  </si>
  <si>
    <t xml:space="preserve">            DPH - přenesená daňová povinnost</t>
  </si>
  <si>
    <t>Výdaje</t>
  </si>
  <si>
    <t>ORJ 1xx - Odbor správy majetku</t>
  </si>
  <si>
    <t>102 - Vodní hospodářství</t>
  </si>
  <si>
    <r>
      <rPr>
        <b/>
        <sz val="10"/>
        <rFont val="Arial CE"/>
        <family val="2"/>
        <charset val="238"/>
      </rPr>
      <t>Pitná voda</t>
    </r>
    <r>
      <rPr>
        <sz val="9"/>
        <rFont val="Arial CE"/>
        <family val="2"/>
        <charset val="238"/>
      </rPr>
      <t xml:space="preserve"> (účet 2310800)</t>
    </r>
  </si>
  <si>
    <t>0387/2310/5151</t>
  </si>
  <si>
    <t xml:space="preserve">           dovoz pitné vody </t>
  </si>
  <si>
    <t>0387/2310/5169</t>
  </si>
  <si>
    <r>
      <rPr>
        <sz val="10"/>
        <rFont val="Arial CE"/>
        <family val="2"/>
        <charset val="238"/>
      </rPr>
      <t xml:space="preserve">           </t>
    </r>
    <r>
      <rPr>
        <sz val="9"/>
        <rFont val="Arial CE"/>
        <charset val="238"/>
      </rPr>
      <t xml:space="preserve">PD k opravám, pasport vodovodů </t>
    </r>
  </si>
  <si>
    <t>0387/2310/5171</t>
  </si>
  <si>
    <r>
      <rPr>
        <sz val="10"/>
        <rFont val="Arial CE"/>
        <family val="2"/>
        <charset val="238"/>
      </rPr>
      <t xml:space="preserve">           </t>
    </r>
    <r>
      <rPr>
        <sz val="9"/>
        <rFont val="Arial CE"/>
        <charset val="238"/>
      </rPr>
      <t>opravy a udržba</t>
    </r>
  </si>
  <si>
    <r>
      <rPr>
        <b/>
        <sz val="10"/>
        <rFont val="Arial CE"/>
        <family val="2"/>
        <charset val="238"/>
      </rPr>
      <t xml:space="preserve">Odvádění a čištění odpadních vod a nakládání s kaly </t>
    </r>
    <r>
      <rPr>
        <sz val="9"/>
        <rFont val="Arial CE"/>
        <charset val="238"/>
      </rPr>
      <t>(účet 2310800)</t>
    </r>
  </si>
  <si>
    <t>0387/2321/5151</t>
  </si>
  <si>
    <t xml:space="preserve">            studená voda </t>
  </si>
  <si>
    <t>0387/2321/5169</t>
  </si>
  <si>
    <t xml:space="preserve">            revize, poplatky, PD k opravám, pasport kanalizace</t>
  </si>
  <si>
    <t>0387/2321/5171</t>
  </si>
  <si>
    <t xml:space="preserve">            opravy a údržba</t>
  </si>
  <si>
    <r>
      <rPr>
        <sz val="10"/>
        <rFont val="Arial CE"/>
        <charset val="238"/>
      </rPr>
      <t xml:space="preserve">            Plán financování obnovy </t>
    </r>
    <r>
      <rPr>
        <sz val="9"/>
        <rFont val="Arial CE"/>
        <charset val="238"/>
      </rPr>
      <t>(účet 2310441) - opr. a udržování (rekonstrukce - obnova kanallizačních šachet ul. Slezská a Na Prachárně)</t>
    </r>
  </si>
  <si>
    <r>
      <rPr>
        <b/>
        <sz val="10"/>
        <rFont val="Arial CE"/>
        <family val="2"/>
        <charset val="238"/>
      </rPr>
      <t xml:space="preserve">Úpravy drobných vodních toků </t>
    </r>
    <r>
      <rPr>
        <sz val="10"/>
        <rFont val="Arial CE"/>
        <charset val="238"/>
      </rPr>
      <t>(účet 231 0800)</t>
    </r>
  </si>
  <si>
    <t>0387/2333/5169</t>
  </si>
  <si>
    <t xml:space="preserve">            revize, poplatky, PD k opravám</t>
  </si>
  <si>
    <t>0387/2333/5171</t>
  </si>
  <si>
    <t>110 - Doprava</t>
  </si>
  <si>
    <r>
      <rPr>
        <b/>
        <sz val="10"/>
        <rFont val="Arial CE"/>
        <family val="2"/>
        <charset val="238"/>
      </rPr>
      <t xml:space="preserve">Silnice </t>
    </r>
    <r>
      <rPr>
        <sz val="8"/>
        <rFont val="Arial CE"/>
        <charset val="238"/>
      </rPr>
      <t>(účet 2310800)</t>
    </r>
  </si>
  <si>
    <t>z toho: Investice celkem</t>
  </si>
  <si>
    <t>0517/2212/6351</t>
  </si>
  <si>
    <t xml:space="preserve">                  parkovací automaty - obnova (TSM)</t>
  </si>
  <si>
    <t xml:space="preserve">                  dvoumístné vozidlo o celkové hmotnosti 3,5 t se sklápěcí korbou (TSM)</t>
  </si>
  <si>
    <t xml:space="preserve">                  dřevěné prodejní stánky (TSM)</t>
  </si>
  <si>
    <t>0517/2212/5331</t>
  </si>
  <si>
    <r>
      <rPr>
        <sz val="10"/>
        <rFont val="Arial CE"/>
        <family val="2"/>
        <charset val="238"/>
      </rPr>
      <t xml:space="preserve">             veřejně prospěšné práce </t>
    </r>
    <r>
      <rPr>
        <sz val="9"/>
        <rFont val="Arial CE"/>
        <family val="2"/>
        <charset val="238"/>
      </rPr>
      <t>(TSM)</t>
    </r>
  </si>
  <si>
    <r>
      <rPr>
        <sz val="10"/>
        <rFont val="Arial CE"/>
        <family val="2"/>
        <charset val="238"/>
      </rPr>
      <t xml:space="preserve">             oprava a údržba místních komunikací </t>
    </r>
    <r>
      <rPr>
        <sz val="9"/>
        <rFont val="Arial CE"/>
        <family val="2"/>
        <charset val="238"/>
      </rPr>
      <t>(TSM)</t>
    </r>
  </si>
  <si>
    <t>0517/2212/5139</t>
  </si>
  <si>
    <t xml:space="preserve">             nákup materiálu jinde nezařazený</t>
  </si>
  <si>
    <t>0386/2212/5171</t>
  </si>
  <si>
    <t xml:space="preserve">             oprava a údržba místních komunikací - město</t>
  </si>
  <si>
    <t>0386/2212/5169</t>
  </si>
  <si>
    <r>
      <rPr>
        <sz val="10"/>
        <rFont val="Arial CE"/>
        <family val="2"/>
        <charset val="238"/>
      </rPr>
      <t xml:space="preserve">             </t>
    </r>
    <r>
      <rPr>
        <sz val="10"/>
        <rFont val="Arial CE"/>
        <charset val="238"/>
      </rPr>
      <t>služby -  PD k opravám, revize, poplatky</t>
    </r>
  </si>
  <si>
    <r>
      <rPr>
        <sz val="10"/>
        <rFont val="Arial CE"/>
        <family val="2"/>
        <charset val="238"/>
      </rPr>
      <t xml:space="preserve">             </t>
    </r>
    <r>
      <rPr>
        <sz val="10"/>
        <rFont val="Arial CE"/>
        <charset val="238"/>
      </rPr>
      <t>služby -  pasport místních komunikací</t>
    </r>
  </si>
  <si>
    <t>0386/2212/5164</t>
  </si>
  <si>
    <r>
      <rPr>
        <sz val="10"/>
        <rFont val="Arial CE"/>
        <family val="2"/>
        <charset val="238"/>
      </rPr>
      <t xml:space="preserve">             </t>
    </r>
    <r>
      <rPr>
        <sz val="10"/>
        <rFont val="Arial CE"/>
        <charset val="238"/>
      </rPr>
      <t>nájemné</t>
    </r>
  </si>
  <si>
    <r>
      <rPr>
        <b/>
        <sz val="10"/>
        <rFont val="Arial CE"/>
        <family val="2"/>
        <charset val="238"/>
      </rPr>
      <t xml:space="preserve">Ostatní záležitosti pozemních komunikací </t>
    </r>
    <r>
      <rPr>
        <sz val="9"/>
        <rFont val="Arial CE"/>
        <charset val="238"/>
      </rPr>
      <t>(účet 2310800)</t>
    </r>
  </si>
  <si>
    <t>0386/2219/5169</t>
  </si>
  <si>
    <t xml:space="preserve">             služby - PD k opravám, revize, poplatky</t>
  </si>
  <si>
    <t>0386/2219/5171</t>
  </si>
  <si>
    <t xml:space="preserve">             opravy a udržování chodníků</t>
  </si>
  <si>
    <t>0386/2219/5362</t>
  </si>
  <si>
    <t xml:space="preserve">             platby daní a poplatků, sankce</t>
  </si>
  <si>
    <t>0517/2219/5331</t>
  </si>
  <si>
    <t xml:space="preserve">             parkoviště (TSM)</t>
  </si>
  <si>
    <r>
      <rPr>
        <b/>
        <sz val="10"/>
        <rFont val="Arial CE"/>
        <family val="2"/>
        <charset val="238"/>
      </rPr>
      <t>Provoz veřejné silniční dopravy</t>
    </r>
    <r>
      <rPr>
        <sz val="9"/>
        <rFont val="Arial CE"/>
        <charset val="238"/>
      </rPr>
      <t xml:space="preserve"> (účet 2310800)</t>
    </r>
  </si>
  <si>
    <t>0386/2221/5169</t>
  </si>
  <si>
    <t>z toho: služby - revize, poplatky, PD k opravám</t>
  </si>
  <si>
    <t>0386/2221/5171</t>
  </si>
  <si>
    <t xml:space="preserve">            opravy autobusových přístřešků</t>
  </si>
  <si>
    <t>120 - Majetkoprávní záležitosti</t>
  </si>
  <si>
    <t>Komunální služby a územní rozvoj j.n.</t>
  </si>
  <si>
    <t>0092/3639/6130</t>
  </si>
  <si>
    <r>
      <rPr>
        <sz val="10"/>
        <rFont val="Arial CE"/>
        <charset val="238"/>
      </rPr>
      <t xml:space="preserve">z toho: investice - výkupy pozemků </t>
    </r>
    <r>
      <rPr>
        <sz val="9"/>
        <rFont val="Arial CE"/>
        <charset val="238"/>
      </rPr>
      <t>(ostatní 0,5+Orlita 0,9+Jednota 0,2)</t>
    </r>
  </si>
  <si>
    <t>0002/3639/5122</t>
  </si>
  <si>
    <r>
      <rPr>
        <sz val="10"/>
        <rFont val="Arial CE"/>
        <family val="2"/>
        <charset val="238"/>
      </rPr>
      <t xml:space="preserve">            věcná břemena (</t>
    </r>
    <r>
      <rPr>
        <sz val="9"/>
        <rFont val="Arial CE"/>
        <charset val="238"/>
      </rPr>
      <t>účet 2310440)</t>
    </r>
  </si>
  <si>
    <r>
      <rPr>
        <sz val="10"/>
        <rFont val="Arial CE"/>
        <family val="2"/>
        <charset val="238"/>
      </rPr>
      <t xml:space="preserve">            věcná břemena (</t>
    </r>
    <r>
      <rPr>
        <sz val="9"/>
        <rFont val="Arial CE"/>
        <charset val="238"/>
      </rPr>
      <t>účet 2310800)</t>
    </r>
  </si>
  <si>
    <t>0092/3639/5021</t>
  </si>
  <si>
    <t xml:space="preserve">            majetkoprávní - ostatní osobní výdaje (dohoda)</t>
  </si>
  <si>
    <t>0092/3639/5166</t>
  </si>
  <si>
    <t xml:space="preserve">            majetkoprávní - sociální pojištění</t>
  </si>
  <si>
    <t>0092/3639/5169</t>
  </si>
  <si>
    <t xml:space="preserve">            majetkoprávní - zdravotní pojištění</t>
  </si>
  <si>
    <t>0092/3639/5164</t>
  </si>
  <si>
    <t xml:space="preserve">            majetkoprávní - nájemné</t>
  </si>
  <si>
    <t xml:space="preserve">            majetkoprávní - znalecké posudky</t>
  </si>
  <si>
    <t xml:space="preserve">            majetkoprávní - posudky a geometrické plány</t>
  </si>
  <si>
    <t>0092/3639/5179</t>
  </si>
  <si>
    <t xml:space="preserve">            majetkoprávní - ostatní nákupy jinde nezařazené (kauce - veřejná dražba)</t>
  </si>
  <si>
    <t>0092/3639/5361</t>
  </si>
  <si>
    <t xml:space="preserve">            majetkoprávní - nákup kolků</t>
  </si>
  <si>
    <t>0092/3639/5362</t>
  </si>
  <si>
    <t xml:space="preserve">            majetkoprávní - správní poplatky</t>
  </si>
  <si>
    <t xml:space="preserve">139 - Komunální služby </t>
  </si>
  <si>
    <r>
      <rPr>
        <b/>
        <sz val="10"/>
        <rFont val="Arial CE"/>
        <family val="2"/>
        <charset val="238"/>
      </rPr>
      <t>Rozhlas a televize</t>
    </r>
    <r>
      <rPr>
        <sz val="9"/>
        <rFont val="Arial CE"/>
        <charset val="238"/>
      </rPr>
      <t xml:space="preserve"> (účet 2310800) </t>
    </r>
  </si>
  <si>
    <t>0513/3341/5171</t>
  </si>
  <si>
    <t xml:space="preserve">            opravy a udržování</t>
  </si>
  <si>
    <t>0513/3341/5362</t>
  </si>
  <si>
    <t xml:space="preserve">            poplatky</t>
  </si>
  <si>
    <r>
      <rPr>
        <b/>
        <sz val="10"/>
        <rFont val="Arial CE"/>
        <family val="2"/>
        <charset val="238"/>
      </rPr>
      <t xml:space="preserve">Využití volného času dětí a mládeže </t>
    </r>
    <r>
      <rPr>
        <sz val="9"/>
        <rFont val="Arial CE"/>
        <charset val="238"/>
      </rPr>
      <t>(účet 2310800)</t>
    </r>
  </si>
  <si>
    <t>0382/3421/5137</t>
  </si>
  <si>
    <t xml:space="preserve">             Dětská hřiště - drobný hmotný dlouhodobý majetek</t>
  </si>
  <si>
    <t>0382/3421/5139</t>
  </si>
  <si>
    <t xml:space="preserve">             Dětská hřiště - nákup materiálu</t>
  </si>
  <si>
    <t>0382/3421/5169</t>
  </si>
  <si>
    <t xml:space="preserve">             Dětská hřiště -ostatní služby (revize, PD k opravám)</t>
  </si>
  <si>
    <t>0382/3421/5171</t>
  </si>
  <si>
    <t xml:space="preserve">             Dětská hřiště - opravy a údržba </t>
  </si>
  <si>
    <t>0517/3421/5331</t>
  </si>
  <si>
    <t xml:space="preserve">             Dětská hřiště - příspěvek na údržbu a opravy TSM </t>
  </si>
  <si>
    <r>
      <rPr>
        <b/>
        <sz val="10"/>
        <rFont val="Arial CE"/>
        <family val="2"/>
        <charset val="238"/>
      </rPr>
      <t xml:space="preserve">Nebytové hospodářství </t>
    </r>
    <r>
      <rPr>
        <sz val="9"/>
        <rFont val="Arial CE"/>
        <charset val="238"/>
      </rPr>
      <t>(účet 2310800)</t>
    </r>
  </si>
  <si>
    <t>0382/3613/5137</t>
  </si>
  <si>
    <t xml:space="preserve">             drobný hmotný dlouhodobý majetek</t>
  </si>
  <si>
    <t>0382/3613/5139</t>
  </si>
  <si>
    <t xml:space="preserve">              nákup materiálu jinde nezařazeného</t>
  </si>
  <si>
    <t>0382/3613/5151</t>
  </si>
  <si>
    <t xml:space="preserve">              voda</t>
  </si>
  <si>
    <t>0382/3613/5154</t>
  </si>
  <si>
    <t xml:space="preserve">              elektrická energie</t>
  </si>
  <si>
    <t>0382/3613/5169</t>
  </si>
  <si>
    <t xml:space="preserve">              nákup služeb</t>
  </si>
  <si>
    <t xml:space="preserve">              nákup služeb - nátěry lam, košů, laviček v MPR</t>
  </si>
  <si>
    <t>0382/3613/5171</t>
  </si>
  <si>
    <t xml:space="preserve">              opravy a údržba</t>
  </si>
  <si>
    <r>
      <rPr>
        <b/>
        <sz val="10"/>
        <rFont val="Arial CE"/>
        <family val="2"/>
        <charset val="238"/>
      </rPr>
      <t xml:space="preserve">Veřejné osvětlení (VO) </t>
    </r>
    <r>
      <rPr>
        <sz val="9"/>
        <rFont val="Arial CE"/>
        <charset val="238"/>
      </rPr>
      <t>(účet 2310800)</t>
    </r>
  </si>
  <si>
    <t>0382/3631/5169</t>
  </si>
  <si>
    <t xml:space="preserve">             nákup služeb</t>
  </si>
  <si>
    <t>0382/3631/5171</t>
  </si>
  <si>
    <t xml:space="preserve">             opravy a údržba VO</t>
  </si>
  <si>
    <t>0517/3631/5331</t>
  </si>
  <si>
    <t xml:space="preserve">             příspěvek TSM</t>
  </si>
  <si>
    <t>0382/3631/5154</t>
  </si>
  <si>
    <t xml:space="preserve">             elektrická energie </t>
  </si>
  <si>
    <r>
      <rPr>
        <b/>
        <sz val="10"/>
        <rFont val="Arial CE"/>
        <charset val="238"/>
      </rPr>
      <t xml:space="preserve">Pohřebnictví </t>
    </r>
    <r>
      <rPr>
        <sz val="10"/>
        <rFont val="Arial CE"/>
        <charset val="238"/>
      </rPr>
      <t xml:space="preserve">(účet 2310800) </t>
    </r>
  </si>
  <si>
    <t>z toho: investice celkem = inv. příspěvky TSM</t>
  </si>
  <si>
    <t>0517/3632/6351</t>
  </si>
  <si>
    <t xml:space="preserve">                    Oplocení hřbitova v městské části Žilina</t>
  </si>
  <si>
    <t xml:space="preserve">                    Zastřešení prostoru před márnicí na hřbitově v Novém Jičíně </t>
  </si>
  <si>
    <t xml:space="preserve">                    Upgrade softwaru pro pasportizaci hřbitovů </t>
  </si>
  <si>
    <t xml:space="preserve">                    Oprava kamenné zdi</t>
  </si>
  <si>
    <t xml:space="preserve">                    Projektová dokumentace ke GO smuteční síně a márnice</t>
  </si>
  <si>
    <t>0517/3632/5331</t>
  </si>
  <si>
    <t xml:space="preserve">             příspěvek TSM - údržba</t>
  </si>
  <si>
    <t>0382/3632/5169</t>
  </si>
  <si>
    <t xml:space="preserve">             nákup služeb - pasport ozelenění hřbitova</t>
  </si>
  <si>
    <t>0382/3632/5171</t>
  </si>
  <si>
    <t xml:space="preserve">             opravy a údržba hřbitova</t>
  </si>
  <si>
    <r>
      <rPr>
        <b/>
        <sz val="10"/>
        <rFont val="Arial CE"/>
        <family val="2"/>
        <charset val="238"/>
      </rPr>
      <t>Komunální služby a územní rozvoj j.n.</t>
    </r>
    <r>
      <rPr>
        <sz val="9"/>
        <rFont val="Arial CE"/>
        <family val="2"/>
        <charset val="238"/>
      </rPr>
      <t xml:space="preserve"> </t>
    </r>
  </si>
  <si>
    <t>0382/3639/6121</t>
  </si>
  <si>
    <r>
      <rPr>
        <sz val="10"/>
        <rFont val="Arial CE"/>
        <family val="2"/>
        <charset val="238"/>
      </rPr>
      <t xml:space="preserve">z toho: investice celkem - zápočet oplocení p. Perútka </t>
    </r>
    <r>
      <rPr>
        <sz val="9"/>
        <rFont val="Arial CE"/>
        <charset val="238"/>
      </rPr>
      <t>(účet 2310440)</t>
    </r>
  </si>
  <si>
    <t>0382/3639/5139</t>
  </si>
  <si>
    <r>
      <rPr>
        <sz val="10"/>
        <rFont val="Arial CE"/>
        <family val="2"/>
        <charset val="238"/>
      </rPr>
      <t xml:space="preserve">            přípojky na televizní kabelové rozvody Straník - materiál</t>
    </r>
    <r>
      <rPr>
        <sz val="9"/>
        <rFont val="Arial CE"/>
        <charset val="238"/>
      </rPr>
      <t xml:space="preserve"> (účet 231 0800)</t>
    </r>
  </si>
  <si>
    <r>
      <rPr>
        <b/>
        <sz val="10"/>
        <rFont val="Arial CE"/>
        <family val="2"/>
        <charset val="238"/>
      </rPr>
      <t xml:space="preserve">Ostatní záležitosti bydlení, komunálních služeb a územního rozvoje </t>
    </r>
    <r>
      <rPr>
        <sz val="9"/>
        <rFont val="Arial CE"/>
        <charset val="238"/>
      </rPr>
      <t>(účet 2310800)</t>
    </r>
  </si>
  <si>
    <t>0517/3699/5331</t>
  </si>
  <si>
    <r>
      <rPr>
        <sz val="10"/>
        <rFont val="Arial CE"/>
        <family val="2"/>
        <charset val="238"/>
      </rPr>
      <t xml:space="preserve">z toho: mobiliář </t>
    </r>
    <r>
      <rPr>
        <sz val="9"/>
        <rFont val="Arial CE"/>
        <charset val="238"/>
      </rPr>
      <t>(TSM 200)</t>
    </r>
  </si>
  <si>
    <t xml:space="preserve">ORJ 6XX - Odbor rozvoje a investic </t>
  </si>
  <si>
    <t>602 - Vodní hospodářství</t>
  </si>
  <si>
    <r>
      <rPr>
        <b/>
        <sz val="10"/>
        <rFont val="Arial CE"/>
      </rPr>
      <t>Pitná voda</t>
    </r>
    <r>
      <rPr>
        <sz val="9"/>
        <rFont val="Arial CE"/>
      </rPr>
      <t xml:space="preserve"> (účet 2310800)</t>
    </r>
  </si>
  <si>
    <t>4387/2310/6121</t>
  </si>
  <si>
    <t xml:space="preserve">                      Vodovod Loučka, Císařská </t>
  </si>
  <si>
    <t>5380/2310/6121</t>
  </si>
  <si>
    <t xml:space="preserve">                      Akumulační nádrž na vodu Straník PD</t>
  </si>
  <si>
    <t>5387/2310/6121</t>
  </si>
  <si>
    <t xml:space="preserve">                      Vodovod Žilina, Pstruží potok - Životice </t>
  </si>
  <si>
    <t>6387/2310/6121</t>
  </si>
  <si>
    <t xml:space="preserve">                      Vodovod Bludovice, Záhumenní </t>
  </si>
  <si>
    <r>
      <rPr>
        <b/>
        <sz val="10"/>
        <rFont val="Arial CE"/>
      </rPr>
      <t xml:space="preserve">Odvádění a čištění odpadních vod a nakládání s kaly </t>
    </r>
    <r>
      <rPr>
        <sz val="9"/>
        <rFont val="Arial CE"/>
      </rPr>
      <t>(účet 2310800)</t>
    </r>
  </si>
  <si>
    <t>5410/2321/6121</t>
  </si>
  <si>
    <t xml:space="preserve">                      Kanalizace Žilina, U Mlýna PD - ukončeno 8/2020</t>
  </si>
  <si>
    <t>5430/2321/6121</t>
  </si>
  <si>
    <r>
      <rPr>
        <sz val="10"/>
        <rFont val="Arial CE"/>
        <charset val="238"/>
      </rPr>
      <t xml:space="preserve">                      </t>
    </r>
    <r>
      <rPr>
        <sz val="10"/>
        <rFont val="Arial CE"/>
      </rPr>
      <t xml:space="preserve">Zatrubnění dešťové kanalizace Žilina p. č. 951 </t>
    </r>
  </si>
  <si>
    <t>5434/2321/6121</t>
  </si>
  <si>
    <t xml:space="preserve">                      Jednotná kanalizace Žilina, Příčná </t>
  </si>
  <si>
    <t>8387/2321/6121</t>
  </si>
  <si>
    <t xml:space="preserve">                      Kanalizace Žilina, Okružní PD</t>
  </si>
  <si>
    <t>9387/2321/6121</t>
  </si>
  <si>
    <t xml:space="preserve">                      Kanalizace Trlicova - aktualizace PD</t>
  </si>
  <si>
    <t>XXXX/2321/6121</t>
  </si>
  <si>
    <t xml:space="preserve">                      Odvodnění lokality Loučka, Na Lani (cyklostezka, kryté stání) PD</t>
  </si>
  <si>
    <r>
      <rPr>
        <b/>
        <sz val="10"/>
        <rFont val="Arial CE"/>
      </rPr>
      <t xml:space="preserve">Úpravy drobných vodních toků </t>
    </r>
    <r>
      <rPr>
        <sz val="9"/>
        <rFont val="Arial CE"/>
      </rPr>
      <t>(účet 2310800)</t>
    </r>
  </si>
  <si>
    <t>5412/2333/6121</t>
  </si>
  <si>
    <t xml:space="preserve">                      Úprava Stranického potoka 3. etapa - ukončeno 3/2020</t>
  </si>
  <si>
    <t>610 - Doprava</t>
  </si>
  <si>
    <r>
      <rPr>
        <b/>
        <sz val="10"/>
        <rFont val="Arial CE"/>
      </rPr>
      <t xml:space="preserve">Silnice </t>
    </r>
    <r>
      <rPr>
        <sz val="9"/>
        <rFont val="Arial CE"/>
      </rPr>
      <t>(účet 2310800)</t>
    </r>
  </si>
  <si>
    <t xml:space="preserve">                     Velkoplošné opravy MK nad 500 000 Kč - služby</t>
  </si>
  <si>
    <t xml:space="preserve">                     Velkoplošné opravy MK nad 500 000 Kč </t>
  </si>
  <si>
    <t>4385/2212/6121</t>
  </si>
  <si>
    <t xml:space="preserve">                     Rondel Gen. Hlaďo - K Nemocnici PD</t>
  </si>
  <si>
    <t>5376/2212/6121</t>
  </si>
  <si>
    <t xml:space="preserve">                     Příjezdová  komunikace areál ČSAD</t>
  </si>
  <si>
    <t>5377/2212/6121</t>
  </si>
  <si>
    <t xml:space="preserve">                     Přechod včetně rondelu K Nemocnici, Pod Skalkou, B. Martinů PD</t>
  </si>
  <si>
    <t>5378/2212/6121</t>
  </si>
  <si>
    <t xml:space="preserve">                     Příjezdová  komunikace ČOV Kojetín PD</t>
  </si>
  <si>
    <t>5379/2212/6121</t>
  </si>
  <si>
    <t xml:space="preserve">                     Rozšíření komunikace Kojetín p. č. 625/1 (Bala) </t>
  </si>
  <si>
    <t>5390/2212/6121</t>
  </si>
  <si>
    <t xml:space="preserve">                     Most - propustek Straník č. p. 86 </t>
  </si>
  <si>
    <t>5391/2212/6121</t>
  </si>
  <si>
    <r>
      <rPr>
        <sz val="10"/>
        <rFont val="Arial CE"/>
        <charset val="238"/>
      </rPr>
      <t xml:space="preserve">                     M</t>
    </r>
    <r>
      <rPr>
        <sz val="10"/>
        <rFont val="Arial CE"/>
      </rPr>
      <t>ost Jiráskova, pod gymnáziem PD</t>
    </r>
  </si>
  <si>
    <t>5397/2212/6121</t>
  </si>
  <si>
    <t xml:space="preserve">                     Komunikace Žilina, Za Školou p. č. 616/2</t>
  </si>
  <si>
    <t>5414/2212/6121</t>
  </si>
  <si>
    <t xml:space="preserve">                     Komunikace  Žilina, Potoční</t>
  </si>
  <si>
    <t>5432/2212/6121</t>
  </si>
  <si>
    <t xml:space="preserve">                     Přechod SVČ Fokus, K Nemocnici </t>
  </si>
  <si>
    <t xml:space="preserve"> </t>
  </si>
  <si>
    <t>5433/2212/6121</t>
  </si>
  <si>
    <t xml:space="preserve">                     Lávka Novosady PD</t>
  </si>
  <si>
    <t>8386/2212/6121</t>
  </si>
  <si>
    <t xml:space="preserve">                     Most Revoluční u domu č. p. 105 </t>
  </si>
  <si>
    <t>9386/2212/6121</t>
  </si>
  <si>
    <t xml:space="preserve">                     Most Loučka, V Kútě PD</t>
  </si>
  <si>
    <t>9388/2212/6121</t>
  </si>
  <si>
    <t xml:space="preserve">                     Stacionární místo pro radar Bludovice </t>
  </si>
  <si>
    <t>XXXX/2212/6121</t>
  </si>
  <si>
    <t xml:space="preserve">                     Most Dolní Brána (u Laposu) </t>
  </si>
  <si>
    <t xml:space="preserve">                     Komunikace - propojení Hoblíkova - Žižkova PD</t>
  </si>
  <si>
    <t xml:space="preserve">                     Komunikace K Archivu PD</t>
  </si>
  <si>
    <t xml:space="preserve">                     Rekonstrukce komunikace Straník - Kojetín PD</t>
  </si>
  <si>
    <r>
      <rPr>
        <b/>
        <sz val="10"/>
        <rFont val="Arial CE"/>
      </rPr>
      <t xml:space="preserve">Ostatní záležitosti pozemních komunikací </t>
    </r>
    <r>
      <rPr>
        <sz val="9"/>
        <rFont val="Arial CE"/>
      </rPr>
      <t>(účet 2310800)</t>
    </r>
  </si>
  <si>
    <t xml:space="preserve">                     Velkoplošné opravy chodníků nad 500 000 Kč - služby</t>
  </si>
  <si>
    <t xml:space="preserve">                     Velkoplošné opravy chodníků nad 500 000 Kč </t>
  </si>
  <si>
    <t>0507/2219/6121</t>
  </si>
  <si>
    <t xml:space="preserve">                    Chodníkové těleso Žilina, Pstruží potok - Životice (opěrná zeď) 4. etapa</t>
  </si>
  <si>
    <t>2384/2219/6121</t>
  </si>
  <si>
    <t xml:space="preserve">                    Laudonovo nádvoří </t>
  </si>
  <si>
    <t>2386/2219/6121</t>
  </si>
  <si>
    <t xml:space="preserve">                    Cyklostezka NJ - Hostašovice, vlečka </t>
  </si>
  <si>
    <t>5370/2219/6121</t>
  </si>
  <si>
    <t xml:space="preserve">                    Čerťák 3. etapa</t>
  </si>
  <si>
    <t>5371/2219/6121</t>
  </si>
  <si>
    <t xml:space="preserve">                    Cykloboxy PD</t>
  </si>
  <si>
    <t>5372/2219/6121</t>
  </si>
  <si>
    <t xml:space="preserve">                    Prodloužení turistické trasy Čerťák PD</t>
  </si>
  <si>
    <t>5373/2219/6121</t>
  </si>
  <si>
    <t xml:space="preserve">                    Parkoviště Žilina p. č. 673/2 (u kostela)</t>
  </si>
  <si>
    <t>5374/2219/6121</t>
  </si>
  <si>
    <t xml:space="preserve">                    Parkoviště Straník, hřbitov</t>
  </si>
  <si>
    <t>5375/2219/6121</t>
  </si>
  <si>
    <t xml:space="preserve">                    Chodníkové těleso, opěrná zeď Revoluční I/57 </t>
  </si>
  <si>
    <t>5385/2219/6121</t>
  </si>
  <si>
    <t xml:space="preserve">                    Chodníkové těleso Loučka, Na Drážkách</t>
  </si>
  <si>
    <t>5393/2219/6121</t>
  </si>
  <si>
    <t xml:space="preserve">                    Chodníkové těleso Na Valech - ukončeno 03/2020</t>
  </si>
  <si>
    <t>5404/2219/6121</t>
  </si>
  <si>
    <t xml:space="preserve">                    Rozšíření cyklostezky Bludovice</t>
  </si>
  <si>
    <t>5406/2219/6121</t>
  </si>
  <si>
    <t xml:space="preserve">                    Parkovací stání Dlouhá (úsek Palackého - Budovatelů)</t>
  </si>
  <si>
    <t>5417/2219/6121</t>
  </si>
  <si>
    <t xml:space="preserve">                    Chodníkové těleso k autobusové zastávce Bocheta </t>
  </si>
  <si>
    <t>5419/2219/6121</t>
  </si>
  <si>
    <t xml:space="preserve">                    Parkoviště Dlouhá č. o. 8 - 14, 2. etapa </t>
  </si>
  <si>
    <t>5420/2219/6121</t>
  </si>
  <si>
    <t xml:space="preserve">                    Rozšíření odstavných ploch Vančurova  č. o. 2 -10 PD</t>
  </si>
  <si>
    <t>5421/2219/6121</t>
  </si>
  <si>
    <t xml:space="preserve">                    Parkoviště B. Martinů - krátkodobé stání</t>
  </si>
  <si>
    <t>5431/2219/6121</t>
  </si>
  <si>
    <t xml:space="preserve">                    Chodníkové těleso u silnice I/57 p. č. 700/1 Bludovice </t>
  </si>
  <si>
    <t>7385/2219/6121</t>
  </si>
  <si>
    <t xml:space="preserve">                    Kontejnerová stání </t>
  </si>
  <si>
    <t>8384/2219/6121</t>
  </si>
  <si>
    <t xml:space="preserve">                    Parkoviště Restaurace Na Skalkách </t>
  </si>
  <si>
    <t>XXXX/2219/6121</t>
  </si>
  <si>
    <t xml:space="preserve">                    Společná stezka pro chodce a cyklisty, Rybníčky  PD</t>
  </si>
  <si>
    <t xml:space="preserve">                    Parkoviště Hoblíkova PD</t>
  </si>
  <si>
    <t xml:space="preserve">                    Parkoviště Budovatelů, bytové domy č. o. 5, 7, 9  PD</t>
  </si>
  <si>
    <t xml:space="preserve">                    Parkovací stání Dlouhá, bytové domy č. o. 42 - 48 PD</t>
  </si>
  <si>
    <t xml:space="preserve">                    Parkoviště Dlouhá (výměníková stanice - bytový dům č. o. 40) PD</t>
  </si>
  <si>
    <t xml:space="preserve">                    Parkoviště Luční p. č.  218/9 PD</t>
  </si>
  <si>
    <t xml:space="preserve">                    Parkovací stání Revoluční p. č. 673/13 PD</t>
  </si>
  <si>
    <t xml:space="preserve">                    Parkoviště Smetanovy sady, bytové domy č. o. 20, 22, 24 PD</t>
  </si>
  <si>
    <t xml:space="preserve">                    Zpevněné plochy a mobiliář  Tyršova </t>
  </si>
  <si>
    <t xml:space="preserve">                    Regenerace panelového sídliště Nerudova PD</t>
  </si>
  <si>
    <t xml:space="preserve">                    Chodníkové těleso U Stadionu  PD</t>
  </si>
  <si>
    <t xml:space="preserve">                    Zpevněné plochy okolo Beskydského divadla PD</t>
  </si>
  <si>
    <r>
      <rPr>
        <b/>
        <sz val="10"/>
        <rFont val="Arial CE"/>
      </rPr>
      <t>Provoz veřejné silniční dopravy</t>
    </r>
    <r>
      <rPr>
        <sz val="9"/>
        <rFont val="Arial CE"/>
      </rPr>
      <t xml:space="preserve"> (účet 2310800)</t>
    </r>
  </si>
  <si>
    <t>5398/2221/6121</t>
  </si>
  <si>
    <t xml:space="preserve">                    Autobusová zastávká Žilina, U Partyzána </t>
  </si>
  <si>
    <t>5407/2221/6121</t>
  </si>
  <si>
    <t xml:space="preserve">                    Autobusová zastávka Žilina, U Požární zbrojnice</t>
  </si>
  <si>
    <t>5422/2221/6121</t>
  </si>
  <si>
    <t xml:space="preserve">                    Autobusová zastávká Pod Svincem - ukončeno 09/2020</t>
  </si>
  <si>
    <t>XXXX/2221/6121</t>
  </si>
  <si>
    <t xml:space="preserve">                    Autobusová zastávka Straník na pozemku p. č. 191/45</t>
  </si>
  <si>
    <t xml:space="preserve">615 - Oddělení rozvoje - plány, marketing, Zdravé město </t>
  </si>
  <si>
    <t>Komunální služby - nebytové prostory  - oddělení investic (účet 2310800)</t>
  </si>
  <si>
    <t>1388/3613/5169</t>
  </si>
  <si>
    <t xml:space="preserve">                    Studie - oddělení investic</t>
  </si>
  <si>
    <t>Komunální služby a rozvoj - plány, propagace, marketing, Zdravé město (účet 2310800)</t>
  </si>
  <si>
    <t>1388/3639/5021</t>
  </si>
  <si>
    <t xml:space="preserve">                    Dohody (odměny) Architektonická soutěž Hala NJ</t>
  </si>
  <si>
    <t>1388/3639/5139</t>
  </si>
  <si>
    <t xml:space="preserve">                    Ostatní materiál</t>
  </si>
  <si>
    <t>1388/3639/5164</t>
  </si>
  <si>
    <t xml:space="preserve">                   Jarní škola NSZM - nájmy místností</t>
  </si>
  <si>
    <t>1388/3639/5166</t>
  </si>
  <si>
    <t xml:space="preserve">                    Konzultační služby (z toho městský architekt 460 000 Kč)</t>
  </si>
  <si>
    <t>1388/3639/5169</t>
  </si>
  <si>
    <t xml:space="preserve">                    Rozvojové plány, studie, propagace, marketing, Zdravé město, particip.rozpočet, administrace projektů, architektonické soutěže (víceúčelová sportovní hala), SPRM, rozvojové studie (revitalizace Horního nádraží, cykloopatření B. Martinů, urbanistická studie sportovní areál), pořízení sčítačů pro monitoring cyklodopravy, Jarní škola Zdravých měst   </t>
  </si>
  <si>
    <t>1388/3639/5175</t>
  </si>
  <si>
    <t xml:space="preserve">                   Pohoštění</t>
  </si>
  <si>
    <t>1388/3639/5222</t>
  </si>
  <si>
    <t xml:space="preserve">                   Mládež kraji</t>
  </si>
  <si>
    <t>1388/3639/5229</t>
  </si>
  <si>
    <t xml:space="preserve">                   Členský poplatek národní síť zdravých měst a MAS Lašsko</t>
  </si>
  <si>
    <t>1388/3639/6122</t>
  </si>
  <si>
    <t xml:space="preserve">                   Mobilní zastřešení Straník - participativní rozpočet</t>
  </si>
  <si>
    <t xml:space="preserve">639 - Komunální služby a územní rozvoj </t>
  </si>
  <si>
    <r>
      <rPr>
        <b/>
        <sz val="10"/>
        <rFont val="Arial CE"/>
      </rPr>
      <t xml:space="preserve">Sportovní zařízení v majetku obce </t>
    </r>
    <r>
      <rPr>
        <sz val="9"/>
        <rFont val="Arial CE"/>
      </rPr>
      <t>(účet 2310800)</t>
    </r>
  </si>
  <si>
    <t>XXXX/3412/6121</t>
  </si>
  <si>
    <t xml:space="preserve">                   Skatepark ve sportovním areálu U Stadionu PD</t>
  </si>
  <si>
    <t xml:space="preserve">                   Tenisová hala na ul. B. Martinů PD</t>
  </si>
  <si>
    <r>
      <rPr>
        <b/>
        <sz val="10"/>
        <rFont val="Arial CE"/>
      </rPr>
      <t xml:space="preserve">Nebytové hospodářství </t>
    </r>
    <r>
      <rPr>
        <sz val="9"/>
        <rFont val="Arial CE"/>
      </rPr>
      <t>(účet 2310800)</t>
    </r>
  </si>
  <si>
    <t>5368/3613/6121</t>
  </si>
  <si>
    <t xml:space="preserve">                   Čítárna</t>
  </si>
  <si>
    <t>5369/3613/6121</t>
  </si>
  <si>
    <t xml:space="preserve">                   Úprava Smetanových sadů PD</t>
  </si>
  <si>
    <t>5424/3613/6121</t>
  </si>
  <si>
    <t xml:space="preserve">                   Oplocení vč. ochranné bariéry Školy života Žilina, Beskydská PD</t>
  </si>
  <si>
    <t>6389/3613/6121</t>
  </si>
  <si>
    <t xml:space="preserve">                   Kryté stání Loučka - opatření proti vodě, přeložka VO</t>
  </si>
  <si>
    <t>XXXX/3613/6121</t>
  </si>
  <si>
    <t xml:space="preserve">                   Sociálně-provozní objekt ve sport.areálu U Stadionu PD</t>
  </si>
  <si>
    <r>
      <rPr>
        <b/>
        <sz val="10"/>
        <rFont val="Arial CE"/>
      </rPr>
      <t xml:space="preserve">Veřejné osvětlení (VO) </t>
    </r>
    <r>
      <rPr>
        <sz val="9"/>
        <rFont val="Arial CE"/>
      </rPr>
      <t>(účet 2310800)</t>
    </r>
  </si>
  <si>
    <t>5362/3631/5169</t>
  </si>
  <si>
    <t xml:space="preserve">                   VO Generel</t>
  </si>
  <si>
    <t>0541/3631/6121</t>
  </si>
  <si>
    <t xml:space="preserve">                   VO Nádražní - ukončeno 8/2020</t>
  </si>
  <si>
    <t>0542/3631/6121</t>
  </si>
  <si>
    <t xml:space="preserve">                   VO Purkyňova</t>
  </si>
  <si>
    <t>5435/3631/6121</t>
  </si>
  <si>
    <t xml:space="preserve">                   Opatření ke snížení energ.náročnosti VO - EFEKT 2021</t>
  </si>
  <si>
    <t>4395/3631/6121</t>
  </si>
  <si>
    <t xml:space="preserve">                   VO Bludovice, pneuservis - ukončeno 6/2020</t>
  </si>
  <si>
    <t>5359/3631/6121</t>
  </si>
  <si>
    <t xml:space="preserve">                   VO Štefanikova ČSOB</t>
  </si>
  <si>
    <t>5360/3631/6121</t>
  </si>
  <si>
    <t xml:space="preserve">                   VO Hřbitovní</t>
  </si>
  <si>
    <t>5363/3631/6121</t>
  </si>
  <si>
    <t xml:space="preserve">                   VO cyklostezka průmyslová zóna PD</t>
  </si>
  <si>
    <t>5364/3631/6121</t>
  </si>
  <si>
    <t xml:space="preserve">                   VO Smetanovy sady a Skalky </t>
  </si>
  <si>
    <t>5365/3631/6121</t>
  </si>
  <si>
    <t xml:space="preserve">                   VO Skalky - parkoviště </t>
  </si>
  <si>
    <t>5366/3631/6121</t>
  </si>
  <si>
    <t xml:space="preserve">                   VO Štefanikova ČS (okolo ČSOB)</t>
  </si>
  <si>
    <t>5367/3631/6121</t>
  </si>
  <si>
    <t xml:space="preserve">                   VO Loučka - Křenová, Jičínská, Za Potokem</t>
  </si>
  <si>
    <t>6383/3631/6121</t>
  </si>
  <si>
    <t xml:space="preserve">                   VO K Archivu PD</t>
  </si>
  <si>
    <r>
      <rPr>
        <b/>
        <sz val="10"/>
        <rFont val="Arial CE"/>
      </rPr>
      <t>Hřbitovy</t>
    </r>
    <r>
      <rPr>
        <sz val="9"/>
        <rFont val="Arial CE"/>
      </rPr>
      <t xml:space="preserve"> (účet 2310800)</t>
    </r>
  </si>
  <si>
    <t>5361/3632/5171</t>
  </si>
  <si>
    <t xml:space="preserve">                   Sanace čestných hrobů</t>
  </si>
  <si>
    <t>5361/3632/6121</t>
  </si>
  <si>
    <r>
      <rPr>
        <b/>
        <sz val="10"/>
        <rFont val="Arial CE"/>
      </rPr>
      <t>Výstavba a údržba místních inženýrských sítí (IS)</t>
    </r>
    <r>
      <rPr>
        <sz val="9"/>
        <rFont val="Arial CE"/>
      </rPr>
      <t xml:space="preserve"> (účet 2310800)</t>
    </r>
  </si>
  <si>
    <t>0538/3633/6121</t>
  </si>
  <si>
    <t xml:space="preserve">                   Rozšíření průmyslové zóny PD</t>
  </si>
  <si>
    <t>0539/3633/6121</t>
  </si>
  <si>
    <t xml:space="preserve">                   IS Žilina, Za Školou</t>
  </si>
  <si>
    <t>5425/3633/6121</t>
  </si>
  <si>
    <t xml:space="preserve">                   IS RD Bocheta PD 4. etapa</t>
  </si>
  <si>
    <t>641 - Oddělení rozvoje - dotace ČOV, topení Kojetín, kotlíkové dotace</t>
  </si>
  <si>
    <t>1388/2321/6371</t>
  </si>
  <si>
    <t xml:space="preserve">                    Dotace ČOV</t>
  </si>
  <si>
    <t>1388/3634/6371</t>
  </si>
  <si>
    <t xml:space="preserve">                    Dotace na ekologické vytápění Kojetín</t>
  </si>
  <si>
    <t>1388/3713/6342</t>
  </si>
  <si>
    <t xml:space="preserve">                    Kotlíkové dotace MSK</t>
  </si>
  <si>
    <r>
      <rPr>
        <b/>
        <sz val="10"/>
        <rFont val="Arial CE"/>
        <family val="2"/>
        <charset val="238"/>
      </rPr>
      <t xml:space="preserve">Vnitřní obchod </t>
    </r>
    <r>
      <rPr>
        <sz val="9"/>
        <rFont val="Arial CE"/>
        <family val="2"/>
        <charset val="238"/>
      </rPr>
      <t>(nákup materiálu 16, zpracování dat 3, ostatní služby 366, věcné dary 10, neinvestiční transfery neziskovým organizacím 80, reklamní tabule MPR 200)</t>
    </r>
  </si>
  <si>
    <r>
      <rPr>
        <b/>
        <sz val="10"/>
        <rFont val="Arial CE"/>
        <family val="2"/>
        <charset val="238"/>
      </rPr>
      <t>Rozhlas a televize</t>
    </r>
    <r>
      <rPr>
        <b/>
        <sz val="9"/>
        <rFont val="Arial CE"/>
        <family val="2"/>
        <charset val="238"/>
      </rPr>
      <t xml:space="preserve"> </t>
    </r>
    <r>
      <rPr>
        <sz val="9"/>
        <rFont val="Arial CE"/>
        <family val="2"/>
        <charset val="238"/>
      </rPr>
      <t>(TV Polar, záznamy ze ZM)</t>
    </r>
  </si>
  <si>
    <r>
      <rPr>
        <b/>
        <sz val="10"/>
        <rFont val="Arial CE"/>
        <family val="2"/>
        <charset val="238"/>
      </rPr>
      <t xml:space="preserve">Ostatní záležitosti kultury, církví a sdělovacích prostředků </t>
    </r>
    <r>
      <rPr>
        <sz val="9"/>
        <rFont val="Arial CE"/>
        <charset val="238"/>
      </rPr>
      <t>(odměny za užití duševního vlastnictví 20)</t>
    </r>
  </si>
  <si>
    <t>ORJ 011 - Návštěvnické centrum Nový Jičín - město klobouků</t>
  </si>
  <si>
    <r>
      <rPr>
        <b/>
        <sz val="10"/>
        <rFont val="Arial CE"/>
        <family val="2"/>
        <charset val="238"/>
      </rPr>
      <t xml:space="preserve">Vnitřní obchod  </t>
    </r>
    <r>
      <rPr>
        <b/>
        <sz val="9"/>
        <rFont val="Arial CE"/>
        <charset val="238"/>
      </rPr>
      <t xml:space="preserve">- </t>
    </r>
    <r>
      <rPr>
        <sz val="9"/>
        <rFont val="Arial CE"/>
        <charset val="238"/>
      </rPr>
      <t xml:space="preserve">opravy a údržba 25, materiál 38, služby 64, příspěvek TSM celkem (jarmarky, vánoční strom, výzdoba,…) 454, pohoštění 5, DHM 100, stroje, přístroje, zařízení 540.  </t>
    </r>
  </si>
  <si>
    <r>
      <rPr>
        <b/>
        <sz val="10"/>
        <rFont val="Arial CE"/>
        <charset val="238"/>
      </rPr>
      <t>Cestovní ruch</t>
    </r>
    <r>
      <rPr>
        <b/>
        <sz val="9"/>
        <rFont val="Arial CE"/>
        <charset val="238"/>
      </rPr>
      <t xml:space="preserve"> </t>
    </r>
    <r>
      <rPr>
        <sz val="9"/>
        <rFont val="Arial CE"/>
        <charset val="238"/>
      </rPr>
      <t xml:space="preserve">(platy 3600, dohody 360, soc.poj. 982 080, zdrav. poj. 356 400, náhrada mezd za nemoc 20, platby daní a popl. Stát. rozp. 6,5, knihy, tisk 6, drobný hmotný maj. 480, materiál (kalendáře, upom. Př., tiskoviny,…) 640, materiál DPH 374,5, poštovné 4, telefony 10, pronájem 277, služby zprac. dat. 30, nákup služeb (prop. inz., služby) 1170, nákup služeb DPH (služby spojené s kelímky NICKNACK) 170 976, opravy a údržba 80, cestovné 10, pohoštění 80, ost.nák.j.n. 4,5, neinvest. transféry 140, neinvest. přísp. Pivobraní 170. </t>
    </r>
  </si>
  <si>
    <r>
      <rPr>
        <b/>
        <sz val="10"/>
        <rFont val="Arial CE"/>
        <family val="2"/>
        <charset val="238"/>
      </rPr>
      <t>Ost.záležitosti kultury, církví a sdělovacích prostředků</t>
    </r>
    <r>
      <rPr>
        <sz val="10"/>
        <rFont val="Arial CE"/>
        <family val="2"/>
        <charset val="238"/>
      </rPr>
      <t xml:space="preserve"> (</t>
    </r>
    <r>
      <rPr>
        <sz val="9"/>
        <rFont val="Arial CE"/>
        <family val="2"/>
        <charset val="238"/>
      </rPr>
      <t xml:space="preserve">platby za autorská práva - OSA, Integram) </t>
    </r>
  </si>
  <si>
    <r>
      <rPr>
        <b/>
        <sz val="10"/>
        <rFont val="Arial CE"/>
        <family val="2"/>
        <charset val="238"/>
      </rPr>
      <t>Mezinárodní spolupráce</t>
    </r>
    <r>
      <rPr>
        <sz val="9"/>
        <rFont val="Arial CE"/>
        <charset val="238"/>
      </rPr>
      <t xml:space="preserve"> - materiál 55, materiál DPH 5, PHM 5, nájemné 20, služby 280, cestovné 40, pohoštění 110.</t>
    </r>
  </si>
  <si>
    <t>Bezpečnost silničního provozu (BESIP)</t>
  </si>
  <si>
    <t xml:space="preserve">             DHM 6, materiál 3, nájemné 42, služby 10, opravy a udržování 7, pohoštění 2, věcné dary 6 </t>
  </si>
  <si>
    <r>
      <rPr>
        <b/>
        <sz val="10"/>
        <rFont val="Arial CE"/>
        <charset val="238"/>
      </rPr>
      <t xml:space="preserve">Ostatní záležitosti v silniční dopravě - </t>
    </r>
    <r>
      <rPr>
        <sz val="10"/>
        <rFont val="Arial CE"/>
        <charset val="238"/>
      </rPr>
      <t>odvod ekologické daně 12/2019</t>
    </r>
  </si>
  <si>
    <r>
      <rPr>
        <b/>
        <sz val="10"/>
        <rFont val="Arial CE"/>
        <family val="2"/>
        <charset val="238"/>
      </rPr>
      <t>Dopravní obslužnost</t>
    </r>
    <r>
      <rPr>
        <sz val="10"/>
        <rFont val="Arial CE"/>
        <charset val="238"/>
      </rPr>
      <t xml:space="preserve"> - veřejná doprava</t>
    </r>
  </si>
  <si>
    <t>z toho: územní dopravní obslužnost dle smlouvy s MSK</t>
  </si>
  <si>
    <r>
      <rPr>
        <sz val="10"/>
        <rFont val="Arial CE"/>
        <family val="2"/>
        <charset val="238"/>
      </rPr>
      <t xml:space="preserve">             příspěvek na MHD</t>
    </r>
    <r>
      <rPr>
        <sz val="9"/>
        <rFont val="Arial CE"/>
        <family val="2"/>
        <charset val="238"/>
      </rPr>
      <t xml:space="preserve"> (ARRIVA) - dle smlouvy </t>
    </r>
  </si>
  <si>
    <r>
      <rPr>
        <sz val="10"/>
        <rFont val="Arial CE"/>
        <family val="2"/>
        <charset val="238"/>
      </rPr>
      <t xml:space="preserve">             příspěvek na ochranné chem prostředky a pomůcky pro dopravce veř.dopravy </t>
    </r>
    <r>
      <rPr>
        <sz val="9"/>
        <rFont val="Arial CE"/>
        <family val="2"/>
        <charset val="238"/>
      </rPr>
      <t>(ARRIVA) - z MSK (úz 27009)</t>
    </r>
  </si>
  <si>
    <r>
      <rPr>
        <sz val="10"/>
        <rFont val="Arial CE"/>
        <family val="2"/>
        <charset val="238"/>
      </rPr>
      <t xml:space="preserve">             kompenzace ztráty dopravci za rozšíření tarifu "město" 2020: </t>
    </r>
    <r>
      <rPr>
        <sz val="10"/>
        <rFont val="Arial CE"/>
        <charset val="238"/>
      </rPr>
      <t xml:space="preserve">dokrytí ztráty za provozování skibusu: </t>
    </r>
  </si>
  <si>
    <t xml:space="preserve">                dokrytí ztráty za provozovaní autobusového spojení Hranice na Moravě </t>
  </si>
  <si>
    <r>
      <rPr>
        <b/>
        <sz val="10"/>
        <rFont val="Arial CE"/>
        <family val="2"/>
        <charset val="238"/>
      </rPr>
      <t xml:space="preserve">Bezpečnost silničního provozu - </t>
    </r>
    <r>
      <rPr>
        <sz val="10"/>
        <rFont val="Arial CE"/>
        <charset val="238"/>
      </rPr>
      <t>znalecké posudky při řešení dopravních deliktů+tlumočení</t>
    </r>
  </si>
  <si>
    <r>
      <rPr>
        <b/>
        <sz val="10"/>
        <rFont val="Arial CE"/>
        <charset val="238"/>
      </rPr>
      <t xml:space="preserve">Činnost místní správy - </t>
    </r>
    <r>
      <rPr>
        <sz val="10"/>
        <rFont val="Arial CE"/>
        <charset val="238"/>
      </rPr>
      <t>ostatní platy (refundace vč.pojist.), konzult.a porad.služby, náhrady svědkům</t>
    </r>
  </si>
  <si>
    <t>ORJ 317 - Odbor správních agend</t>
  </si>
  <si>
    <t>Volby do zastupitelstev krajů</t>
  </si>
  <si>
    <t xml:space="preserve">Volby do Poslanecké sněmovny </t>
  </si>
  <si>
    <t>414 - Školství</t>
  </si>
  <si>
    <t>Předškolní zařízení</t>
  </si>
  <si>
    <t xml:space="preserve">příspěvky a dotace vlastní: na provoz MŠ </t>
  </si>
  <si>
    <t xml:space="preserve">                                            na údržbu MŠ </t>
  </si>
  <si>
    <t xml:space="preserve">                                            na investice</t>
  </si>
  <si>
    <r>
      <rPr>
        <sz val="10"/>
        <rFont val="Arial CE"/>
        <family val="2"/>
        <charset val="238"/>
      </rPr>
      <t xml:space="preserve">             v tom:  </t>
    </r>
    <r>
      <rPr>
        <b/>
        <i/>
        <sz val="10"/>
        <rFont val="Arial CE"/>
        <charset val="238"/>
      </rPr>
      <t>MŠ Sady</t>
    </r>
    <r>
      <rPr>
        <sz val="10"/>
        <rFont val="Arial CE"/>
        <family val="2"/>
        <charset val="238"/>
      </rPr>
      <t xml:space="preserve"> (org. 305)</t>
    </r>
  </si>
  <si>
    <t xml:space="preserve">                               - příspěvek na provoz, včetně energií 850, včetně odpisů z nemovitého majetku </t>
  </si>
  <si>
    <t xml:space="preserve">                              </t>
  </si>
  <si>
    <r>
      <rPr>
        <sz val="10"/>
        <rFont val="Arial CE"/>
        <family val="2"/>
        <charset val="238"/>
      </rPr>
      <t xml:space="preserve">                               - příspěvek na údržbu </t>
    </r>
    <r>
      <rPr>
        <sz val="9"/>
        <rFont val="Arial CE"/>
        <family val="2"/>
        <charset val="238"/>
      </rPr>
      <t>(oprava střešních svodů MŠ Revoluční a zásaků vody do kanalizace, oprava venkovního schodiště - zahradad Sm.sady, orpava chodníků na zaahradě MŠ Revoluční, malování a nátěry, oprava terasy MŠ Revoluční ) při zapojení FI 100</t>
    </r>
  </si>
  <si>
    <r>
      <rPr>
        <sz val="10"/>
        <rFont val="Arial CE"/>
        <family val="2"/>
        <charset val="238"/>
      </rPr>
      <t xml:space="preserve">                               - příspěvek na investice</t>
    </r>
    <r>
      <rPr>
        <sz val="9"/>
        <rFont val="Arial CE"/>
        <charset val="238"/>
      </rPr>
      <t xml:space="preserve"> (revitalizace zahrady MŠ Smetanovy sady, elektroinstalace MŠ Jiráskova-havarijní stav, rekonstrukce vzduchotechniky MŠ Jiráskova)</t>
    </r>
  </si>
  <si>
    <r>
      <rPr>
        <b/>
        <i/>
        <sz val="10"/>
        <rFont val="Arial CE"/>
        <charset val="238"/>
      </rPr>
      <t xml:space="preserve">                          MŠ Máj</t>
    </r>
    <r>
      <rPr>
        <sz val="10"/>
        <rFont val="Arial CE"/>
        <charset val="238"/>
      </rPr>
      <t xml:space="preserve"> (org. 307)</t>
    </r>
  </si>
  <si>
    <t xml:space="preserve">                               - příspěvek na provoz, včetně energií 1270, včetně odpisů z nemovitého majetku </t>
  </si>
  <si>
    <r>
      <rPr>
        <sz val="10"/>
        <rFont val="Arial CE"/>
        <family val="2"/>
        <charset val="238"/>
      </rPr>
      <t xml:space="preserve">                               - příspěvek na údržbu </t>
    </r>
    <r>
      <rPr>
        <sz val="9"/>
        <rFont val="Arial CE"/>
        <family val="2"/>
        <charset val="238"/>
      </rPr>
      <t>(malování a nátěry, oprava plotu, výměna podlahových krytin, PD sanace sušárny a prádelny MŠ Vančurova, zajištění dešťové mřížky okapů u MŠ Jubilejní, oprava výtahu) při zapojení FR a FI 170</t>
    </r>
  </si>
  <si>
    <r>
      <rPr>
        <sz val="10"/>
        <rFont val="Arial CE"/>
        <family val="2"/>
        <charset val="238"/>
      </rPr>
      <t xml:space="preserve">                               - příspěvek na investice</t>
    </r>
    <r>
      <rPr>
        <sz val="9"/>
        <rFont val="Arial CE"/>
        <charset val="238"/>
      </rPr>
      <t xml:space="preserve"> (myčka ) zapojení FI 50</t>
    </r>
  </si>
  <si>
    <r>
      <rPr>
        <sz val="10"/>
        <rFont val="Arial CE"/>
        <family val="2"/>
        <charset val="238"/>
      </rPr>
      <t xml:space="preserve">                          </t>
    </r>
    <r>
      <rPr>
        <b/>
        <i/>
        <sz val="10"/>
        <rFont val="Arial CE"/>
        <charset val="238"/>
      </rPr>
      <t>MŠ Trojlístek</t>
    </r>
    <r>
      <rPr>
        <sz val="10"/>
        <rFont val="Arial CE"/>
        <family val="2"/>
        <charset val="238"/>
      </rPr>
      <t xml:space="preserve"> (org. 309)</t>
    </r>
  </si>
  <si>
    <r>
      <rPr>
        <sz val="10"/>
        <rFont val="Arial CE"/>
        <family val="2"/>
        <charset val="238"/>
      </rPr>
      <t xml:space="preserve">                               - příspěvek na údržbu </t>
    </r>
    <r>
      <rPr>
        <sz val="9"/>
        <rFont val="Arial CE"/>
        <family val="2"/>
        <charset val="238"/>
      </rPr>
      <t>(oprava plotu MŠ Kom - poslední etapa, oprava kuchyněk a parapetů MŠ Máchova, oprava výtahu MŠ Máchova, výměna podlahových krytin, malování a nátěry, oprava sprchy MŠ Beskydská, ochranný val proti zatečení MŠ Beskydská)</t>
    </r>
  </si>
  <si>
    <r>
      <rPr>
        <sz val="10"/>
        <rFont val="Arial CE"/>
        <family val="2"/>
        <charset val="238"/>
      </rPr>
      <t xml:space="preserve">                               - příspěvek na investice </t>
    </r>
    <r>
      <rPr>
        <sz val="9"/>
        <rFont val="Arial CE"/>
        <charset val="238"/>
      </rPr>
      <t xml:space="preserve">(PD rekonstrukce elektroinstalace MŠ Máchova, myčka) </t>
    </r>
    <r>
      <rPr>
        <sz val="10"/>
        <rFont val="Arial CE"/>
        <family val="2"/>
        <charset val="238"/>
      </rPr>
      <t>zapojení FI 50</t>
    </r>
  </si>
  <si>
    <t>Základní školy</t>
  </si>
  <si>
    <t xml:space="preserve">rezerva+vyhodnocení žáků </t>
  </si>
  <si>
    <t xml:space="preserve">příspěvky vlastní: na provoz ZŠ </t>
  </si>
  <si>
    <t xml:space="preserve">                             na údržbu ZŠ </t>
  </si>
  <si>
    <t xml:space="preserve">                             na investice</t>
  </si>
  <si>
    <r>
      <rPr>
        <sz val="10"/>
        <rFont val="Arial CE"/>
        <family val="2"/>
        <charset val="238"/>
      </rPr>
      <t xml:space="preserve">              v tom:  </t>
    </r>
    <r>
      <rPr>
        <b/>
        <i/>
        <sz val="10"/>
        <rFont val="Arial CE"/>
        <family val="2"/>
        <charset val="238"/>
      </rPr>
      <t xml:space="preserve">ZŠ Jubilejní </t>
    </r>
    <r>
      <rPr>
        <sz val="10"/>
        <rFont val="Arial CE"/>
        <family val="2"/>
        <charset val="238"/>
      </rPr>
      <t xml:space="preserve">celkem (org. 321) </t>
    </r>
  </si>
  <si>
    <t xml:space="preserve">                              - příspěvek na provoz, včetně energií 3700, včetně odpisů z nemovitého majetku </t>
  </si>
  <si>
    <r>
      <rPr>
        <sz val="10"/>
        <rFont val="Arial CE"/>
        <family val="2"/>
        <charset val="238"/>
      </rPr>
      <t xml:space="preserve">                              - přísp.na údržbu</t>
    </r>
    <r>
      <rPr>
        <sz val="9"/>
        <rFont val="Arial CE"/>
        <family val="2"/>
        <charset val="238"/>
      </rPr>
      <t xml:space="preserve"> (Jubilejní: malování a nátěry, stabilizace střešního pláště proti větru, ZŠ Dlouhá: PD sanace havraijní stav ve ŠJ, malování a nátěry, vnitřní obložení stěn šatny, úprava podlahy v tělocvičně)</t>
    </r>
  </si>
  <si>
    <r>
      <rPr>
        <sz val="10"/>
        <rFont val="Arial CE"/>
        <family val="2"/>
        <charset val="238"/>
      </rPr>
      <t xml:space="preserve">                              - příspěvek na investice </t>
    </r>
    <r>
      <rPr>
        <sz val="9"/>
        <rFont val="Arial CE"/>
        <family val="2"/>
        <charset val="238"/>
      </rPr>
      <t xml:space="preserve">(Jubilejní: rek. školního hřiště, zpracování žádosti, rekonstukce učeben dílen, náklady související s dotací IROP, plynový kotel ve ŠJ, krouhač zeleniny, objednávkový systém ŠJ, Dlouhá: PD rekonstrukce výtahu a bezbariérovosti budovy) při </t>
    </r>
    <r>
      <rPr>
        <sz val="10"/>
        <rFont val="Arial CE"/>
        <family val="2"/>
        <charset val="238"/>
      </rPr>
      <t>zapojení FI 300</t>
    </r>
  </si>
  <si>
    <r>
      <rPr>
        <sz val="10"/>
        <rFont val="Arial CE"/>
        <family val="2"/>
        <charset val="238"/>
      </rPr>
      <t xml:space="preserve">              v tom:  </t>
    </r>
    <r>
      <rPr>
        <b/>
        <i/>
        <sz val="10"/>
        <rFont val="Arial CE"/>
        <family val="2"/>
        <charset val="238"/>
      </rPr>
      <t xml:space="preserve">ZŠ Komenského 66 </t>
    </r>
    <r>
      <rPr>
        <sz val="10"/>
        <rFont val="Arial CE"/>
        <family val="2"/>
        <charset val="238"/>
      </rPr>
      <t>(org. 322)</t>
    </r>
  </si>
  <si>
    <t xml:space="preserve">                              - příspěvek na provoz, včetně energií 1700, včetně odpisů z nemovitého majetku </t>
  </si>
  <si>
    <r>
      <rPr>
        <sz val="10"/>
        <rFont val="Arial CE"/>
        <family val="2"/>
        <charset val="238"/>
      </rPr>
      <t xml:space="preserve">                              - příspěvek na údržbu </t>
    </r>
    <r>
      <rPr>
        <sz val="9"/>
        <rFont val="Arial CE"/>
        <family val="2"/>
        <charset val="238"/>
      </rPr>
      <t>(malování a nátěry, čištění fasády, výměna plechových podhledů v přízemí, oprava výtahu, zapojení FR a FI 320)</t>
    </r>
  </si>
  <si>
    <r>
      <rPr>
        <sz val="10"/>
        <rFont val="Arial CE"/>
        <family val="2"/>
        <charset val="238"/>
      </rPr>
      <t xml:space="preserve">                              - příspěvek na investice </t>
    </r>
    <r>
      <rPr>
        <sz val="9"/>
        <rFont val="Arial CE"/>
        <charset val="238"/>
      </rPr>
      <t xml:space="preserve">(spoluúčast města na projektu IROP, modernizace odborné učebny F, Ch, Z,) </t>
    </r>
  </si>
  <si>
    <r>
      <rPr>
        <sz val="10"/>
        <rFont val="Arial CE"/>
        <family val="2"/>
        <charset val="238"/>
      </rPr>
      <t xml:space="preserve">                          </t>
    </r>
    <r>
      <rPr>
        <b/>
        <i/>
        <sz val="10"/>
        <rFont val="Arial CE"/>
        <charset val="238"/>
      </rPr>
      <t>ZŠ Komenského 68</t>
    </r>
    <r>
      <rPr>
        <sz val="10"/>
        <rFont val="Arial CE"/>
        <family val="2"/>
        <charset val="238"/>
      </rPr>
      <t xml:space="preserve"> (org. 323)</t>
    </r>
  </si>
  <si>
    <t xml:space="preserve">                              - příspěvek na provoz, včetně energií 1400, včetně odpisů z nemovitého majetku </t>
  </si>
  <si>
    <r>
      <rPr>
        <sz val="10"/>
        <rFont val="Arial CE"/>
        <family val="2"/>
        <charset val="238"/>
      </rPr>
      <t xml:space="preserve">                              - příspěvek na údržbu </t>
    </r>
    <r>
      <rPr>
        <sz val="9"/>
        <rFont val="Arial CE"/>
        <family val="2"/>
        <charset val="238"/>
      </rPr>
      <t>(oprava elektroinstalace-poslední etapa,</t>
    </r>
    <r>
      <rPr>
        <sz val="9"/>
        <rFont val="Arial CE"/>
        <charset val="238"/>
      </rPr>
      <t>oprava ZTI</t>
    </r>
    <r>
      <rPr>
        <sz val="9"/>
        <rFont val="Arial CE"/>
        <family val="2"/>
        <charset val="238"/>
      </rPr>
      <t>, malování a nátěry, oprava podlah) při zapojení FR 45</t>
    </r>
  </si>
  <si>
    <r>
      <rPr>
        <sz val="10"/>
        <rFont val="Arial CE"/>
        <family val="2"/>
        <charset val="238"/>
      </rPr>
      <t xml:space="preserve">                             - příspěvek na investice</t>
    </r>
    <r>
      <rPr>
        <sz val="9"/>
        <rFont val="Arial CE"/>
        <family val="2"/>
        <charset val="238"/>
      </rPr>
      <t xml:space="preserve"> (spoluúčast na projektu  IROP Digitalizace k Hitech.výuce, konvektomat) -při zapojení FI 160</t>
    </r>
  </si>
  <si>
    <r>
      <rPr>
        <sz val="10"/>
        <rFont val="Arial CE"/>
        <family val="2"/>
        <charset val="238"/>
      </rPr>
      <t xml:space="preserve">                         </t>
    </r>
    <r>
      <rPr>
        <b/>
        <i/>
        <sz val="10"/>
        <rFont val="Arial CE"/>
        <charset val="238"/>
      </rPr>
      <t xml:space="preserve">ZŠ Tyršova </t>
    </r>
    <r>
      <rPr>
        <sz val="10"/>
        <rFont val="Arial CE"/>
        <family val="2"/>
        <charset val="238"/>
      </rPr>
      <t>(org. 325)</t>
    </r>
  </si>
  <si>
    <t xml:space="preserve">                             - příspěvek na provoz (vč. Montessori 250), vč.energií 2000, vč.odpisů z nem.majetku</t>
  </si>
  <si>
    <r>
      <rPr>
        <sz val="10"/>
        <rFont val="Arial CE"/>
        <family val="2"/>
        <charset val="238"/>
      </rPr>
      <t xml:space="preserve">                             - příspěvek na údržbu</t>
    </r>
    <r>
      <rPr>
        <sz val="9"/>
        <rFont val="Arial CE"/>
        <family val="2"/>
        <charset val="238"/>
      </rPr>
      <t xml:space="preserve"> (malování a nátěry)</t>
    </r>
  </si>
  <si>
    <t xml:space="preserve">                             - příspěvek na investice (myčka, server a diskové pole) </t>
  </si>
  <si>
    <t>Střediska volného času</t>
  </si>
  <si>
    <r>
      <rPr>
        <sz val="10"/>
        <rFont val="Arial CE"/>
        <family val="2"/>
        <charset val="238"/>
      </rPr>
      <t xml:space="preserve">z toho: </t>
    </r>
    <r>
      <rPr>
        <b/>
        <i/>
        <sz val="10"/>
        <rFont val="Arial CE"/>
        <charset val="238"/>
      </rPr>
      <t>SVČ Fokus</t>
    </r>
  </si>
  <si>
    <t xml:space="preserve">                  - příspěvek na provoz, včetně energií 670, včetně odpisů z nemovitého majetku </t>
  </si>
  <si>
    <t xml:space="preserve">                  - příspěvek na údržbu (oprava podlah v posilovně)</t>
  </si>
  <si>
    <r>
      <rPr>
        <sz val="10"/>
        <rFont val="Arial CE"/>
        <family val="2"/>
        <charset val="238"/>
      </rPr>
      <t xml:space="preserve">                  - příspěvek na investice </t>
    </r>
    <r>
      <rPr>
        <sz val="9"/>
        <rFont val="Arial CE"/>
        <charset val="238"/>
      </rPr>
      <t xml:space="preserve">(revitalizace projektu ITI+spoluúčast+zateplení nástavby části budovy (876 tis.Kč) , zrcadlová stěna, PD na ohřev teplé vody) zapojení FI 140 </t>
    </r>
  </si>
  <si>
    <r>
      <rPr>
        <b/>
        <sz val="10"/>
        <rFont val="Arial CE"/>
        <family val="2"/>
        <charset val="238"/>
      </rPr>
      <t>Ostatní tělovýchovná činnost</t>
    </r>
    <r>
      <rPr>
        <sz val="10"/>
        <rFont val="Arial CE"/>
        <charset val="238"/>
      </rPr>
      <t xml:space="preserve"> </t>
    </r>
  </si>
  <si>
    <t>416 - Kultura</t>
  </si>
  <si>
    <r>
      <rPr>
        <b/>
        <sz val="10"/>
        <rFont val="Arial CE"/>
        <family val="2"/>
        <charset val="238"/>
      </rPr>
      <t xml:space="preserve">Divadelní činnost - </t>
    </r>
    <r>
      <rPr>
        <b/>
        <i/>
        <sz val="10"/>
        <rFont val="Arial CE"/>
        <family val="2"/>
        <charset val="238"/>
      </rPr>
      <t>Beskydské divadlo</t>
    </r>
    <r>
      <rPr>
        <b/>
        <sz val="9"/>
        <rFont val="Arial CE"/>
        <family val="2"/>
        <charset val="238"/>
      </rPr>
      <t xml:space="preserve"> </t>
    </r>
    <r>
      <rPr>
        <sz val="9"/>
        <rFont val="Arial CE"/>
        <family val="2"/>
        <charset val="238"/>
      </rPr>
      <t>(org. 504)</t>
    </r>
  </si>
  <si>
    <t xml:space="preserve">z toho: příspěvek na provoz, včetně energií 2000, včetně odpisů z nemovitého majetku </t>
  </si>
  <si>
    <r>
      <rPr>
        <sz val="10"/>
        <rFont val="Arial CE"/>
        <family val="2"/>
        <charset val="238"/>
      </rPr>
      <t xml:space="preserve">             příspěvek na údržbu </t>
    </r>
    <r>
      <rPr>
        <sz val="9"/>
        <rFont val="Arial CE"/>
        <family val="2"/>
        <charset val="238"/>
      </rPr>
      <t xml:space="preserve">(zesílení stropních desek ve výchovní části přístavby vč.stav. úprav, oprava vzduchotechniky) při zapojení FI 200 </t>
    </r>
  </si>
  <si>
    <t xml:space="preserve">          - příspěvek na investice </t>
  </si>
  <si>
    <t>Ostatní záležitosti kultury</t>
  </si>
  <si>
    <r>
      <rPr>
        <sz val="10"/>
        <rFont val="Arial CE"/>
        <family val="2"/>
        <charset val="238"/>
      </rPr>
      <t xml:space="preserve">z toho: osadní výbory </t>
    </r>
    <r>
      <rPr>
        <sz val="9"/>
        <rFont val="Arial CE"/>
        <family val="2"/>
        <charset val="238"/>
      </rPr>
      <t>(Žilina, Straník, Bludovice, Kojetín, Loučka)</t>
    </r>
  </si>
  <si>
    <t xml:space="preserve">             kronika, služby, materiál, pohoštění, dar, ocenění osobností, ples, poplatky OSA a INTEGRAM atd.)</t>
  </si>
  <si>
    <t>Zachování a obnova kulturních památek</t>
  </si>
  <si>
    <r>
      <rPr>
        <sz val="10"/>
        <rFont val="Arial CE"/>
        <family val="2"/>
        <charset val="238"/>
      </rPr>
      <t>z toho: dohody (</t>
    </r>
    <r>
      <rPr>
        <sz val="9"/>
        <rFont val="Arial CE"/>
        <charset val="238"/>
      </rPr>
      <t>odborné texty na tabulky)</t>
    </r>
  </si>
  <si>
    <t xml:space="preserve">             Instalace a vytvoření tabulek s QR kódy ke kulturním památkám (domy a sochy)</t>
  </si>
  <si>
    <t xml:space="preserve">             Propagace v rámci EHD (vlajky a jiné), postřiky hradebních zdí, vč. likvidace náletů </t>
  </si>
  <si>
    <t xml:space="preserve">             Drobné opravy poškození, očištění soch a restaurování křížů, Kaple v Janáčkových sadech-úprava po fixaci maleb, oprva hradební zdi (ve dvoře HoteluPraha)</t>
  </si>
  <si>
    <t>Pořízení, zachování a obnova hodnot místního historického povědomí</t>
  </si>
  <si>
    <r>
      <rPr>
        <sz val="10"/>
        <rFont val="Arial CE"/>
        <family val="2"/>
        <charset val="238"/>
      </rPr>
      <t xml:space="preserve">z toho: </t>
    </r>
    <r>
      <rPr>
        <sz val="9"/>
        <rFont val="Arial CE"/>
        <family val="2"/>
        <charset val="238"/>
      </rPr>
      <t xml:space="preserve"> oprava křížů a kaplí </t>
    </r>
  </si>
  <si>
    <r>
      <rPr>
        <sz val="10"/>
        <rFont val="Arial CE"/>
        <family val="2"/>
        <charset val="238"/>
      </rPr>
      <t xml:space="preserve">            elektrická energie </t>
    </r>
    <r>
      <rPr>
        <sz val="9"/>
        <rFont val="Arial CE"/>
        <charset val="238"/>
      </rPr>
      <t xml:space="preserve">(zvonění kaple Kojetín, Bludovice) </t>
    </r>
  </si>
  <si>
    <t>Zájmová činnost v kultuře</t>
  </si>
  <si>
    <t>z toho: Osvětová beseda Straník</t>
  </si>
  <si>
    <r>
      <rPr>
        <sz val="10"/>
        <rFont val="Arial CE"/>
        <family val="2"/>
        <charset val="238"/>
      </rPr>
      <t xml:space="preserve">z toho: </t>
    </r>
    <r>
      <rPr>
        <b/>
        <i/>
        <sz val="10"/>
        <rFont val="Arial CE"/>
        <family val="2"/>
        <charset val="238"/>
      </rPr>
      <t>Městské kulturní středisko</t>
    </r>
    <r>
      <rPr>
        <b/>
        <sz val="10"/>
        <rFont val="Arial CE"/>
        <charset val="238"/>
      </rPr>
      <t xml:space="preserve"> </t>
    </r>
    <r>
      <rPr>
        <sz val="9"/>
        <rFont val="Arial CE"/>
        <family val="2"/>
        <charset val="238"/>
      </rPr>
      <t>(org. 501)</t>
    </r>
  </si>
  <si>
    <t xml:space="preserve">           -  příspěvek na provoz MěKS a Kina Květen, vč.energií 1350, vč.odpisů z nem.majetku 175 </t>
  </si>
  <si>
    <t xml:space="preserve">                                     včetně Novojičínského kulturního léta a Slavností města </t>
  </si>
  <si>
    <r>
      <rPr>
        <sz val="10"/>
        <rFont val="Arial CE"/>
        <family val="2"/>
        <charset val="238"/>
      </rPr>
      <t xml:space="preserve">          -  příspěvek na investice </t>
    </r>
    <r>
      <rPr>
        <sz val="9"/>
        <rFont val="Arial CE"/>
        <family val="2"/>
        <charset val="238"/>
      </rPr>
      <t>auto)</t>
    </r>
  </si>
  <si>
    <r>
      <rPr>
        <sz val="10"/>
        <rFont val="Arial CE"/>
        <family val="2"/>
        <charset val="238"/>
      </rPr>
      <t xml:space="preserve">           -  příspěvek na údržbu </t>
    </r>
    <r>
      <rPr>
        <sz val="9"/>
        <rFont val="Arial CE"/>
        <family val="2"/>
        <charset val="238"/>
      </rPr>
      <t xml:space="preserve">(oprava vstupu knihovny a části budovy garáže proti vzlínání vlhkosti, oprava asfaltové plochy před pódiem amfiteátru Skalky,oprava správního domku-pouze PD, přečalounění sedaček v kině, oprava digitálního projektoru , oprava plechového krytu v chodníkovém tělese u kina, oprava proskleného vnitřního prostoru kina) při zapojení FI 600 </t>
    </r>
  </si>
  <si>
    <t>Ostatní záležitosti kultury, církví a sdělovacích prostředků</t>
  </si>
  <si>
    <t>z toho: výdaje na občanské záležitosti (včetně vítání občánků a jubileí)</t>
  </si>
  <si>
    <t>441 - Dotace, návratné finanční výpomoci a dary cizím subjektům</t>
  </si>
  <si>
    <t>Dotace, návratné finanční výpomoci a dary cizím subjektům</t>
  </si>
  <si>
    <t>z toho: podpora celoroční činnosti v kulturní oblasti (org. 1121)</t>
  </si>
  <si>
    <t xml:space="preserve">            podpora jednorázových kulturních akcí (org. 1122)</t>
  </si>
  <si>
    <t xml:space="preserve">            podpora sportovní činnosti dospělých nad 20 let (org. 1131)</t>
  </si>
  <si>
    <t xml:space="preserve">            podpora sportovní činnosti dětí a mládeže do 20 let (org. 1132)</t>
  </si>
  <si>
    <t xml:space="preserve">            podpora jednorázových sportovních akcí (org. 1133)</t>
  </si>
  <si>
    <t xml:space="preserve">            podpora provozu, údržby a oprava sportovišť a sportovních zařízení (org. 1134)</t>
  </si>
  <si>
    <t xml:space="preserve">            podpora ostatního sportu mládeže do 20 let (org. 1136)</t>
  </si>
  <si>
    <t xml:space="preserve">            podpora výkonostního sportu dospělých nad 20 let (org. 1137)</t>
  </si>
  <si>
    <t xml:space="preserve">            podpora celoroční činnosti v oblasti využití volného času (org. 1141)</t>
  </si>
  <si>
    <t xml:space="preserve">            podpora jednorázových akcí v oblasti využití volného času (org. 1142)</t>
  </si>
  <si>
    <t xml:space="preserve">            podpora na zachování a obnovu kulturních památek (org. 1150)</t>
  </si>
  <si>
    <r>
      <rPr>
        <sz val="10"/>
        <rFont val="Arial CE"/>
        <family val="2"/>
        <charset val="238"/>
      </rPr>
      <t xml:space="preserve">            mimořádné dotace a dary (org. 1180): </t>
    </r>
    <r>
      <rPr>
        <sz val="9"/>
        <rFont val="Arial CE"/>
        <charset val="238"/>
      </rPr>
      <t>MŠ Beruška 165, ZŠ Galaxie 220 a MŠ Bludovice 33,816 -všechny 3 subjekty na úhradu režijních nákladů na stravování dětí včetně dovozu, ZO ČSOP Bartošovice 90 záchrana handicapovaných zvířat, Česká křesťanská akademie 15, rezerva 100</t>
    </r>
  </si>
  <si>
    <t>ORJ 018 - Městská policie</t>
  </si>
  <si>
    <t xml:space="preserve">Bezpečnost a veřejný pořádek </t>
  </si>
  <si>
    <r>
      <rPr>
        <sz val="10"/>
        <rFont val="Arial CE"/>
        <family val="2"/>
        <charset val="238"/>
      </rPr>
      <t>z toho</t>
    </r>
    <r>
      <rPr>
        <b/>
        <sz val="10"/>
        <rFont val="Arial CE"/>
        <charset val="238"/>
      </rPr>
      <t xml:space="preserve"> provoz:</t>
    </r>
    <r>
      <rPr>
        <sz val="10"/>
        <rFont val="Arial CE"/>
        <family val="2"/>
        <charset val="238"/>
      </rPr>
      <t xml:space="preserve"> platy</t>
    </r>
    <r>
      <rPr>
        <sz val="9"/>
        <rFont val="Arial CE"/>
        <family val="2"/>
        <charset val="238"/>
      </rPr>
      <t xml:space="preserve"> 16 000, zák.odvody 3 968 + 1 440 ochr.pomůcky 0, zdrav.pomůcky 2, výstroj 275, knihy, časopisy a tisk 1, DHM 151, materiál 127,5 včetně prevence kriminality, elektř.10, PHM 240, služby pošt 1, telekomunikace 242, nájemné 30, konzultace  porad.služby 3, školení 27, konference 2, služby 579, opravy a udrž. 283, služby zpracování dat 80, cestovné 7, neinv.přísp.a náhrady-prac.úrazy 50, kolky 10, náhrady za nemoc 100,</t>
    </r>
    <r>
      <rPr>
        <sz val="10"/>
        <rFont val="Arial CE"/>
        <charset val="238"/>
      </rPr>
      <t xml:space="preserve"> správní poplatky 6, </t>
    </r>
    <r>
      <rPr>
        <b/>
        <sz val="10"/>
        <rFont val="Arial CE"/>
        <charset val="238"/>
      </rPr>
      <t xml:space="preserve">investice: </t>
    </r>
    <r>
      <rPr>
        <sz val="9"/>
        <rFont val="Arial CE"/>
        <charset val="238"/>
      </rPr>
      <t>radiostanice</t>
    </r>
  </si>
  <si>
    <t>ORJ 019 - Odbor organizační</t>
  </si>
  <si>
    <r>
      <rPr>
        <b/>
        <sz val="10"/>
        <rFont val="Arial CE"/>
        <family val="2"/>
        <charset val="238"/>
      </rPr>
      <t xml:space="preserve">Ochrana obyvatelstva </t>
    </r>
    <r>
      <rPr>
        <sz val="9"/>
        <rFont val="Arial CE"/>
        <charset val="238"/>
      </rPr>
      <t>(letáky+uživat.příručky 1, DHM 80, zpracování dat-data hosting, GSM přenosy 25, systém varování před povodněmi-hladinoměry dle servisní smlouvy 23, opravy a udržování systému varování před povodněmi 40)</t>
    </r>
  </si>
  <si>
    <r>
      <rPr>
        <b/>
        <sz val="10"/>
        <rFont val="Arial CE"/>
        <family val="2"/>
        <charset val="238"/>
      </rPr>
      <t xml:space="preserve">Činnost ost. orgánů státní správy v oblasti civil.nouzového hospod. </t>
    </r>
    <r>
      <rPr>
        <sz val="9"/>
        <rFont val="Arial CE"/>
        <family val="2"/>
        <charset val="238"/>
      </rPr>
      <t>(čerpá se jen při živelních pohromách: přikrývky 50, písek+pytle+... 70, zabezpečení chodu evak.středisek 3, teplo 3, elektrická energie 4, PHM 10, služby: ubytovací,stravovací,dopravní,... 60)</t>
    </r>
  </si>
  <si>
    <r>
      <rPr>
        <b/>
        <sz val="10"/>
        <rFont val="Arial CE"/>
        <family val="2"/>
        <charset val="238"/>
      </rPr>
      <t xml:space="preserve">Ostatní správa v oblasti krizového řízení </t>
    </r>
    <r>
      <rPr>
        <sz val="9"/>
        <rFont val="Arial CE"/>
        <family val="2"/>
        <charset val="238"/>
      </rPr>
      <t>(PHM do elektrocentrály 1, služby 2, materiál 1, knihy+učební pomůcky+tisk 1) - čerpá se jen v mimořádných událostech</t>
    </r>
  </si>
  <si>
    <r>
      <rPr>
        <b/>
        <sz val="10"/>
        <rFont val="Arial CE"/>
        <family val="2"/>
        <charset val="238"/>
      </rPr>
      <t xml:space="preserve">Požární ochrana - profesionální část </t>
    </r>
    <r>
      <rPr>
        <sz val="9"/>
        <rFont val="Arial CE"/>
        <family val="2"/>
        <charset val="238"/>
      </rPr>
      <t>(příspěvek HZS MSK dle smlouvy zvýšené o inflaci-předpoklad 2,7 %)</t>
    </r>
  </si>
  <si>
    <r>
      <rPr>
        <b/>
        <sz val="10"/>
        <rFont val="Arial CE"/>
        <family val="2"/>
        <charset val="238"/>
      </rPr>
      <t xml:space="preserve">Požární ochrana - dobrovolná část </t>
    </r>
    <r>
      <rPr>
        <sz val="9"/>
        <rFont val="Arial CE"/>
        <family val="2"/>
        <charset val="238"/>
      </rPr>
      <t>(pro hasiče Straník: OOPP 6, DHM - hadice a proudnice, svítilny na přilby 250, materiál 5, PHM 18, služby+internet 3,6, školení 3, nákup služeb-technické prohlídky vozidel, měření emisí, výměna pneu,... 10, opravy a udržování-příprava na STK, drobné opravy vozového parku 35, cestovné 2)</t>
    </r>
  </si>
  <si>
    <t xml:space="preserve">Činnost místní správy </t>
  </si>
  <si>
    <r>
      <rPr>
        <sz val="9"/>
        <rFont val="Arial CE"/>
        <charset val="238"/>
      </rPr>
      <t xml:space="preserve">z toho </t>
    </r>
    <r>
      <rPr>
        <b/>
        <sz val="9"/>
        <rFont val="Arial CE"/>
        <charset val="238"/>
      </rPr>
      <t>provoz</t>
    </r>
    <r>
      <rPr>
        <sz val="9"/>
        <rFont val="Arial CE"/>
        <charset val="238"/>
      </rPr>
      <t>: činnost místní správy-</t>
    </r>
    <r>
      <rPr>
        <b/>
        <sz val="9"/>
        <rFont val="Arial CE"/>
        <charset val="238"/>
      </rPr>
      <t>org.381</t>
    </r>
    <r>
      <rPr>
        <sz val="9"/>
        <rFont val="Arial CE"/>
        <charset val="238"/>
      </rPr>
      <t xml:space="preserve"> v tom: odměny za užití duševního vlastnictví-OSA 40, ochranné pomůcky - OOPP pro nové zaměstnance a obměna stávajících 100, léky a zdrav.materiál 32,5, knihy+učební pomůcky+tisk 100, Novojičínský zpravodaj 500, drobný hmotný majetek-nábytek a vybavení velké zas.míst. 1600, náb. kanc úředníci 500, mobily, skartovačky, kan.židle, skříně, police 380, podlah.krytiny 200, zařiz. předm. WC radnice 30, vybavení kuchyňky Div. 8 50, materiál-kancelářský, hygienický, čistící, doručovací, ikebana, automobily-mazadla, nemrznoucí směsi,... 1075, voda 350, teplo 2100, elektr.energie 1500, pevná paliva 1, PHM 150, služby pošt 1700, telekomun.71, nájemné 126, právní služby 435,6, služby BOZP 72,6, bezplatné právní služby pro veřejnost 50, psychologické poradenství k výběrovým řízením 20, zpracování dat 260, služby vč. úklidu,servisu kopírek, vozidel, nové logo města, elektrorevize, servis vozidel 3215, opravy a udržování - malování, nátěry oken a dveří 870, výměna dlažby ve vchodu Radnice 400, oprava kanalizace garáže Div. 8 100, výměna oken Úzká 1000, oprava soc. zařízení radnice 1500, velká zas. místnost + kancelář tajemníka 700, ostatní opravy 1000, pohoštění 200, ostatní nákupy (čl. přísp. auditorů a tajemníků) 4,5, kolky 1, daně a poplatky vč. dálničních známek 21, ostatní výdaje 2.</t>
    </r>
  </si>
  <si>
    <r>
      <rPr>
        <sz val="9"/>
        <rFont val="Arial CE"/>
        <family val="2"/>
        <charset val="238"/>
      </rPr>
      <t>z toho</t>
    </r>
    <r>
      <rPr>
        <b/>
        <sz val="9"/>
        <rFont val="Arial CE"/>
        <family val="2"/>
        <charset val="238"/>
      </rPr>
      <t xml:space="preserve"> investice: </t>
    </r>
    <r>
      <rPr>
        <sz val="9"/>
        <rFont val="Arial CE"/>
        <family val="2"/>
        <charset val="238"/>
      </rPr>
      <t>činnost místní správy-</t>
    </r>
    <r>
      <rPr>
        <b/>
        <sz val="9"/>
        <rFont val="Arial CE"/>
        <family val="2"/>
        <charset val="238"/>
      </rPr>
      <t>org.381:</t>
    </r>
    <r>
      <rPr>
        <sz val="9"/>
        <rFont val="Arial CE"/>
        <family val="2"/>
        <charset val="238"/>
      </rPr>
      <t xml:space="preserve"> PD na zpracování vstupu do budovy na ul. Div. 1 (vestibul a kantýna) 150, projekt na paternoster 100, PD na sociální zař. Divadelní 8 80, studie využitelnosti dvorní části radnice 150</t>
    </r>
  </si>
  <si>
    <r>
      <rPr>
        <u/>
        <sz val="9"/>
        <rFont val="Arial CE"/>
        <charset val="238"/>
      </rPr>
      <t xml:space="preserve">Úsek informatiky </t>
    </r>
    <r>
      <rPr>
        <sz val="9"/>
        <rFont val="Arial CE"/>
        <charset val="238"/>
      </rPr>
      <t xml:space="preserve">- </t>
    </r>
    <r>
      <rPr>
        <b/>
        <sz val="9"/>
        <rFont val="Arial CE"/>
        <charset val="238"/>
      </rPr>
      <t>provoz - org.3381</t>
    </r>
    <r>
      <rPr>
        <sz val="9"/>
        <rFont val="Arial CE"/>
        <charset val="238"/>
      </rPr>
      <t xml:space="preserve"> (v tom: drobný hmotný majetek-nové PC a LCD monitory, notebooky, kopírky, tiskárny, nákup a instalace nového plátna do auly, web kamera - nový HW, Free wifi Div. 8, drobné síťové prvky, UPS, nový plotr 870, materiál 365, nájemné 40, školení 20, služby zpracování dat 3912,4, ost.služby-znalecké posudky, osvědčení 50, opravy a udržování 580, nákup softwaru 140.</t>
    </r>
  </si>
  <si>
    <r>
      <rPr>
        <u/>
        <sz val="9"/>
        <rFont val="Arial CE"/>
        <charset val="238"/>
      </rPr>
      <t>Úsek informatiky</t>
    </r>
    <r>
      <rPr>
        <b/>
        <sz val="9"/>
        <rFont val="Arial CE"/>
        <charset val="238"/>
      </rPr>
      <t xml:space="preserve"> </t>
    </r>
    <r>
      <rPr>
        <sz val="9"/>
        <rFont val="Arial CE"/>
        <charset val="238"/>
      </rPr>
      <t xml:space="preserve">- </t>
    </r>
    <r>
      <rPr>
        <b/>
        <sz val="9"/>
        <rFont val="Arial CE"/>
        <charset val="238"/>
      </rPr>
      <t>investice - org.3381</t>
    </r>
    <r>
      <rPr>
        <sz val="9"/>
        <rFont val="Arial CE"/>
        <charset val="238"/>
      </rPr>
      <t xml:space="preserve"> programové vybavení- antivir, SW TC zálohování 101, vyvolávací systém - rozšíření 20, eko webové stránky 0, rozvoj GIS 350, nový IS 2000; elektronická úřední deska 600.</t>
    </r>
  </si>
  <si>
    <r>
      <rPr>
        <sz val="10"/>
        <rFont val="Arial CE"/>
        <family val="2"/>
        <charset val="238"/>
      </rPr>
      <t>Chata Jičínka-</t>
    </r>
    <r>
      <rPr>
        <b/>
        <sz val="10"/>
        <rFont val="Arial CE"/>
        <charset val="238"/>
      </rPr>
      <t>org.4381</t>
    </r>
    <r>
      <rPr>
        <sz val="10"/>
        <rFont val="Arial CE"/>
        <family val="2"/>
        <charset val="238"/>
      </rPr>
      <t xml:space="preserve"> </t>
    </r>
    <r>
      <rPr>
        <sz val="9"/>
        <rFont val="Arial CE"/>
        <charset val="238"/>
      </rPr>
      <t xml:space="preserve">(v tom: drobný hmotný majetek 50, materiál 10, voda 15, elektr.energie 140, PHM 1, služby-praní, odpady,... 50, opravy a udržování 50, místní poplatky 17, </t>
    </r>
    <r>
      <rPr>
        <b/>
        <sz val="9"/>
        <rFont val="Arial CE"/>
        <charset val="238"/>
      </rPr>
      <t>investice:</t>
    </r>
    <r>
      <rPr>
        <sz val="9"/>
        <rFont val="Arial CE"/>
        <charset val="238"/>
      </rPr>
      <t xml:space="preserve"> další etapa - úprava stropu, podlah, elektronistalace, zpevnění základů)</t>
    </r>
  </si>
  <si>
    <r>
      <rPr>
        <sz val="10"/>
        <rFont val="Arial CE"/>
        <family val="2"/>
        <charset val="238"/>
      </rPr>
      <t>Mobilní telefony-</t>
    </r>
    <r>
      <rPr>
        <b/>
        <sz val="10"/>
        <rFont val="Arial CE"/>
        <charset val="238"/>
      </rPr>
      <t>org.7381</t>
    </r>
  </si>
  <si>
    <r>
      <rPr>
        <sz val="10"/>
        <rFont val="Arial CE"/>
        <family val="2"/>
        <charset val="238"/>
      </rPr>
      <t>Pevné telefony-</t>
    </r>
    <r>
      <rPr>
        <b/>
        <sz val="10"/>
        <rFont val="Arial CE"/>
        <charset val="238"/>
      </rPr>
      <t>org.8381</t>
    </r>
  </si>
  <si>
    <r>
      <rPr>
        <sz val="10"/>
        <rFont val="Arial CE"/>
        <family val="2"/>
        <charset val="238"/>
      </rPr>
      <t>Dotace na OSPOD-</t>
    </r>
    <r>
      <rPr>
        <b/>
        <sz val="10"/>
        <rFont val="Arial CE"/>
        <charset val="238"/>
      </rPr>
      <t>org. 1385</t>
    </r>
    <r>
      <rPr>
        <sz val="10"/>
        <rFont val="Arial CE"/>
        <family val="2"/>
        <charset val="238"/>
      </rPr>
      <t xml:space="preserve"> </t>
    </r>
    <r>
      <rPr>
        <sz val="9"/>
        <rFont val="Arial CE"/>
        <family val="2"/>
        <charset val="238"/>
      </rPr>
      <t xml:space="preserve">(v tom: knihy 6, DHM 46, materiál 17, PHM 23, služby telekomunikací 12, zpracování dat 72,6, ostatní služby 24) </t>
    </r>
  </si>
  <si>
    <r>
      <rPr>
        <b/>
        <sz val="10"/>
        <rFont val="Arial CE"/>
        <family val="2"/>
        <charset val="238"/>
      </rPr>
      <t>Pojištění funkčně nespecifikované</t>
    </r>
    <r>
      <rPr>
        <sz val="9"/>
        <rFont val="Arial CE"/>
        <family val="2"/>
        <charset val="238"/>
      </rPr>
      <t xml:space="preserve"> (pojištění 1300, náhrady za nezpůsobenou újmu 50)</t>
    </r>
  </si>
  <si>
    <t>ORJ 919 - Odbor kancelář vedení města</t>
  </si>
  <si>
    <r>
      <rPr>
        <b/>
        <sz val="10"/>
        <rFont val="Arial CE"/>
        <family val="2"/>
        <charset val="238"/>
      </rPr>
      <t>Zastupitelstva obcí</t>
    </r>
    <r>
      <rPr>
        <sz val="9"/>
        <rFont val="Arial CE"/>
        <charset val="238"/>
      </rPr>
      <t xml:space="preserve"> (ost.platy-refundace mzdy 25, odměny členů ZM 7150, zák.odvody 942,4+643,5, refund.zák.odvodů 12, školení a vzdělávání pro uvolněné ZM 8, parkovné 0,5, cestovné (ubytování a doprava) 15, pohoštění 75, poplatky na konference 5, ošatné-svatby 40, dary 30)</t>
    </r>
  </si>
  <si>
    <r>
      <rPr>
        <sz val="9"/>
        <rFont val="Arial CE"/>
        <charset val="238"/>
      </rPr>
      <t>z toho provoz: činnost místní správy-</t>
    </r>
    <r>
      <rPr>
        <b/>
        <sz val="9"/>
        <rFont val="Arial CE"/>
        <charset val="238"/>
      </rPr>
      <t>org.381</t>
    </r>
    <r>
      <rPr>
        <sz val="9"/>
        <rFont val="Arial CE"/>
        <charset val="238"/>
      </rPr>
      <t xml:space="preserve"> v tom: platy 85000, ost.platy 10, dohody 1300, refundace 10, zák.odvody 21402,4+7767+490+1, školení a vzdělávání 1000, nákup ostatních služeb 2400, cestovné 250, poplatky na konference 20, ostatní (ošatné ceremoniářky,matrikářky,hudebníci) 260, náhrady 40, náhrady mezd v nemoci 700.</t>
    </r>
  </si>
  <si>
    <r>
      <rPr>
        <sz val="10"/>
        <rFont val="Arial CE"/>
        <family val="2"/>
        <charset val="238"/>
      </rPr>
      <t>Dotace na OSPOD-</t>
    </r>
    <r>
      <rPr>
        <b/>
        <sz val="10"/>
        <rFont val="Arial CE"/>
        <charset val="238"/>
      </rPr>
      <t>org. 1385</t>
    </r>
    <r>
      <rPr>
        <sz val="10"/>
        <rFont val="Arial CE"/>
        <family val="2"/>
        <charset val="238"/>
      </rPr>
      <t xml:space="preserve"> </t>
    </r>
    <r>
      <rPr>
        <sz val="9"/>
        <rFont val="Arial CE"/>
        <family val="2"/>
        <charset val="238"/>
      </rPr>
      <t>v tom: platy 5600,dohody 24, zák.odvody 1406+506,16, školení 120, cestovné 13</t>
    </r>
  </si>
  <si>
    <r>
      <rPr>
        <b/>
        <sz val="10"/>
        <rFont val="Arial CE"/>
        <charset val="238"/>
      </rPr>
      <t>Sociální fond</t>
    </r>
    <r>
      <rPr>
        <sz val="10"/>
        <rFont val="Arial CE"/>
        <family val="2"/>
        <charset val="238"/>
      </rPr>
      <t xml:space="preserve"> </t>
    </r>
    <r>
      <rPr>
        <sz val="9"/>
        <rFont val="Arial CE"/>
        <family val="2"/>
        <charset val="238"/>
      </rPr>
      <t xml:space="preserve">(nájemné-aktivity odborů 60,7 , stravování 2269,8, nákup ost. služeb - akce odborové org. 160 , rekreace zaměstnanců 1165,5, pohoštění-setkání zaměstnanců+bývalých zaměstnanců 100 , ošatné uvolnění ZM+pověření neuvolnění ZM 90 , dary obyvatelstvu při úmrtí zaměstnance nebo člena rodiny 100, jubilea 94, penzijní a životní pojištění zaměstn. 1860 + investice z ORJ 019 ze zůstatku SF 300) </t>
    </r>
  </si>
  <si>
    <t>Převody vlastním fondům v rozpočtech územní úrovně</t>
  </si>
  <si>
    <t>528 - Sociální věci</t>
  </si>
  <si>
    <t>Dopravní obslužnost mimo veřejnou službu - BST (org. 5555)</t>
  </si>
  <si>
    <r>
      <rPr>
        <b/>
        <sz val="10"/>
        <rFont val="Arial CE"/>
        <family val="2"/>
        <charset val="238"/>
      </rPr>
      <t xml:space="preserve">Nebytové hospodářství </t>
    </r>
    <r>
      <rPr>
        <sz val="9"/>
        <rFont val="Arial CE"/>
        <charset val="238"/>
      </rPr>
      <t>(Sokolovská 9: drobný hmotný majetek 2, materiál 1, služby 1)</t>
    </r>
  </si>
  <si>
    <r>
      <rPr>
        <b/>
        <sz val="10"/>
        <rFont val="Arial CE"/>
        <family val="2"/>
        <charset val="238"/>
      </rPr>
      <t xml:space="preserve">Pohřebnictví </t>
    </r>
    <r>
      <rPr>
        <sz val="9"/>
        <rFont val="Arial CE"/>
        <family val="2"/>
        <charset val="238"/>
      </rPr>
      <t>(úhrada sociálních pohřbů)</t>
    </r>
  </si>
  <si>
    <t xml:space="preserve">Ostatní sociální péče a pomoc dětem a mládeži </t>
  </si>
  <si>
    <t>z toho: věcné dary/nákup materiálu (státní příspěvek na výkon OSPOD) ÚZ 13011, org. 1385</t>
  </si>
  <si>
    <t xml:space="preserve">             terapeutické pobyty pro děti ze sociálně znevýhodněného prostředí</t>
  </si>
  <si>
    <t xml:space="preserve">             odvod výživného 2019</t>
  </si>
  <si>
    <r>
      <rPr>
        <b/>
        <sz val="10"/>
        <rFont val="Arial CE"/>
        <family val="2"/>
        <charset val="238"/>
      </rPr>
      <t xml:space="preserve">Ostatní sociální péče a pomoc rodině a manželství </t>
    </r>
    <r>
      <rPr>
        <sz val="10"/>
        <rFont val="Arial CE"/>
        <charset val="238"/>
      </rPr>
      <t>(výkon pěstounské péče)</t>
    </r>
  </si>
  <si>
    <t xml:space="preserve">             nákup služeb (státní příspěvek na výkon pěstounské péče) ÚZ 13010</t>
  </si>
  <si>
    <t>Sociální rehabilitace</t>
  </si>
  <si>
    <r>
      <rPr>
        <b/>
        <sz val="10"/>
        <rFont val="Arial CE"/>
        <family val="2"/>
        <charset val="238"/>
      </rPr>
      <t xml:space="preserve">             </t>
    </r>
    <r>
      <rPr>
        <sz val="10"/>
        <rFont val="Arial CE"/>
        <charset val="238"/>
      </rPr>
      <t>neinvestiční transfery krajům (smlouva o závazku vůči MSK) ÚZ 00030</t>
    </r>
  </si>
  <si>
    <t>Ostatní sociální péče a pomoc ostatním skupinám obyvatelstva</t>
  </si>
  <si>
    <t>z toho: nákup služeb - Komunitní plánování (org. 0439)</t>
  </si>
  <si>
    <t xml:space="preserve">             komunitní plánování  II. - Efektivní systém plánování soc.služeb v NJ (org.1441)</t>
  </si>
  <si>
    <t>Podpora samostatného bydlení</t>
  </si>
  <si>
    <t xml:space="preserve">             neinvestiční transfery krajům (smlouva o závazku vůči MSK) ÚZ 00030</t>
  </si>
  <si>
    <t>Sociálně aktivizační služby pro rodiny s dětmi</t>
  </si>
  <si>
    <t>Azylové domy, nízkoprahová denní centra a noclehárny</t>
  </si>
  <si>
    <t>Ostatní služby a činnosti v oblasti sociální prevence</t>
  </si>
  <si>
    <t>z toho:   Klub seniorů Nový Jičín (org. 383)</t>
  </si>
  <si>
    <t xml:space="preserve">             Klub seniorů Straník (org. 2383)</t>
  </si>
  <si>
    <t xml:space="preserve">             Klub seniorů Loučka (org. 3383)</t>
  </si>
  <si>
    <t xml:space="preserve">             Kavárničky - setkání seniorů v DPS (org. 3393)</t>
  </si>
  <si>
    <r>
      <rPr>
        <b/>
        <sz val="10"/>
        <rFont val="Arial CE"/>
        <family val="2"/>
        <charset val="238"/>
      </rPr>
      <t xml:space="preserve">Záležitosti soc. věcí a politiky nezaměstn. j.n. </t>
    </r>
    <r>
      <rPr>
        <sz val="9"/>
        <rFont val="Arial CE"/>
        <charset val="238"/>
      </rPr>
      <t xml:space="preserve">(nákup tiskopisů receptů a žádanek na omamné látky, průkazy BST) </t>
    </r>
  </si>
  <si>
    <t xml:space="preserve">Rezerva </t>
  </si>
  <si>
    <t>541 - Dotace, návratné finanční výpomoci a dary cizím subjektům</t>
  </si>
  <si>
    <t>Dotace, návratné finanční výpomoci a dary cizím subjektům celkem:</t>
  </si>
  <si>
    <t>z toho: podpora celoroční činnosti v oblasti sociální (org. 1111)</t>
  </si>
  <si>
    <t xml:space="preserve">             podpora jednorázových akcí v oblasti sociální (org. 1112)</t>
  </si>
  <si>
    <t xml:space="preserve">             podpora sociálních služeb dle zákona o soc.službách (org. 1113)</t>
  </si>
  <si>
    <t xml:space="preserve">             podpora občanů města v pobytových soc. zařízeních (org. 1114)</t>
  </si>
  <si>
    <t xml:space="preserve">             podpora domácí hospicové péče (org. 1115)</t>
  </si>
  <si>
    <t xml:space="preserve">             podpora dobrovolnictví dle zákona o dobrovolnické službě (org. 1116)</t>
  </si>
  <si>
    <t xml:space="preserve">             dary obyvatelstvu - dobrovolní dárci krve (org. 1180)</t>
  </si>
  <si>
    <t xml:space="preserve">             individuální dotace a dary (org. 1180)</t>
  </si>
  <si>
    <t>ORJ 029 - ProSenior Nový Jičín</t>
  </si>
  <si>
    <t>Osobní asistence, pečovatelská služba a podpora samostatného bydlení</t>
  </si>
  <si>
    <r>
      <rPr>
        <sz val="9"/>
        <rFont val="Arial CE"/>
        <charset val="238"/>
      </rPr>
      <t xml:space="preserve">z toho </t>
    </r>
    <r>
      <rPr>
        <b/>
        <sz val="9"/>
        <rFont val="Arial CE"/>
        <charset val="238"/>
      </rPr>
      <t>Pečovatelská služba (org.390)</t>
    </r>
    <r>
      <rPr>
        <sz val="9"/>
        <rFont val="Arial CE"/>
        <charset val="238"/>
      </rPr>
      <t xml:space="preserve">: platy 3920+650, dohody 60, zákonné odvody 972+158, 355+75, potraviny 1, ochranné osobní pomůcky 40, léky+zdrav.mater.3, prádlo+oděv 2, knihy+tisk 1,5, DHM  50, materiál  72,1, elektř. 50, PHM 120, služby telekomunikací 18, mobily 12, pevné linky 2, školení a vzdělávání 50, zpracování dat 18, služby 50, opravy a udržování 90, cestovné 20, účastnické poplatky na konference 8, ostatní nákupy 0, neinvestiční transfery spolkům 2,9, náhrady mezd v době nemoci 35     </t>
    </r>
  </si>
  <si>
    <r>
      <rPr>
        <sz val="9"/>
        <rFont val="Arial CE"/>
        <charset val="238"/>
      </rPr>
      <t xml:space="preserve">z toho </t>
    </r>
    <r>
      <rPr>
        <b/>
        <sz val="9"/>
        <rFont val="Arial CE"/>
        <charset val="238"/>
      </rPr>
      <t>Denní stacionář=Domovinka (org.1391)</t>
    </r>
    <r>
      <rPr>
        <sz val="9"/>
        <rFont val="Arial CE"/>
        <charset val="238"/>
      </rPr>
      <t>: platy 900 310, dohody 10, zákonné odvody221+81 80+28, ochr.os.pomůcky 8, prádlo+oděv 1,5, knihy+tisk 1, DHM 10, materiál 12, elektrická energie 10, služby telekomunikací 1,3, školení a vzdělávání 10, zpracování dat 5, služby 33, opravy a údržba 5, cestovné 1, účastn.popl.na konferencích 0,5, náhrady mezd v době nemoci   11</t>
    </r>
  </si>
  <si>
    <r>
      <rPr>
        <sz val="9"/>
        <rFont val="Arial CE"/>
        <charset val="238"/>
      </rPr>
      <t xml:space="preserve">z toho </t>
    </r>
    <r>
      <rPr>
        <b/>
        <sz val="9"/>
        <rFont val="Arial CE"/>
        <charset val="238"/>
      </rPr>
      <t>Pohoda (org.1393)</t>
    </r>
    <r>
      <rPr>
        <sz val="9"/>
        <rFont val="Arial CE"/>
        <charset val="238"/>
      </rPr>
      <t xml:space="preserve">: platy 2 800+604, dohody 200, zákonné odvody 685+150 250+54,5, OOP+oděvy 20+5, DHM 40, materiál 36, elektř.12, telef. 1,3, školení a vzdělávání 18, zpracování dat 15, služby 6, opravy a údržba 7, cestovné 1, poplatky na konference 0,5, náhrady v době nemoci  25                                               </t>
    </r>
  </si>
  <si>
    <t xml:space="preserve">Ozdravování hospodářských zvířat </t>
  </si>
  <si>
    <r>
      <rPr>
        <b/>
        <sz val="10"/>
        <rFont val="Arial CE"/>
        <family val="2"/>
        <charset val="238"/>
      </rPr>
      <t xml:space="preserve">Pěstební činnost </t>
    </r>
    <r>
      <rPr>
        <sz val="9"/>
        <rFont val="Arial CE"/>
        <family val="2"/>
        <charset val="238"/>
      </rPr>
      <t>(znovuzalesnění po kůrovci) - TSM: 0</t>
    </r>
  </si>
  <si>
    <t>Správa v lesním hospodářství</t>
  </si>
  <si>
    <r>
      <rPr>
        <b/>
        <sz val="10"/>
        <rFont val="Arial CE"/>
        <family val="2"/>
        <charset val="238"/>
      </rPr>
      <t xml:space="preserve">Celospolečenské funkce lesů </t>
    </r>
    <r>
      <rPr>
        <sz val="9"/>
        <rFont val="Arial CE"/>
        <family val="2"/>
        <charset val="238"/>
      </rPr>
      <t>(cesty a svážnice+oprava kamenného divadla)</t>
    </r>
  </si>
  <si>
    <t xml:space="preserve">Ostatní záležitosti lesního hospodářství </t>
  </si>
  <si>
    <r>
      <rPr>
        <b/>
        <sz val="10"/>
        <rFont val="Arial CE"/>
        <family val="2"/>
        <charset val="238"/>
      </rPr>
      <t xml:space="preserve">Ostatní správa ve vodním hospodářství </t>
    </r>
    <r>
      <rPr>
        <sz val="9"/>
        <rFont val="Arial CE"/>
        <family val="2"/>
        <charset val="238"/>
      </rPr>
      <t>(havárie)</t>
    </r>
  </si>
  <si>
    <r>
      <rPr>
        <b/>
        <sz val="10"/>
        <rFont val="Arial CE"/>
        <family val="2"/>
        <charset val="238"/>
      </rPr>
      <t>Sběr a svoz nebezpečných odpadů</t>
    </r>
    <r>
      <rPr>
        <b/>
        <sz val="9"/>
        <rFont val="Arial CE"/>
        <charset val="238"/>
      </rPr>
      <t xml:space="preserve"> </t>
    </r>
    <r>
      <rPr>
        <sz val="9"/>
        <rFont val="Arial CE"/>
        <charset val="238"/>
      </rPr>
      <t>(TSM: 50)</t>
    </r>
  </si>
  <si>
    <t xml:space="preserve">Sběr a svoz komunálních odpadů </t>
  </si>
  <si>
    <t>z toho: TSM - příspěvek na provoz</t>
  </si>
  <si>
    <t xml:space="preserve">            ostatní provoz město</t>
  </si>
  <si>
    <r>
      <rPr>
        <sz val="10"/>
        <rFont val="Arial CE"/>
        <family val="2"/>
        <charset val="238"/>
      </rPr>
      <t xml:space="preserve">z toho: TSM příspěvek na investice </t>
    </r>
    <r>
      <rPr>
        <sz val="8"/>
        <rFont val="Arial CE"/>
        <charset val="238"/>
      </rPr>
      <t>(</t>
    </r>
    <r>
      <rPr>
        <sz val="9"/>
        <rFont val="Arial CE"/>
        <charset val="238"/>
      </rPr>
      <t>auto, vany, PD zprůjezdnění, unimobuňka)</t>
    </r>
  </si>
  <si>
    <r>
      <rPr>
        <b/>
        <sz val="10"/>
        <rFont val="Arial CE"/>
        <family val="2"/>
        <charset val="238"/>
      </rPr>
      <t xml:space="preserve">Monitoring půdy a podzemní vody </t>
    </r>
    <r>
      <rPr>
        <sz val="9"/>
        <rFont val="Arial CE"/>
        <family val="2"/>
        <charset val="238"/>
      </rPr>
      <t xml:space="preserve">(sledování vrtů na Kojetíně) </t>
    </r>
  </si>
  <si>
    <r>
      <rPr>
        <b/>
        <sz val="10"/>
        <rFont val="Arial CE"/>
        <family val="2"/>
        <charset val="238"/>
      </rPr>
      <t>Chráněné části přírody</t>
    </r>
    <r>
      <rPr>
        <sz val="9"/>
        <rFont val="Arial CE"/>
        <family val="2"/>
        <charset val="238"/>
      </rPr>
      <t xml:space="preserve"> (památné stromy, významné krajinné prvky)</t>
    </r>
  </si>
  <si>
    <t>Rekultivace půdy</t>
  </si>
  <si>
    <t>Péče o vzhled obcí a veřejnou zeleň</t>
  </si>
  <si>
    <t>z toho: akce + Zelené město 150</t>
  </si>
  <si>
    <r>
      <rPr>
        <sz val="10"/>
        <rFont val="Arial CE"/>
        <charset val="238"/>
      </rPr>
      <t xml:space="preserve">             údržba zeleně - </t>
    </r>
    <r>
      <rPr>
        <sz val="9"/>
        <rFont val="Arial CE"/>
        <charset val="238"/>
      </rPr>
      <t>TSM</t>
    </r>
  </si>
  <si>
    <t xml:space="preserve">                                     - ostatní (OŽP)</t>
  </si>
  <si>
    <r>
      <rPr>
        <sz val="10"/>
        <rFont val="Arial CE"/>
        <family val="2"/>
        <charset val="238"/>
      </rPr>
      <t xml:space="preserve">             příspěvek na investice TSM pro rok 2021 </t>
    </r>
    <r>
      <rPr>
        <sz val="8"/>
        <rFont val="Arial CE"/>
        <charset val="238"/>
      </rPr>
      <t xml:space="preserve">(nakladač, demolice skladu, revitalizace středista veřejné zeleně, demolice regulačních stanic) </t>
    </r>
  </si>
  <si>
    <t>Ekologická výchova a osvěta</t>
  </si>
  <si>
    <r>
      <rPr>
        <b/>
        <sz val="10"/>
        <rFont val="Arial CE"/>
        <family val="2"/>
        <charset val="238"/>
      </rPr>
      <t xml:space="preserve">Ostatní ekologické záležitosti </t>
    </r>
    <r>
      <rPr>
        <sz val="9"/>
        <rFont val="Arial CE"/>
        <charset val="238"/>
      </rPr>
      <t>(zpracování Adaptační strategie na změnu klimatu)</t>
    </r>
  </si>
  <si>
    <t xml:space="preserve">ORJ 037 - Odbor bytový </t>
  </si>
  <si>
    <r>
      <rPr>
        <b/>
        <sz val="10"/>
        <rFont val="Arial"/>
        <family val="2"/>
        <charset val="238"/>
      </rPr>
      <t>Střední odborné školy</t>
    </r>
    <r>
      <rPr>
        <sz val="10"/>
        <rFont val="Arial"/>
        <family val="2"/>
        <charset val="238"/>
      </rPr>
      <t xml:space="preserve"> </t>
    </r>
    <r>
      <rPr>
        <sz val="9"/>
        <rFont val="Arial"/>
        <family val="2"/>
        <charset val="238"/>
      </rPr>
      <t>(EDUCA) - běžné opravy 100, zápočet investic a nájmu 275</t>
    </r>
  </si>
  <si>
    <t>Sportovní zařízení v majetku obce</t>
  </si>
  <si>
    <r>
      <rPr>
        <b/>
        <i/>
        <sz val="10"/>
        <rFont val="Arial"/>
        <family val="2"/>
        <charset val="238"/>
      </rPr>
      <t xml:space="preserve">   </t>
    </r>
    <r>
      <rPr>
        <b/>
        <i/>
        <u/>
        <sz val="10"/>
        <rFont val="Arial"/>
        <family val="2"/>
        <charset val="238"/>
      </rPr>
      <t>Sportovní hala s bazénem:</t>
    </r>
    <r>
      <rPr>
        <i/>
        <sz val="10"/>
        <rFont val="Arial"/>
        <family val="2"/>
        <charset val="238"/>
      </rPr>
      <t xml:space="preserve"> org. 0515, 1515, 2515, 3515</t>
    </r>
  </si>
  <si>
    <t>z toho: investice celkem</t>
  </si>
  <si>
    <r>
      <rPr>
        <sz val="10"/>
        <rFont val="Arial"/>
        <family val="2"/>
        <charset val="238"/>
      </rPr>
      <t xml:space="preserve">             - venkovní </t>
    </r>
    <r>
      <rPr>
        <b/>
        <sz val="10"/>
        <rFont val="Arial"/>
        <family val="2"/>
        <charset val="238"/>
      </rPr>
      <t>bazén</t>
    </r>
    <r>
      <rPr>
        <sz val="10"/>
        <rFont val="Arial"/>
        <family val="2"/>
        <charset val="238"/>
      </rPr>
      <t xml:space="preserve"> org. 2515 (vybudování kamenného koberce) </t>
    </r>
  </si>
  <si>
    <t xml:space="preserve">             - generální úprava dámských a pánských sprch  (finance převedeny z 5171)</t>
  </si>
  <si>
    <t xml:space="preserve">             - podlaha basketbalové haly - PD + realizace (za předpokladu dotace MŠMT a spoluúčast města)</t>
  </si>
  <si>
    <t xml:space="preserve">             - zpracování PD rekonstrukce vnitřního bazénu</t>
  </si>
  <si>
    <t>z toho: opravy a udržování celkem (znal.posudky,služby+opravy+údržba)</t>
  </si>
  <si>
    <t xml:space="preserve">             - v tom: výměna žaluzie v přívodním tunelu vzduchotechniky s předehřevem vzduchu</t>
  </si>
  <si>
    <t xml:space="preserve">                          nepředvídané opravy</t>
  </si>
  <si>
    <t xml:space="preserve">                          PD - střecha dešťové svody</t>
  </si>
  <si>
    <t xml:space="preserve">                          oprava tobogánu - venkovní bazén</t>
  </si>
  <si>
    <t xml:space="preserve">                          oprava dětského brouzdaliště - venkovní bazén</t>
  </si>
  <si>
    <t xml:space="preserve">                          dohoda o narovnání Ridera Stavební, a.s.</t>
  </si>
  <si>
    <t>z toho: provoz celkem</t>
  </si>
  <si>
    <r>
      <rPr>
        <sz val="10"/>
        <rFont val="Arial"/>
        <family val="2"/>
        <charset val="238"/>
      </rPr>
      <t xml:space="preserve">          - dotace Basketbalovému klubu, z.s. (provoz+energie)          AÚ 437  </t>
    </r>
    <r>
      <rPr>
        <sz val="8"/>
        <rFont val="Arial"/>
        <family val="2"/>
        <charset val="238"/>
      </rPr>
      <t>navyšeno o 600 tis. - koberec</t>
    </r>
  </si>
  <si>
    <t xml:space="preserve">          - elektřina - přečerpávací šachta</t>
  </si>
  <si>
    <t xml:space="preserve">          - SBI - zabezpečovací systém MP</t>
  </si>
  <si>
    <r>
      <rPr>
        <b/>
        <i/>
        <sz val="10"/>
        <rFont val="Arial"/>
        <family val="2"/>
        <charset val="238"/>
      </rPr>
      <t xml:space="preserve">   </t>
    </r>
    <r>
      <rPr>
        <b/>
        <i/>
        <u/>
        <sz val="10"/>
        <rFont val="Arial"/>
        <family val="2"/>
        <charset val="238"/>
      </rPr>
      <t>Zimní stadión</t>
    </r>
    <r>
      <rPr>
        <b/>
        <i/>
        <sz val="10"/>
        <rFont val="Arial"/>
        <family val="2"/>
        <charset val="238"/>
      </rPr>
      <t>: org. 0522</t>
    </r>
  </si>
  <si>
    <t xml:space="preserve">             - rekonstrukce střechy - realizace rekonstrukce (příslib ZM 3.6.2019  = 56 mil. Kč)</t>
  </si>
  <si>
    <t xml:space="preserve">             - Cvičná brankářská střelnice pro hokejisty - PD a realizace</t>
  </si>
  <si>
    <t xml:space="preserve">             - dotace Hokejovému klubu, z.s. (provoz+energie)         AÚ 437</t>
  </si>
  <si>
    <t xml:space="preserve">             - SBI - zabezpečovací systém MP</t>
  </si>
  <si>
    <t xml:space="preserve">             - dodání mantinelů minihokej, stacionárních laviček, boxy na sezení do kabin (inventář položka 6122)</t>
  </si>
  <si>
    <t xml:space="preserve">z toho: opravy a udržování celkem </t>
  </si>
  <si>
    <t xml:space="preserve">            - nepředvídatelné výdaje </t>
  </si>
  <si>
    <t xml:space="preserve">            - oprava venkovních schodů a opěrné zídky </t>
  </si>
  <si>
    <t xml:space="preserve">            - oprava kanalizační přípojky - 60 m</t>
  </si>
  <si>
    <t>Bytové hospodářství</t>
  </si>
  <si>
    <t xml:space="preserve">             Bytový dům K archívu 2, NJ - PD pro realizaci </t>
  </si>
  <si>
    <t xml:space="preserve">             Pořízení EPS v DPS Revoluční 6 (požární hlásiče s napojením na pult centrální ochrany na MP)</t>
  </si>
  <si>
    <t xml:space="preserve">             Na Lani 212 -  2019 = PD na revitalizaci bytového domu,  2020 = realizace akce</t>
  </si>
  <si>
    <t xml:space="preserve">             Jičínská  272 - PD na revitalizaci bytového domu </t>
  </si>
  <si>
    <t xml:space="preserve">             Jičínská  275 - PD na revitalizaci bytového domu </t>
  </si>
  <si>
    <t xml:space="preserve">             Zborovská 11 revitalizace bytového domu, relizace akce včetně zasklení lodžií vč. dozorů - dotace 5.992.790,43</t>
  </si>
  <si>
    <t xml:space="preserve">             Na Lani 212  revitalizace bytového domu,  realizace akce vč. Dozorů- dotace 3.605.622,22</t>
  </si>
  <si>
    <t xml:space="preserve">             Bytový dům K Archivu 2, NJ - realizace dle PD (2021-2022) vč. dozorů (úvěr)</t>
  </si>
  <si>
    <t xml:space="preserve">                             Trlicova 59 - PD revitalizace bytového domu</t>
  </si>
  <si>
    <t xml:space="preserve">             Masarykovo 15 - (bývalý bytový podnik) - zpracování PD na vybudování cca 5 bytů  a střechy dle studie</t>
  </si>
  <si>
    <t xml:space="preserve">z toho: opravy a údržba celkem  </t>
  </si>
  <si>
    <t xml:space="preserve">             Bytový fond města - společné opravy:  </t>
  </si>
  <si>
    <t xml:space="preserve">                          - generální opravy volných bytů (vrácené byty zdevastované nebo po exekucích) - Rámcová smlouva 23 mil.Kč/4 roky</t>
  </si>
  <si>
    <t xml:space="preserve">                          - generální opravy bytů v MPR</t>
  </si>
  <si>
    <t xml:space="preserve">                          - výměna bytových vodoměrů teplé a studené vody </t>
  </si>
  <si>
    <r>
      <rPr>
        <sz val="10"/>
        <rFont val="Arial"/>
        <family val="2"/>
        <charset val="238"/>
      </rPr>
      <t xml:space="preserve">             </t>
    </r>
    <r>
      <rPr>
        <b/>
        <i/>
        <sz val="10"/>
        <rFont val="Arial"/>
        <family val="2"/>
        <charset val="238"/>
      </rPr>
      <t>úsek 1 (p. Najvarová):</t>
    </r>
    <r>
      <rPr>
        <sz val="10"/>
        <rFont val="Arial"/>
        <family val="2"/>
        <charset val="238"/>
      </rPr>
      <t xml:space="preserve">  - navýšeno o úsek Pavelky</t>
    </r>
  </si>
  <si>
    <t xml:space="preserve">                          - běžná údržba a opravy, výměny zař. předmětů </t>
  </si>
  <si>
    <t xml:space="preserve">                          - akce úsek 1 celkem:</t>
  </si>
  <si>
    <t xml:space="preserve">                             Suvorovova 120+122 - výmalba sp. prostor, oprava omítek chodby a schodiště, výměna PVC na schodišti </t>
  </si>
  <si>
    <t xml:space="preserve">                             Dlouhá 19 - oprava celé střechny (havarijní stav)</t>
  </si>
  <si>
    <r>
      <rPr>
        <sz val="10"/>
        <rFont val="Arial"/>
        <family val="2"/>
        <charset val="238"/>
      </rPr>
      <t xml:space="preserve">             </t>
    </r>
    <r>
      <rPr>
        <b/>
        <i/>
        <sz val="10"/>
        <rFont val="Arial"/>
        <family val="2"/>
        <charset val="238"/>
      </rPr>
      <t>úsek 2 (p. Bartoňová):</t>
    </r>
    <r>
      <rPr>
        <sz val="10"/>
        <rFont val="Arial"/>
        <family val="2"/>
        <charset val="238"/>
      </rPr>
      <t xml:space="preserve"> </t>
    </r>
  </si>
  <si>
    <t xml:space="preserve">                          - akce úsek 2 celkem:</t>
  </si>
  <si>
    <t xml:space="preserve">                             DPS Revoluční 6 - oprava balkónů a soklu dle PD (2019 = dům č. 4, 2020 = domy č. 2 + 6)</t>
  </si>
  <si>
    <t xml:space="preserve">                             DPS Pod Lipami 19 - výměna digestoří ve všech bytech + odvětrání koupelen</t>
  </si>
  <si>
    <t xml:space="preserve">                             DPS Pod Lipami, Revoluční, U Jičínky - porevizní opravy hromosvodů </t>
  </si>
  <si>
    <t xml:space="preserve">                             DPS U Jičínky - oprava střechy (havarijní stav) </t>
  </si>
  <si>
    <t xml:space="preserve">                             DPS Pod Lipami - oprava balkónů havárie (40ks) I. Etapa vč. P</t>
  </si>
  <si>
    <r>
      <rPr>
        <sz val="10"/>
        <rFont val="Arial"/>
        <family val="2"/>
        <charset val="238"/>
      </rPr>
      <t xml:space="preserve">             </t>
    </r>
    <r>
      <rPr>
        <b/>
        <i/>
        <sz val="10"/>
        <rFont val="Arial"/>
        <family val="2"/>
        <charset val="238"/>
      </rPr>
      <t>úsek 3 (p. Pavelka):</t>
    </r>
  </si>
  <si>
    <t xml:space="preserve">                          - běžná údržba, nepředvídatelné opravy</t>
  </si>
  <si>
    <r>
      <rPr>
        <sz val="10"/>
        <rFont val="Arial"/>
        <family val="2"/>
        <charset val="238"/>
      </rPr>
      <t xml:space="preserve">            </t>
    </r>
    <r>
      <rPr>
        <b/>
        <i/>
        <sz val="10"/>
        <rFont val="Arial"/>
        <family val="2"/>
        <charset val="238"/>
      </rPr>
      <t xml:space="preserve"> úsek 4 - MPR (p. Saksová):  </t>
    </r>
  </si>
  <si>
    <t xml:space="preserve">                         - běžná údržba a opravy, výměny zařizovacích předmětů </t>
  </si>
  <si>
    <t xml:space="preserve">                         - akce úsek 4 celkem: </t>
  </si>
  <si>
    <t xml:space="preserve">                                      Dobrovského 5 - oprava pilířů a podloubí</t>
  </si>
  <si>
    <t xml:space="preserve">                                      MN 8/8 - oprava fasády  </t>
  </si>
  <si>
    <t xml:space="preserve">                                      Havlíčkova 8 - izolace spodní stavby proti vodě a vlhkosti</t>
  </si>
  <si>
    <t xml:space="preserve">                                      Havlíčkova 11 - částečná oprava fasády do výšky 1. patra</t>
  </si>
  <si>
    <t xml:space="preserve">                                      Úzká 17 - oprava + nátěr fasády, výměna vchodových dveří</t>
  </si>
  <si>
    <t xml:space="preserve">                                      Resslova 1 - výměna oken a oprava fasády PD </t>
  </si>
  <si>
    <t xml:space="preserve">                                      Opravy obsazených bytů (dle žádostí nájemců) </t>
  </si>
  <si>
    <t xml:space="preserve">             Bytový dům K Archívu 2 - opravy a údržba - org. 7518</t>
  </si>
  <si>
    <t xml:space="preserve">             domovníci (mzdy a odvody, AÚ 0800)</t>
  </si>
  <si>
    <r>
      <rPr>
        <sz val="10"/>
        <rFont val="Arial"/>
        <family val="2"/>
        <charset val="238"/>
      </rPr>
      <t xml:space="preserve">             </t>
    </r>
    <r>
      <rPr>
        <b/>
        <sz val="10"/>
        <rFont val="Arial"/>
        <family val="2"/>
        <charset val="238"/>
      </rPr>
      <t>služby</t>
    </r>
    <r>
      <rPr>
        <sz val="10"/>
        <rFont val="Arial"/>
        <family val="2"/>
        <charset val="238"/>
      </rPr>
      <t xml:space="preserve"> org. 0518 + 7518 (projektové dokumentace na opravy, úklidy,revize,výtahy, hasící technika,odečty,poruch.služba,fekálie,deratizace,čištění kanalizace,komíny, SBI - revize EPS EZS,...)</t>
    </r>
  </si>
  <si>
    <t xml:space="preserve">             příspěvek do fondu oprav v SVJ (kotelny Vančurova 16) (AÚ 0437, pol. 5192)</t>
  </si>
  <si>
    <r>
      <rPr>
        <sz val="10"/>
        <rFont val="Arial"/>
        <family val="2"/>
        <charset val="238"/>
      </rPr>
      <t xml:space="preserve">             náklady na </t>
    </r>
    <r>
      <rPr>
        <b/>
        <sz val="10"/>
        <rFont val="Arial"/>
        <family val="2"/>
        <charset val="238"/>
      </rPr>
      <t>energie</t>
    </r>
    <r>
      <rPr>
        <sz val="10"/>
        <rFont val="Arial"/>
        <family val="2"/>
        <charset val="238"/>
      </rPr>
      <t xml:space="preserve"> v bytových domech (vodné + stočné, teplo + TUV, plyn, elektřina)</t>
    </r>
  </si>
  <si>
    <t xml:space="preserve">             TSM  - požadavky Redmine, OB příspěvek - AÚ 0437, po. 5169</t>
  </si>
  <si>
    <t>Nebytové hospodářství</t>
  </si>
  <si>
    <t>Investice celkem:</t>
  </si>
  <si>
    <t xml:space="preserve">              Hückelovy vily (práce spojené s odstraněním dřevomorky) - dotace 4 mil. Kč - průběžně čerpáno</t>
  </si>
  <si>
    <t xml:space="preserve">              Hückelovy vily - zpracování studií vily J. Hückela, aktualizace vily  A. Hückela, studie areálu, spoluúčast na dotačních titulech</t>
  </si>
  <si>
    <t xml:space="preserve">              Kulturní a společenský dům PD - II.etapa příslib ZM 3.6.2019 = 44 mil. Kč)</t>
  </si>
  <si>
    <t xml:space="preserve">              Kulturní dům - vybudování trafostanice pro KD</t>
  </si>
  <si>
    <t xml:space="preserve">              Výletní lokalita Čerťák (novostavba kiosku a zázemí)</t>
  </si>
  <si>
    <t xml:space="preserve">              MŠ Bludovice - vybudování ČOV</t>
  </si>
  <si>
    <t xml:space="preserve">              Příspěvek na investice TSM (elektroinstalace-dílna oprav, montáž 4 ks sekčních vrat, rok 2021 ) - AÚ 0800, pol. 6331</t>
  </si>
  <si>
    <t xml:space="preserve">              Vybudování Spolkového domu Žilina</t>
  </si>
  <si>
    <t xml:space="preserve">              Hoblíkova - vybudování sestavy kontejnerů  a oprava garáže pro TS NJ vč. IS a zabezpečovacího systému </t>
  </si>
  <si>
    <t xml:space="preserve">              Suvorovova 152 - energetické úspory I. etapa = výměna oken, střecha (úvěr OF)</t>
  </si>
  <si>
    <t xml:space="preserve">              Kryté stání - rekonstrukce vnitřních prostor </t>
  </si>
  <si>
    <t xml:space="preserve">              Hotel Praha - WC u zadního vchodu PD vč.realizace </t>
  </si>
  <si>
    <t>Nákup DHDM pro org. 0518 - pol. 5137</t>
  </si>
  <si>
    <t>Nákup zboží (paragony)- pol. 5139</t>
  </si>
  <si>
    <r>
      <rPr>
        <i/>
        <sz val="10"/>
        <rFont val="Arial"/>
        <family val="2"/>
        <charset val="238"/>
      </rPr>
      <t xml:space="preserve">Náklady na energie - </t>
    </r>
    <r>
      <rPr>
        <sz val="10"/>
        <rFont val="Arial"/>
        <family val="2"/>
        <charset val="238"/>
      </rPr>
      <t>org. 0518, 2518, 8518, 5518</t>
    </r>
  </si>
  <si>
    <t xml:space="preserve">            - vodné a stočné (480+200+120)</t>
  </si>
  <si>
    <t xml:space="preserve">            - dodávka tepla - org. 0518</t>
  </si>
  <si>
    <t xml:space="preserve">            - plyn - org. 0518</t>
  </si>
  <si>
    <t xml:space="preserve">            - elektřina  (1500+20+80+100)</t>
  </si>
  <si>
    <t xml:space="preserve">Nákup ostatních služeb + provoz:  </t>
  </si>
  <si>
    <t>z toho: OV Žilina (PD na úpravu objektu bývalé ČOV na místnost pro zasedání OV)</t>
  </si>
  <si>
    <t xml:space="preserve">            Demolice objektů:  garáž  Žižkova, </t>
  </si>
  <si>
    <t xml:space="preserve">            Slovanská 3 - studie využitelnosti pro ZŠ Tyršova</t>
  </si>
  <si>
    <t xml:space="preserve">            služby + revize org. 0518 - nebytové domy (ČOV apod.)</t>
  </si>
  <si>
    <t xml:space="preserve">            služby + revize org. 2518 Hotel Praha (obsluha kotelny 100 + zpracování PD střecha nad kuchyní 200)převedeno na 3634</t>
  </si>
  <si>
    <t xml:space="preserve">            služby + revize  org. 5518 Kulturní a společenský dům</t>
  </si>
  <si>
    <t xml:space="preserve">            služby + revize org. 8518  Hűckelovy vily    dohody+odvody, revize EZS </t>
  </si>
  <si>
    <t xml:space="preserve">            dohody+odvody - Bludovice, Straník, Kojetín</t>
  </si>
  <si>
    <t xml:space="preserve">            provoz veřejných WC+WC u letního kina (obojí TSM 1550) AÚ 0800</t>
  </si>
  <si>
    <t xml:space="preserve">            TSM - požadavky Redmine, OB příspěvek - AÚ 0800, pol. 5169)</t>
  </si>
  <si>
    <t xml:space="preserve">            Hűckelovy vily - internetové připojení AÚ 0800, pol.5161</t>
  </si>
  <si>
    <t xml:space="preserve">            Hűckelovy vily - elektronické zabezpečení SBI + revize AÚ 0437, pol. 5169</t>
  </si>
  <si>
    <t xml:space="preserve">Opravy a údržba NP celkem </t>
  </si>
  <si>
    <t xml:space="preserve">              Příspěvek na TSM  výměna osvětlení budova TS 100.000 Kč, výměna VO v areálu 386.000 Kč) - AÚ 0800, pol. 6331</t>
  </si>
  <si>
    <t xml:space="preserve">             úsek 5 (p. Saksová):</t>
  </si>
  <si>
    <t xml:space="preserve">                         - běžné opravy a údržba:</t>
  </si>
  <si>
    <t xml:space="preserve">                         - akce úsek 5 celkem:</t>
  </si>
  <si>
    <t xml:space="preserve">                           Masarykovo nám. 15 - jídelna - oprava kuchyně a zázemí, vybudování WC </t>
  </si>
  <si>
    <t xml:space="preserve">                           Msgr. Šrámka 11 - zubní poliklinika - oprava padajících atik staré části budovy</t>
  </si>
  <si>
    <t xml:space="preserve">                           Sokolovská 9:   2020 = generální oprava střechy </t>
  </si>
  <si>
    <t xml:space="preserve">                           MN 15 - jídelna, doplnění o vzduchotechniku</t>
  </si>
  <si>
    <t xml:space="preserve">                           Dobrovského 5 - výměn oken nebytové prostory (čínská restaurace)</t>
  </si>
  <si>
    <t xml:space="preserve">                           Dolní brána 22 - rekonstrukce celé prodejny </t>
  </si>
  <si>
    <t xml:space="preserve">                           Tyršova 8 - oprava podlah, oprava radiátorů Reha komplex</t>
  </si>
  <si>
    <t xml:space="preserve">                           Sokolovská 9 - PD - fasády + sanace domu </t>
  </si>
  <si>
    <r>
      <rPr>
        <sz val="10"/>
        <rFont val="Arial"/>
        <family val="2"/>
        <charset val="238"/>
      </rPr>
      <t xml:space="preserve">             </t>
    </r>
    <r>
      <rPr>
        <b/>
        <i/>
        <sz val="10"/>
        <rFont val="Arial"/>
        <family val="2"/>
        <charset val="238"/>
      </rPr>
      <t>úsek 6 (p. Friedecká):</t>
    </r>
    <r>
      <rPr>
        <sz val="10"/>
        <rFont val="Arial"/>
        <family val="2"/>
        <charset val="238"/>
      </rPr>
      <t xml:space="preserve"> </t>
    </r>
  </si>
  <si>
    <t xml:space="preserve">                          - běžné opravy a údržba:</t>
  </si>
  <si>
    <t xml:space="preserve">                          - akce úsek 6 celkem:</t>
  </si>
  <si>
    <t xml:space="preserve">                                      MŠ Beruška (výměna sklepních oken + 7 ks interiérových dveří)</t>
  </si>
  <si>
    <t xml:space="preserve">                                      Masarykovo nám. 29-NC (oprava sociálního zařízení v přízemí)</t>
  </si>
  <si>
    <t xml:space="preserve">                                      Msgr. Šrámka 13 - oprava el.instalace, odvlhčení objektu)</t>
  </si>
  <si>
    <t xml:space="preserve">                                      Krytá stání Loučka (nepředvídané opravy)</t>
  </si>
  <si>
    <t xml:space="preserve">                                      Hala stolního tenisu (2020 - dílčí klimatizace)</t>
  </si>
  <si>
    <t xml:space="preserve">                                      Hala stolního tenisu zadání PD na odvodnění - havarijní stav</t>
  </si>
  <si>
    <t xml:space="preserve">                                      B. Martinů 4 - stavební úpravy bývalé kotelny na sklad pro TSM)</t>
  </si>
  <si>
    <t xml:space="preserve">                                      Beskydská 274 - zadání PD odvlhčení objektu, výměna vstupních dveří</t>
  </si>
  <si>
    <t xml:space="preserve">                                      Hotel Praha běžná údržba (světlík střecha PD)</t>
  </si>
  <si>
    <t xml:space="preserve">                                      Hűcklovy vily (oprava a údržba do doby rekonstrukce)</t>
  </si>
  <si>
    <t xml:space="preserve">                                      Suvorovova 152 - energetické úspory I. etapa = výměna oken, střecha</t>
  </si>
  <si>
    <t xml:space="preserve">Osadní výbory celkem:                                                                                       </t>
  </si>
  <si>
    <t>Straník 80 (vnitřní elektroinstalace, výmalba)</t>
  </si>
  <si>
    <t>SK Straník 147 (oprava střechy)</t>
  </si>
  <si>
    <t>Bludovice 13 - 2020 = běžné opravy</t>
  </si>
  <si>
    <t>Žilina</t>
  </si>
  <si>
    <t>Kojetín 7 - dílčí oprava objektu dle projektové dokumentace</t>
  </si>
  <si>
    <r>
      <rPr>
        <b/>
        <sz val="10"/>
        <rFont val="Arial"/>
        <family val="2"/>
        <charset val="238"/>
      </rPr>
      <t xml:space="preserve">Lokální zásobování teplem </t>
    </r>
    <r>
      <rPr>
        <sz val="10"/>
        <rFont val="Arial"/>
        <family val="2"/>
        <charset val="238"/>
      </rPr>
      <t>(tepelné hospodářství)</t>
    </r>
  </si>
  <si>
    <t>z toho:  nákup služeb - obsluha a revize kotelny Hotelu Praha + Suvorovova 152, revize  pol. 5169</t>
  </si>
  <si>
    <t>z toho opravy:  nepředvídané opravy havárií teplovodů Smetanovy Sady a Pod Lipami</t>
  </si>
  <si>
    <t xml:space="preserve">             nepředvídané opravy tepelného hospodářství</t>
  </si>
  <si>
    <t xml:space="preserve">             opravy kotelen - sanace, opravy střechy, omítek (dosud hrazeno z 3613)</t>
  </si>
  <si>
    <t xml:space="preserve">z toho: investice celkem </t>
  </si>
  <si>
    <t xml:space="preserve">             Projektové dokumentace 4 kotelen (HP, Suvorovova 152, teplovod Nádražní, teplovod Jičínská) </t>
  </si>
  <si>
    <t xml:space="preserve">             Projektové dokumentace 4 kotelen a teplovodu  (Mendelova, Luční 2,3,4 a teplovod Loučka 6) </t>
  </si>
  <si>
    <t xml:space="preserve">             Energetické posouzení  kotelny</t>
  </si>
  <si>
    <t xml:space="preserve">             Modernizace kotelny Loučka - výměna hořáku a výměna 2 ks kotlů</t>
  </si>
  <si>
    <t xml:space="preserve">             Modernizace kotelny Bulharská - dokončení z roku 2019</t>
  </si>
  <si>
    <t xml:space="preserve">             Modernizace kotelny Vančurova</t>
  </si>
  <si>
    <t xml:space="preserve">             Modernizace kotelny v DPS U Jičínky 25 (dotace)</t>
  </si>
  <si>
    <t xml:space="preserve">             Modernizace kotelny Zimní stadion (dotace)</t>
  </si>
  <si>
    <t xml:space="preserve">             Projektová dokumentace 2 teplovodů Loučka 6, I. Etapa a II. Etapa</t>
  </si>
  <si>
    <t xml:space="preserve">             Modernizace kotelny Poděbradova (org.0516 pol.6122)</t>
  </si>
  <si>
    <t xml:space="preserve">             Modernizace kotelny Dlouhá (org.0516 pol.6122)</t>
  </si>
  <si>
    <t xml:space="preserve">             Modernizace kotelny Trlicova (org.0516 pol.6122)</t>
  </si>
  <si>
    <t xml:space="preserve">             Modernizace kotelny K Nemocnici (org.0516 pol.6122)</t>
  </si>
  <si>
    <t xml:space="preserve">             Modernizace kotelny Hotel Praha (org.0516 pol.6122)</t>
  </si>
  <si>
    <t xml:space="preserve">             Rekonstrukce teplovod ul. Nádražní 21,23,26 v úseku 140 m</t>
  </si>
  <si>
    <t xml:space="preserve">             Rekonstrukce teplovodu na ul.  Jičínská 212 a 221 v úseku 25 m</t>
  </si>
  <si>
    <t xml:space="preserve">             Dodávka 62 ks nerezových zásobníků teplé vody  do kotelen a odběrných předávacích stanic v domech</t>
  </si>
  <si>
    <t>Ostatní záležitosti bydlení, komunálních služeb a územního rozvoje</t>
  </si>
  <si>
    <t xml:space="preserve">             sklad vyklizeného nábytku - Žilina (elektřina 4, služby-vystěhování a likvidace nevyzvednutých věcí 6)</t>
  </si>
  <si>
    <r>
      <rPr>
        <b/>
        <sz val="10"/>
        <rFont val="Arial"/>
        <family val="2"/>
        <charset val="238"/>
      </rPr>
      <t xml:space="preserve">Osobní asistence, pečovatelská služba a podpora samostatného bydlení </t>
    </r>
    <r>
      <rPr>
        <sz val="10"/>
        <rFont val="Arial"/>
        <family val="2"/>
        <charset val="238"/>
      </rPr>
      <t>(DPS-telefony, AÚ 0800)</t>
    </r>
  </si>
  <si>
    <r>
      <rPr>
        <sz val="10"/>
        <rFont val="Arial"/>
        <family val="2"/>
        <charset val="238"/>
      </rPr>
      <t>z toho: opravy a údržba celkem</t>
    </r>
    <r>
      <rPr>
        <sz val="9"/>
        <rFont val="Arial"/>
        <family val="2"/>
        <charset val="238"/>
      </rPr>
      <t xml:space="preserve"> (nejnutnější akce)                                                                                     </t>
    </r>
  </si>
  <si>
    <t xml:space="preserve">            Azylový dům Nový Jičín (odvlhčení, vstupní dveře, brána)</t>
  </si>
  <si>
    <t xml:space="preserve">            Azylový dům Straník (PD - oprava vnitřních prostor)</t>
  </si>
  <si>
    <t>Činnost místní správy</t>
  </si>
  <si>
    <t>z toho: komplexní řízení energetiky - energ. management PORSENA</t>
  </si>
  <si>
    <t xml:space="preserve">           výběr dodavatele elektřiny na komoditní burze</t>
  </si>
  <si>
    <t xml:space="preserve">            Energetické audity (PENB, měření jističů)</t>
  </si>
  <si>
    <t xml:space="preserve">            Optimalizace domovních jističů a VO dle PD</t>
  </si>
  <si>
    <t xml:space="preserve">            Průkazy energetické náročnosti </t>
  </si>
  <si>
    <r>
      <rPr>
        <b/>
        <sz val="10"/>
        <rFont val="Arial CE"/>
        <family val="2"/>
        <charset val="238"/>
      </rPr>
      <t xml:space="preserve">Ostatní správa v průmyslu, stavebnictví, obchodu a službách </t>
    </r>
    <r>
      <rPr>
        <sz val="9"/>
        <rFont val="Arial CE"/>
        <family val="2"/>
        <charset val="238"/>
      </rPr>
      <t>(stavební úřad)</t>
    </r>
  </si>
  <si>
    <r>
      <rPr>
        <sz val="10"/>
        <rFont val="Arial CE"/>
        <charset val="238"/>
      </rPr>
      <t xml:space="preserve">z toho: konzultační, poradenské a právní služby </t>
    </r>
    <r>
      <rPr>
        <sz val="9"/>
        <rFont val="Arial CE"/>
        <charset val="238"/>
      </rPr>
      <t>(znalecké posudky)</t>
    </r>
  </si>
  <si>
    <r>
      <rPr>
        <sz val="10"/>
        <rFont val="Arial CE"/>
        <charset val="238"/>
      </rPr>
      <t xml:space="preserve">             nákup ostatních služeb </t>
    </r>
    <r>
      <rPr>
        <sz val="9"/>
        <rFont val="Arial CE"/>
        <charset val="238"/>
      </rPr>
      <t>(revize, odborné služby, doprava aj.)</t>
    </r>
  </si>
  <si>
    <t xml:space="preserve">             platby daní a poplatků státnímu rozpočtu</t>
  </si>
  <si>
    <t>vrácení peněžních prostředků (srpávní poplatek z r. 2019)</t>
  </si>
  <si>
    <t>Územní plánování</t>
  </si>
  <si>
    <t>z toho: územní studie</t>
  </si>
  <si>
    <t xml:space="preserve">            územně analytické podklady</t>
  </si>
  <si>
    <t xml:space="preserve">            změny územního plánu města</t>
  </si>
  <si>
    <t xml:space="preserve">            regulační plán (MPR NJ)</t>
  </si>
  <si>
    <t>041 - Dotace, návratné finanční výpomoci a dary cizím subjektům</t>
  </si>
  <si>
    <r>
      <rPr>
        <b/>
        <sz val="10"/>
        <rFont val="Arial CE"/>
        <family val="2"/>
        <charset val="238"/>
      </rPr>
      <t xml:space="preserve">Dotace, návratné finanční výpomoci a dary cizím subjektům </t>
    </r>
    <r>
      <rPr>
        <sz val="9"/>
        <rFont val="Arial CE"/>
        <charset val="238"/>
      </rPr>
      <t>(estetizace)</t>
    </r>
  </si>
  <si>
    <r>
      <rPr>
        <sz val="9"/>
        <rFont val="Arial CE"/>
        <charset val="238"/>
      </rPr>
      <t>231410/741/</t>
    </r>
    <r>
      <rPr>
        <b/>
        <sz val="9"/>
        <rFont val="Arial CE"/>
        <charset val="238"/>
      </rPr>
      <t>2219</t>
    </r>
    <r>
      <rPr>
        <sz val="9"/>
        <rFont val="Arial CE"/>
        <charset val="238"/>
      </rPr>
      <t>/5329</t>
    </r>
  </si>
  <si>
    <r>
      <rPr>
        <b/>
        <sz val="10"/>
        <rFont val="Arial CE"/>
        <family val="2"/>
        <charset val="238"/>
      </rPr>
      <t xml:space="preserve">Ostatní záležitosti pozemních komunikací </t>
    </r>
    <r>
      <rPr>
        <sz val="9"/>
        <rFont val="Arial CE"/>
        <family val="2"/>
        <charset val="238"/>
      </rPr>
      <t>(členství v DSO Cyklostezka 2020: 50, 2021: 10)</t>
    </r>
  </si>
  <si>
    <r>
      <rPr>
        <sz val="9"/>
        <rFont val="Arial CE"/>
        <charset val="238"/>
      </rPr>
      <t>231410/741/</t>
    </r>
    <r>
      <rPr>
        <b/>
        <sz val="9"/>
        <rFont val="Arial CE"/>
        <charset val="238"/>
      </rPr>
      <t>2321</t>
    </r>
    <r>
      <rPr>
        <sz val="9"/>
        <rFont val="Arial CE"/>
        <charset val="238"/>
      </rPr>
      <t>/5329                                                                                                                                                                                                                                                                                                                                                                                                                                                                                                                         231440/741/</t>
    </r>
    <r>
      <rPr>
        <b/>
        <sz val="9"/>
        <rFont val="Arial CE"/>
        <charset val="238"/>
      </rPr>
      <t>2321</t>
    </r>
    <r>
      <rPr>
        <sz val="9"/>
        <rFont val="Arial CE"/>
        <charset val="238"/>
      </rPr>
      <t>/5169</t>
    </r>
  </si>
  <si>
    <r>
      <rPr>
        <b/>
        <sz val="10"/>
        <rFont val="Arial CE"/>
        <family val="2"/>
        <charset val="238"/>
      </rPr>
      <t xml:space="preserve">Odvádění odpadních vod </t>
    </r>
    <r>
      <rPr>
        <sz val="9"/>
        <rFont val="Arial CE"/>
        <charset val="238"/>
      </rPr>
      <t>(2020: splátky úvěru 605.212,92 Kč (na pol. 8901), úrok z úvěru 12.860,75 Kč, poměrná část 25% na provoz DSO dle mandátní smlouvy 242,5,                                                                                                                                                                                                                                                                              2021: splátky úvěru 605.212,92 Kč, úrok z úvěru 6.808,62 Kč, poměrná část 25% na provoz DSO dle mandátní smlouvy 242,5)</t>
    </r>
  </si>
  <si>
    <r>
      <rPr>
        <b/>
        <sz val="10"/>
        <rFont val="Arial CE"/>
        <family val="2"/>
        <charset val="238"/>
      </rPr>
      <t>Ostatní výdaje z finančního vypořádání</t>
    </r>
    <r>
      <rPr>
        <sz val="9"/>
        <rFont val="Arial CE"/>
        <charset val="238"/>
      </rPr>
      <t xml:space="preserve"> (dopl.energií 2019 - org. 0322+0323)</t>
    </r>
  </si>
  <si>
    <r>
      <rPr>
        <b/>
        <sz val="10"/>
        <rFont val="Arial CE"/>
        <family val="2"/>
        <charset val="238"/>
      </rPr>
      <t>Ostatní výdaje z finančního vypořádání</t>
    </r>
    <r>
      <rPr>
        <sz val="9"/>
        <rFont val="Arial CE"/>
        <charset val="238"/>
      </rPr>
      <t xml:space="preserve"> (vyrovnání ztráty 2018-Beskydské divadlo)</t>
    </r>
  </si>
  <si>
    <r>
      <rPr>
        <b/>
        <sz val="10"/>
        <rFont val="Arial CE"/>
        <family val="2"/>
        <charset val="238"/>
      </rPr>
      <t>Ostatní výdaje z finančního vypořádání</t>
    </r>
    <r>
      <rPr>
        <sz val="9"/>
        <rFont val="Arial CE"/>
        <charset val="238"/>
      </rPr>
      <t xml:space="preserve"> (vyrovnání ztráty 2019-MěKS)</t>
    </r>
  </si>
  <si>
    <r>
      <rPr>
        <b/>
        <sz val="10"/>
        <rFont val="Arial CE"/>
        <family val="2"/>
        <charset val="238"/>
      </rPr>
      <t>Finanční vypořádání Veolia Energie ČR</t>
    </r>
    <r>
      <rPr>
        <b/>
        <sz val="9"/>
        <rFont val="Arial CE"/>
        <charset val="238"/>
      </rPr>
      <t xml:space="preserve"> </t>
    </r>
    <r>
      <rPr>
        <sz val="9"/>
        <rFont val="Arial CE"/>
        <charset val="238"/>
      </rPr>
      <t>(dle fakturace skutečně odebraného množství GJ 2016-2018)</t>
    </r>
  </si>
  <si>
    <t>Komunální služby a územní rozvoj</t>
  </si>
  <si>
    <r>
      <rPr>
        <sz val="10"/>
        <rFont val="Arial CE"/>
        <charset val="238"/>
      </rPr>
      <t xml:space="preserve">z toho: platby daní a poplatků </t>
    </r>
    <r>
      <rPr>
        <sz val="9"/>
        <rFont val="Arial CE"/>
        <charset val="238"/>
      </rPr>
      <t>(soudní poplatky, realizace exekucí, ...)</t>
    </r>
  </si>
  <si>
    <r>
      <rPr>
        <b/>
        <sz val="10"/>
        <rFont val="Arial CE"/>
        <family val="2"/>
        <charset val="238"/>
      </rPr>
      <t xml:space="preserve">Činnost místní správy </t>
    </r>
    <r>
      <rPr>
        <sz val="9"/>
        <rFont val="Arial CE"/>
        <charset val="238"/>
      </rPr>
      <t>(2020 i 2021: daňové poradenství+odb.konzultace 200)</t>
    </r>
  </si>
  <si>
    <r>
      <rPr>
        <b/>
        <sz val="10"/>
        <rFont val="Arial CE"/>
        <family val="2"/>
        <charset val="238"/>
      </rPr>
      <t>Výdaje z finančních operací</t>
    </r>
    <r>
      <rPr>
        <b/>
        <sz val="9"/>
        <rFont val="Arial CE"/>
        <charset val="238"/>
      </rPr>
      <t xml:space="preserve"> </t>
    </r>
    <r>
      <rPr>
        <sz val="9"/>
        <rFont val="Arial CE"/>
        <charset val="238"/>
      </rPr>
      <t>(bankovní poplatky za vedení účtů a položky)</t>
    </r>
  </si>
  <si>
    <t>Ostatní finanční operace</t>
  </si>
  <si>
    <r>
      <rPr>
        <sz val="10"/>
        <rFont val="Arial CE"/>
        <family val="2"/>
        <charset val="238"/>
      </rPr>
      <t xml:space="preserve">z toho: daň z příjmů právnických osob za obec </t>
    </r>
    <r>
      <rPr>
        <sz val="9"/>
        <rFont val="Arial CE"/>
        <charset val="238"/>
      </rPr>
      <t>(stejná výše je uvedena i v příjmech na pol. 1122)</t>
    </r>
  </si>
  <si>
    <t xml:space="preserve">             daň z přidané hodnoty za obec </t>
  </si>
  <si>
    <t xml:space="preserve">Finanční vypořádání minulých let </t>
  </si>
  <si>
    <t xml:space="preserve">z toho: vratka části nevyčerpané neinv.dotace 2019 Program na podporu zvýšení kvality soc.služeb poskytovaných v MSK </t>
  </si>
  <si>
    <t xml:space="preserve">            vratka části nevyčerpané neinv.dotace 2019 OP VVV - Šablony I - MŠ Trojlístek</t>
  </si>
  <si>
    <t xml:space="preserve">            vratka části nevyčerpané neinv.dotace 2019 OP VVV - Šablony I - ZŠ+MŠ Jub </t>
  </si>
  <si>
    <t xml:space="preserve">            vratka části nevyčerpané neinv.dotace 2019 OP VVV - Šablony I - ZŠ K68 </t>
  </si>
  <si>
    <t xml:space="preserve">            vratka části nevyčerpané neinv.dotace 2019 Efektivní systém plánování soc.služeb prostř.komunitního plán II</t>
  </si>
  <si>
    <t>Ostatní činnosti j.n.</t>
  </si>
  <si>
    <t xml:space="preserve">z toho: rozpočtová rezerva </t>
  </si>
  <si>
    <r>
      <rPr>
        <sz val="10"/>
        <rFont val="Arial CE"/>
        <family val="2"/>
        <charset val="238"/>
      </rPr>
      <t xml:space="preserve">            členství města ve svazech a sdruž. </t>
    </r>
    <r>
      <rPr>
        <sz val="9"/>
        <rFont val="Arial CE"/>
        <charset val="238"/>
      </rPr>
      <t>(org.1010): r. 2020: Partnerství pro městskou mobilitu (bývalá Asociace cykloměst) 5, MAS Lašsko 80, Národní síť zdravých měst 44,7735, Svaz měst a obcí 76,89776, Sdružení historických sídel 28,195, EUROREGION SILESIA-CZ 58,74, ...)</t>
    </r>
  </si>
  <si>
    <t xml:space="preserve">           § 3612 bytové hospodářství (odbor bytový)</t>
  </si>
  <si>
    <t xml:space="preserve">           § 3613 nebytové hospodářství (odbor bytový)</t>
  </si>
  <si>
    <t xml:space="preserve">           § 4399 ostatní záležitosti soc.věcí a politiky zaměstnanosti</t>
  </si>
  <si>
    <t xml:space="preserve">             bytový dům Dolní Brána 26</t>
  </si>
  <si>
    <t xml:space="preserve">             bytový dům Hluboká 188</t>
  </si>
  <si>
    <t xml:space="preserve">           služby - čištění vodní toků</t>
  </si>
  <si>
    <t xml:space="preserve">           opravy a udržování</t>
  </si>
  <si>
    <t>0517/2219/6351</t>
  </si>
  <si>
    <t>0386/2219/5164</t>
  </si>
  <si>
    <t xml:space="preserve">             opravy a údržba chodníků</t>
  </si>
  <si>
    <t>0386/2221/6121</t>
  </si>
  <si>
    <t xml:space="preserve">             Přístřešek na autobusové zastávce  na ul. Gregorova u zdravotního střediska </t>
  </si>
  <si>
    <t xml:space="preserve">            platby poplatky </t>
  </si>
  <si>
    <t xml:space="preserve">             Dětská hřiště - příspěvek na údržbu a opravy (TSM)</t>
  </si>
  <si>
    <t xml:space="preserve">             Dětská hřiště  - drobný hmotný dlouhodobý majetek</t>
  </si>
  <si>
    <t xml:space="preserve">                                      - nákup materiálu j.n.</t>
  </si>
  <si>
    <t xml:space="preserve">                                      - služby, revize, kontroly</t>
  </si>
  <si>
    <t>0382/3421/6121</t>
  </si>
  <si>
    <t xml:space="preserve">              drobný hmotný dlouhodobý majetek</t>
  </si>
  <si>
    <t xml:space="preserve">              nákup materiálu j.n.</t>
  </si>
  <si>
    <t xml:space="preserve">              elektrická energie (MN sloupky, fontány, letní kino)</t>
  </si>
  <si>
    <t xml:space="preserve">              služby, revize, prohlídky</t>
  </si>
  <si>
    <t xml:space="preserve">             VO - příspěvek na údržbu a opravy TSM</t>
  </si>
  <si>
    <t xml:space="preserve">             služby, revize, prohlídky</t>
  </si>
  <si>
    <t xml:space="preserve">             opravy a údržba</t>
  </si>
  <si>
    <t xml:space="preserve"> investice - inv. příspěvky TSM</t>
  </si>
  <si>
    <t xml:space="preserve">             hřbitovy -  příspěvek na údržbu a opravy TSM</t>
  </si>
  <si>
    <t>ORJ 6xx - Odbor rozvoje a investic</t>
  </si>
  <si>
    <t>5429/2321/6121</t>
  </si>
  <si>
    <t>5428/2212/6121</t>
  </si>
  <si>
    <t>5442/2212/6121</t>
  </si>
  <si>
    <t>5444/2219/6121</t>
  </si>
  <si>
    <t>5445/2219/6121</t>
  </si>
  <si>
    <t>5446/2219/6121</t>
  </si>
  <si>
    <t>5448/2219/6121</t>
  </si>
  <si>
    <t>5450/2219/6121</t>
  </si>
  <si>
    <t xml:space="preserve">                    Regenerace PS Nerudova, etážové stání  PD</t>
  </si>
  <si>
    <t>5452/2219/6121</t>
  </si>
  <si>
    <t>5458/2219/6121</t>
  </si>
  <si>
    <t>5455/2221/6121</t>
  </si>
  <si>
    <t xml:space="preserve">                    Autobusová zastávka Straník p.č. 191/45 PD</t>
  </si>
  <si>
    <t xml:space="preserve">                    Dohody (odměny) - architektonická soutěž Hala Jičínka</t>
  </si>
  <si>
    <t xml:space="preserve">                   Provozní objekt (šatny) pro sportovní areál PD</t>
  </si>
  <si>
    <t xml:space="preserve">                   Multifunkční hřiště ve sportovním areálu PD</t>
  </si>
  <si>
    <t>5457/3412/6121</t>
  </si>
  <si>
    <t xml:space="preserve">             dokrytí ztráty za provozovaní autobusového spojení Hranice na Moravě </t>
  </si>
  <si>
    <t xml:space="preserve">             KODIS – revize MHD</t>
  </si>
  <si>
    <t xml:space="preserve">                                                na údržbu MŠ </t>
  </si>
  <si>
    <t xml:space="preserve">                                                na investice</t>
  </si>
  <si>
    <t>Up-grade informačního systému památek (okolonas.eu)</t>
  </si>
  <si>
    <t xml:space="preserve">               Klub seniorů Straník (org. 2383)</t>
  </si>
  <si>
    <t xml:space="preserve">               Klub seniorů Loučka (org. 3383)</t>
  </si>
  <si>
    <t xml:space="preserve">               Kavárničky - setkání seniorů v DPS (org. 3393)</t>
  </si>
  <si>
    <t xml:space="preserve">z toho: Zelené město </t>
  </si>
  <si>
    <t>031 - Dotace, návratné finanční výpomoci a dary cizím subjektům</t>
  </si>
  <si>
    <t xml:space="preserve">   Zimní stadión: org. 0522</t>
  </si>
  <si>
    <t xml:space="preserve">             - Řídící systém chlazení ledové plochy </t>
  </si>
  <si>
    <t xml:space="preserve">             - příspěvek Hokejovému klubu, z.s. (provoz+energie)         AÚ 437</t>
  </si>
  <si>
    <t xml:space="preserve">                          - běžná údržba a opravy, výměny zařizovacích předmětů </t>
  </si>
  <si>
    <t xml:space="preserve">             příspěvek do fondu oprav v SVJ (kotelny Vančurova 16, Dlouhá 45, Mendelova 8) ( pol. 5192)</t>
  </si>
  <si>
    <t xml:space="preserve">Nákup zboží (paragony)- pol. 5139 </t>
  </si>
  <si>
    <t xml:space="preserve">              Hotel Praha - WC u zadního vchodu -realizace </t>
  </si>
  <si>
    <t>Nákup DHDM pro org. 0518,8518 - pol. 5137</t>
  </si>
  <si>
    <t>Nákup zboží (paragony)- pol. 5139 (50 tis. 0518, 30 tis. 8518)</t>
  </si>
  <si>
    <t>Náklady na energie - org. 0518, 2518, 8518, 5518</t>
  </si>
  <si>
    <t xml:space="preserve">                         - akce úsek MPR  celkem:</t>
  </si>
  <si>
    <t xml:space="preserve">                                      Hückelovy vily - oprava vrátnice </t>
  </si>
  <si>
    <t xml:space="preserve">                                      Jiráskova - hala Boban, zázemí tenisových kurtů (záchovná údržba)</t>
  </si>
  <si>
    <t>Lokální zásobování teplem (tepelné hospodářství)</t>
  </si>
  <si>
    <t>Osobní asistence, pečovatelská služba a podpora samostatného bydlení (DPS-telefony, AÚ 0800)</t>
  </si>
  <si>
    <t xml:space="preserve">z toho: opravy a údržba celkem (nejnutnější akce)                                                                                     </t>
  </si>
  <si>
    <t xml:space="preserve">            Energetické dokumentace (EA, PENB, energetický posudek dle požadavku dotací)</t>
  </si>
  <si>
    <t>3322</t>
  </si>
  <si>
    <t>3326</t>
  </si>
  <si>
    <r>
      <t xml:space="preserve">z toho: veřejně prospěšné práce </t>
    </r>
    <r>
      <rPr>
        <sz val="9"/>
        <rFont val="Arial CE"/>
        <family val="2"/>
        <charset val="238"/>
      </rPr>
      <t>(TSM)</t>
    </r>
  </si>
  <si>
    <t>z toho: investice celkem (TSM)</t>
  </si>
  <si>
    <t xml:space="preserve">             opravy autobusových přístřešků</t>
  </si>
  <si>
    <t xml:space="preserve">            elektrická energie (zvonění kaple Kojetín, Bludovice, Straník) </t>
  </si>
  <si>
    <r>
      <t>031/</t>
    </r>
    <r>
      <rPr>
        <b/>
        <sz val="9"/>
        <rFont val="Arial CE"/>
        <charset val="238"/>
      </rPr>
      <t>2321</t>
    </r>
    <r>
      <rPr>
        <sz val="9"/>
        <rFont val="Arial CE"/>
        <charset val="238"/>
      </rPr>
      <t>/6371</t>
    </r>
  </si>
  <si>
    <r>
      <t>031/</t>
    </r>
    <r>
      <rPr>
        <b/>
        <sz val="9"/>
        <rFont val="Arial CE"/>
        <charset val="238"/>
      </rPr>
      <t>3634</t>
    </r>
    <r>
      <rPr>
        <sz val="9"/>
        <rFont val="Arial CE"/>
        <charset val="238"/>
      </rPr>
      <t>/6371</t>
    </r>
  </si>
  <si>
    <t xml:space="preserve">             sklepy Štefánikova</t>
  </si>
  <si>
    <t>ORJ 011 - Návštěvnické centrum - město klobouků</t>
  </si>
  <si>
    <t>z toho:   Klub seniorů Nový Jičín (org. 0383)</t>
  </si>
  <si>
    <t xml:space="preserve">               25. výročí pečovatelské služby v Novém Jičíně - ProSenior</t>
  </si>
  <si>
    <t>Rezerva</t>
  </si>
  <si>
    <t>z toho: věcné dary/nákup materiálu (státní příspěvek na výkon SPOD) ÚZ 13024, org. 1385</t>
  </si>
  <si>
    <t xml:space="preserve">             podpora dostupnosti stomatologické péče ve městě Nový Jičín</t>
  </si>
  <si>
    <t xml:space="preserve">             individuální dotace z IP kraje 2022+ -Charita AD 1.644.000, Sl.Diakonie Soc.reh. 596.000, Jinak Podpora sam.bydlení 70.000</t>
  </si>
  <si>
    <t>Střední odborné školy (EDUCA) - běžné opravy 100, zápočet investic a nájmu 303</t>
  </si>
  <si>
    <t xml:space="preserve">   Sportovní hala s bazénem: org. 0515</t>
  </si>
  <si>
    <t xml:space="preserve">Areál krytého bazénu:  - instalace předokenních žaluzií na JZ stěnu budovy </t>
  </si>
  <si>
    <t xml:space="preserve">         - v tom:     nepředvídané opravy</t>
  </si>
  <si>
    <t xml:space="preserve">Areál krytého bazénu: - výměna žaluzie v přívodním tunelu vzduchotechniky s aut.posuvem filtrační tkaniny </t>
  </si>
  <si>
    <t xml:space="preserve">                                      - oprava zázemí údržby</t>
  </si>
  <si>
    <t xml:space="preserve">                                      - výměna vstupních dveří do bazénu - pokladna </t>
  </si>
  <si>
    <t xml:space="preserve">                                      - oprava kuchyně restaurace </t>
  </si>
  <si>
    <t xml:space="preserve">                                      - oprava čisté chodby </t>
  </si>
  <si>
    <t xml:space="preserve">          - služby pol. 5169 (PD, posudky, studie)</t>
  </si>
  <si>
    <t xml:space="preserve">             - služby pol. 5169 (PD, posudky, studie)</t>
  </si>
  <si>
    <t xml:space="preserve">            - sekční garážová vrata do strojovny </t>
  </si>
  <si>
    <t xml:space="preserve">           PD - investice, realizace do 1 mil. Kč </t>
  </si>
  <si>
    <t xml:space="preserve">                          - realizace oprav střech, fasád, odvlhčení domů ve správě OB (do 1 mil. Kč)</t>
  </si>
  <si>
    <t xml:space="preserve">                             DPS Pod Lipami - oprava balkónů II. etapa 1/2</t>
  </si>
  <si>
    <t xml:space="preserve">                             DPS  Revoluční 6 - opravy hromosvodů </t>
  </si>
  <si>
    <t xml:space="preserve">                             DPS Pod Lipami 19 - výměna oken ve společných prostorách + 3ks vstupních dveří </t>
  </si>
  <si>
    <t xml:space="preserve">                             Výmalba společných prostor a schodišť (Bulharská 9,7,11,13,15,17 + Luční 2,3,4)</t>
  </si>
  <si>
    <t>Náklady na energie - org. 0518</t>
  </si>
  <si>
    <t xml:space="preserve">            - vodné a stočné</t>
  </si>
  <si>
    <t xml:space="preserve">            - dodávka tepla </t>
  </si>
  <si>
    <t xml:space="preserve">            - plyn</t>
  </si>
  <si>
    <t xml:space="preserve">            - elektřina </t>
  </si>
  <si>
    <t xml:space="preserve">              Hotel Praha - realizace střešního světlíku nad kuchyní </t>
  </si>
  <si>
    <t xml:space="preserve">              Straník 80 - realizace ČOV</t>
  </si>
  <si>
    <t xml:space="preserve">            služby + revize org. 2518 Hotel Praha </t>
  </si>
  <si>
    <t xml:space="preserve">            dohody Hückelovy vily AÚ 0800</t>
  </si>
  <si>
    <t xml:space="preserve">             úsek 5 (p. Friedecká): </t>
  </si>
  <si>
    <t xml:space="preserve">                                      Střecha tržnice - nátěr ocelových konstrukcí a oprava podlah (WC a kancelář)</t>
  </si>
  <si>
    <t xml:space="preserve">                             - osadní výbory celkem:                                                                                       </t>
  </si>
  <si>
    <t>z toho:  nákup služeb - obsluha a revize kotelny Hotelu Praha + Suvorovova 152 + Dům k Archivu 2, revize  pol. 5169</t>
  </si>
  <si>
    <t xml:space="preserve">            Azylový dům Straník (provizorní oprava podlah 40, nepředvídatelné opravy 100)</t>
  </si>
  <si>
    <r>
      <t xml:space="preserve">              § 4351 v domech s pečovatelskou službou </t>
    </r>
    <r>
      <rPr>
        <sz val="9"/>
        <rFont val="Arial CE"/>
        <family val="2"/>
        <charset val="238"/>
      </rPr>
      <t>(nájmy: krátkodobé 20)</t>
    </r>
  </si>
  <si>
    <t xml:space="preserve">             § 3612 smluvní pokuta bytové domy </t>
  </si>
  <si>
    <t xml:space="preserve">                  PD stavebnicový dvůr (rozvod el. energ., kamerový systém)</t>
  </si>
  <si>
    <t xml:space="preserve">                  Komunální technika - kombinace na léto a zimu (zametač a sypač s pluhem)</t>
  </si>
  <si>
    <t xml:space="preserve">             oprava a údržba mostů (dle mostních prohlídek)</t>
  </si>
  <si>
    <t xml:space="preserve">             Parkoviště Žilina, u kostela (p.č. 673/2)</t>
  </si>
  <si>
    <t xml:space="preserve">             Kontejnerová stání</t>
  </si>
  <si>
    <t xml:space="preserve">             služby - PD k opravám</t>
  </si>
  <si>
    <t>0513/3341/6121</t>
  </si>
  <si>
    <t xml:space="preserve">                    VO Skalky</t>
  </si>
  <si>
    <t>5478/3631/6121</t>
  </si>
  <si>
    <t xml:space="preserve">                    VO Straník PD</t>
  </si>
  <si>
    <t>5480/3631/6121</t>
  </si>
  <si>
    <t xml:space="preserve">                    VO K. Schwarze PD</t>
  </si>
  <si>
    <t>5481/3631/6121</t>
  </si>
  <si>
    <t xml:space="preserve">                    VO Zborovská PD</t>
  </si>
  <si>
    <t xml:space="preserve">                    PD ke GO smuteční síně a márnice</t>
  </si>
  <si>
    <t>0517/3613/5331</t>
  </si>
  <si>
    <t xml:space="preserve">             hřbitovy -  příspěvek na dokončení opravy hřbitovní zdi</t>
  </si>
  <si>
    <t>Humanitární zahraniční pomoc přímá</t>
  </si>
  <si>
    <t>Zastupitelstva obcí, org. 3381</t>
  </si>
  <si>
    <r>
      <t xml:space="preserve">Ochrana obyvatelstva </t>
    </r>
    <r>
      <rPr>
        <sz val="9"/>
        <rFont val="Arial CE"/>
        <charset val="238"/>
      </rPr>
      <t>(letáky+uživat.příručky 1, DHM 20, zpracování dat-data hosting, GSM přenosy 35, systém varování před povodněmi-hladinoměry dle servisní smlouvy 24, opravy a udržování systému varování před povodněmi 30)</t>
    </r>
  </si>
  <si>
    <r>
      <t>Pojištění funkčně nespecifikované</t>
    </r>
    <r>
      <rPr>
        <sz val="9"/>
        <rFont val="Arial CE"/>
        <family val="2"/>
        <charset val="238"/>
      </rPr>
      <t xml:space="preserve"> (pojištění 1500, náhrady za nezpůsobenou újmu 50)</t>
    </r>
  </si>
  <si>
    <r>
      <t>Ostatní výdaje z finančního vypořádání</t>
    </r>
    <r>
      <rPr>
        <sz val="9"/>
        <rFont val="Arial CE"/>
        <charset val="238"/>
      </rPr>
      <t xml:space="preserve"> </t>
    </r>
  </si>
  <si>
    <t xml:space="preserve">                     Most Dolní Brána (U Laposu  - Grasmanka) PD</t>
  </si>
  <si>
    <t xml:space="preserve">                     Propustek Straník 61 (cesta ke hřbitovu) PD</t>
  </si>
  <si>
    <t>5460/2219/6121</t>
  </si>
  <si>
    <t>5461/2219/6121</t>
  </si>
  <si>
    <t>5462/2219/6121</t>
  </si>
  <si>
    <t>5463/2219/6121</t>
  </si>
  <si>
    <t>5464/2219/6121</t>
  </si>
  <si>
    <t>5465/2219/6121</t>
  </si>
  <si>
    <t>5466/2219/6121</t>
  </si>
  <si>
    <t>5467/2219/6121</t>
  </si>
  <si>
    <t>5468/2219/6121</t>
  </si>
  <si>
    <t xml:space="preserve">                    Revitalizace veřejného prostranství Horního nádraží PD</t>
  </si>
  <si>
    <t>5469/2219/6121</t>
  </si>
  <si>
    <t>5470/2219/6121</t>
  </si>
  <si>
    <t xml:space="preserve">                    Autobusová zastávka Riegrova</t>
  </si>
  <si>
    <t xml:space="preserve">614 - Školství - Akce OŠKS </t>
  </si>
  <si>
    <t>1403/3111/6121</t>
  </si>
  <si>
    <t>1400/3111/6121</t>
  </si>
  <si>
    <t>1401/3111/6121</t>
  </si>
  <si>
    <t xml:space="preserve">                   ZŠ Dlouhá - rekonstrukce školní kuchyně</t>
  </si>
  <si>
    <t>616 - Kultura - Akce OŠKS</t>
  </si>
  <si>
    <r>
      <t xml:space="preserve">Divadelní činnost </t>
    </r>
    <r>
      <rPr>
        <sz val="9"/>
        <rFont val="Arial CE"/>
      </rPr>
      <t>(účet 2310800)</t>
    </r>
  </si>
  <si>
    <r>
      <t xml:space="preserve">Zájmová činnost v kultuře </t>
    </r>
    <r>
      <rPr>
        <sz val="9"/>
        <rFont val="Arial CE"/>
      </rPr>
      <t>(účet 2310800)</t>
    </r>
  </si>
  <si>
    <t>0501/3392/6121</t>
  </si>
  <si>
    <t>1600/3392/5171</t>
  </si>
  <si>
    <r>
      <t xml:space="preserve">Činnost místní správy </t>
    </r>
    <r>
      <rPr>
        <sz val="9"/>
        <rFont val="Arial CE"/>
      </rPr>
      <t>(účet 2310800)</t>
    </r>
  </si>
  <si>
    <t>635 - Akce OŽP</t>
  </si>
  <si>
    <t>0517/3745/6121</t>
  </si>
  <si>
    <t xml:space="preserve">637 - Akce OB </t>
  </si>
  <si>
    <r>
      <t xml:space="preserve">Bytové hospodářství </t>
    </r>
    <r>
      <rPr>
        <sz val="9"/>
        <rFont val="Arial CE"/>
      </rPr>
      <t>(účet 2310800)</t>
    </r>
  </si>
  <si>
    <t>0557/3613/6121</t>
  </si>
  <si>
    <r>
      <t xml:space="preserve">Lokální zásobování teplem (tepelné hospodářství) </t>
    </r>
    <r>
      <rPr>
        <sz val="9"/>
        <rFont val="Arial CE"/>
      </rPr>
      <t>(účet 2310800)</t>
    </r>
  </si>
  <si>
    <t>0588/3634/6122</t>
  </si>
  <si>
    <t>0559/3634/6122</t>
  </si>
  <si>
    <t>5456/3412/6121</t>
  </si>
  <si>
    <t>5474/3412/6121</t>
  </si>
  <si>
    <t>5475/3412/6121</t>
  </si>
  <si>
    <t>5476/3412/6121</t>
  </si>
  <si>
    <t>5477/3613/6121</t>
  </si>
  <si>
    <t>5479/3631/6121</t>
  </si>
  <si>
    <t>0517/3632/6121</t>
  </si>
  <si>
    <t>641 - Oddělení rozvoje - kotlíkové dotace</t>
  </si>
  <si>
    <t xml:space="preserve">             SFPI - RPS Nerudova 1. etapa </t>
  </si>
  <si>
    <t xml:space="preserve">Pěstební činnost </t>
  </si>
  <si>
    <t xml:space="preserve">Celospolečenské funkce lesů </t>
  </si>
  <si>
    <t xml:space="preserve">             individuální dotace na Seniorpoint Nový Jičín (org. 5383)</t>
  </si>
  <si>
    <t xml:space="preserve">                    Regenerace PS Nerudova III. etapa PD</t>
  </si>
  <si>
    <t xml:space="preserve">                    Regenerace PS Nerudova IV. etapa PD</t>
  </si>
  <si>
    <t xml:space="preserve">             terapeutické pobyty pro děti s omezenými příležitostmi (v tom dar Veolie 50)</t>
  </si>
  <si>
    <t>z toho: nákup služeb - Komunitní plánování (org. 0439), včetně zájezdu pro seniory 50</t>
  </si>
  <si>
    <t xml:space="preserve">                    Parkoviště, cyklostezka ve sportovním areálu, Divadelní </t>
  </si>
  <si>
    <t xml:space="preserve">                   ZŠ Jubilejní - rekonstrukce školní kuchyně PD</t>
  </si>
  <si>
    <t xml:space="preserve">              Hückelovy vily - pořízení měřící techniky pro sledování klimatu - pol.6122</t>
  </si>
  <si>
    <t xml:space="preserve">            Hückelovy vily - spoluúčast na dotačních titulech (fixace nástropních maleb E. Veitha, restaurátorský průzkum maleb), výkup předmětů pro sbírku HV Ministerstva kultury pol. 5169</t>
  </si>
  <si>
    <t xml:space="preserve">                          - akce úsek 5 celkem:</t>
  </si>
  <si>
    <r>
      <t>Příjem z daně z příjmů fyzických osob placené poplatníky</t>
    </r>
    <r>
      <rPr>
        <sz val="9"/>
        <rFont val="Arial CE"/>
        <charset val="238"/>
      </rPr>
      <t xml:space="preserve"> (sdílená) </t>
    </r>
    <r>
      <rPr>
        <i/>
        <sz val="9"/>
        <rFont val="Arial CE"/>
        <charset val="238"/>
      </rPr>
      <t xml:space="preserve"> </t>
    </r>
    <r>
      <rPr>
        <sz val="9"/>
        <rFont val="Arial CE"/>
        <charset val="238"/>
      </rPr>
      <t xml:space="preserve">      </t>
    </r>
    <r>
      <rPr>
        <b/>
        <sz val="10"/>
        <rFont val="Arial CE"/>
        <family val="2"/>
        <charset val="238"/>
      </rPr>
      <t xml:space="preserve">                                                   </t>
    </r>
  </si>
  <si>
    <r>
      <t xml:space="preserve">Příjem z daně z příjmů fyzických osob placené plátci </t>
    </r>
    <r>
      <rPr>
        <sz val="9"/>
        <rFont val="Arial CE"/>
        <charset val="238"/>
      </rPr>
      <t xml:space="preserve">(motivační 1,5%)            </t>
    </r>
    <r>
      <rPr>
        <sz val="10"/>
        <rFont val="Arial CE"/>
        <family val="2"/>
        <charset val="238"/>
      </rPr>
      <t xml:space="preserve">                                       </t>
    </r>
  </si>
  <si>
    <r>
      <t xml:space="preserve">Příjem z daně z příjmů fyzických osob vybírané srážkou </t>
    </r>
    <r>
      <rPr>
        <sz val="9"/>
        <rFont val="Arial CE"/>
        <charset val="238"/>
      </rPr>
      <t>podle zvláštní sazby daně</t>
    </r>
  </si>
  <si>
    <r>
      <t xml:space="preserve">Příjem z daně z příjmů právnických osob </t>
    </r>
    <r>
      <rPr>
        <sz val="9"/>
        <rFont val="Arial CE"/>
        <charset val="238"/>
      </rPr>
      <t xml:space="preserve">(sdílená)        </t>
    </r>
    <r>
      <rPr>
        <b/>
        <sz val="10"/>
        <rFont val="Arial CE"/>
        <family val="2"/>
        <charset val="238"/>
      </rPr>
      <t xml:space="preserve">                                                                     </t>
    </r>
    <r>
      <rPr>
        <sz val="9"/>
        <rFont val="Arial CE"/>
        <family val="2"/>
        <charset val="238"/>
      </rPr>
      <t xml:space="preserve"> </t>
    </r>
  </si>
  <si>
    <r>
      <t xml:space="preserve">Příjem z daně z přidané hodnoty </t>
    </r>
    <r>
      <rPr>
        <sz val="9"/>
        <rFont val="Arial CE"/>
        <charset val="238"/>
      </rPr>
      <t xml:space="preserve">(sdílená) </t>
    </r>
    <r>
      <rPr>
        <b/>
        <sz val="9"/>
        <rFont val="Arial CE"/>
        <charset val="238"/>
      </rPr>
      <t xml:space="preserve">           </t>
    </r>
    <r>
      <rPr>
        <b/>
        <sz val="10"/>
        <rFont val="Arial CE"/>
        <family val="2"/>
        <charset val="238"/>
      </rPr>
      <t xml:space="preserve">                                                                                  </t>
    </r>
    <r>
      <rPr>
        <b/>
        <sz val="9"/>
        <rFont val="Arial CE"/>
        <family val="2"/>
        <charset val="238"/>
      </rPr>
      <t xml:space="preserve"> </t>
    </r>
  </si>
  <si>
    <r>
      <t xml:space="preserve">Příjem z daně z příjmů právnických osob v případech, kdy poplatníkem je obec, s výjimkou daně vybírané srážkou podle zvláštní sazby daně </t>
    </r>
    <r>
      <rPr>
        <sz val="9"/>
        <rFont val="Arial CE"/>
        <family val="2"/>
        <charset val="238"/>
      </rPr>
      <t>(100% za město NJ)</t>
    </r>
  </si>
  <si>
    <t>Příjem z odvodů za odnětí půdy ze zemědělského půdního fondu podle zákona upravující ochranu zemědělského půdního fondu</t>
  </si>
  <si>
    <t>Příjem z poplatku za odnětí pozemku podle lesního zákona</t>
  </si>
  <si>
    <t>Příjem z poplatku za povolené vypouštění odpadních vod do vod podzemních</t>
  </si>
  <si>
    <t>Příjem z poplatku za užívání veřejného prostranství</t>
  </si>
  <si>
    <t xml:space="preserve">z toho: Odbor obecní živnostenský úřad </t>
  </si>
  <si>
    <r>
      <t xml:space="preserve">Příjem z poplatku za povolení k vjezdu s motorovým vozidlem do vybraných míst a částí měst                                                            </t>
    </r>
    <r>
      <rPr>
        <sz val="9"/>
        <rFont val="Arial CE"/>
        <family val="2"/>
        <charset val="238"/>
      </rPr>
      <t>(Návštěvnické centrum NJ - město klobouků: abonentní a rezidentní karty)</t>
    </r>
  </si>
  <si>
    <t>Příjem za zkoušky z odborné způsobilosti od žadatelů o řidičské oprávnění</t>
  </si>
  <si>
    <t>Příjem z úhrad za dobývání nerostů a poplatků za geologické práce</t>
  </si>
  <si>
    <t>z toho: Odbor dopravy</t>
  </si>
  <si>
    <t>Příjem ze správních poplatků</t>
  </si>
  <si>
    <t>Příjem z daně z hazardních her s výjimkou dílčí daně z technických her</t>
  </si>
  <si>
    <t>Příjem z dílčí daně z technických her</t>
  </si>
  <si>
    <r>
      <t xml:space="preserve">Příjem z daně z nemovitých věcí </t>
    </r>
    <r>
      <rPr>
        <sz val="9"/>
        <rFont val="Arial CE"/>
        <charset val="238"/>
      </rPr>
      <t xml:space="preserve">(výlučná)    </t>
    </r>
    <r>
      <rPr>
        <b/>
        <sz val="10"/>
        <rFont val="Arial CE"/>
        <family val="2"/>
        <charset val="238"/>
      </rPr>
      <t xml:space="preserve">                                                                                                              </t>
    </r>
  </si>
  <si>
    <t>Příjem z poskytování služeb, výrobků, prací, výkonů a práv</t>
  </si>
  <si>
    <r>
      <t xml:space="preserve">           § 1031 pěstební činnost </t>
    </r>
    <r>
      <rPr>
        <sz val="9"/>
        <rFont val="Arial CE"/>
        <charset val="238"/>
      </rPr>
      <t>(těžba v městských lesích)</t>
    </r>
  </si>
  <si>
    <r>
      <t xml:space="preserve">           § 2143 cestovní ruch</t>
    </r>
    <r>
      <rPr>
        <sz val="9"/>
        <rFont val="Arial CE"/>
        <charset val="238"/>
      </rPr>
      <t xml:space="preserve"> (Návštěvnické centrum NJ)</t>
    </r>
  </si>
  <si>
    <r>
      <t xml:space="preserve">           § 5311 bezpečnost a veřejný pořádek </t>
    </r>
    <r>
      <rPr>
        <sz val="9"/>
        <rFont val="Arial CE"/>
        <family val="2"/>
        <charset val="238"/>
      </rPr>
      <t>(Městská policie)</t>
    </r>
  </si>
  <si>
    <r>
      <t xml:space="preserve">           § 6171 činnost místní správy </t>
    </r>
    <r>
      <rPr>
        <sz val="9"/>
        <rFont val="Arial CE"/>
        <charset val="238"/>
      </rPr>
      <t>(kopírování pro veřejnost)</t>
    </r>
  </si>
  <si>
    <r>
      <t xml:space="preserve">           § 3412 sportovní zařízení v majetku obce</t>
    </r>
    <r>
      <rPr>
        <sz val="9"/>
        <rFont val="Arial CE"/>
        <charset val="238"/>
      </rPr>
      <t xml:space="preserve"> (bazé</t>
    </r>
    <r>
      <rPr>
        <sz val="9"/>
        <rFont val="Arial CE"/>
        <family val="2"/>
        <charset val="238"/>
      </rPr>
      <t>n: Basketbalový klub,z.s.-vstupné, nájmy)</t>
    </r>
  </si>
  <si>
    <r>
      <t xml:space="preserve">           § 3412 sportovní zařízení v majetku obce </t>
    </r>
    <r>
      <rPr>
        <sz val="9"/>
        <rFont val="Arial CE"/>
        <family val="2"/>
        <charset val="238"/>
      </rPr>
      <t>(zimní stadión: Hokejový klub, z.s.-vstupné, nájmy)</t>
    </r>
  </si>
  <si>
    <r>
      <t xml:space="preserve">           § 2141 vnitřní obchod </t>
    </r>
    <r>
      <rPr>
        <sz val="9"/>
        <rFont val="Arial CE"/>
        <family val="2"/>
        <charset val="238"/>
      </rPr>
      <t>(obecní živnostenský úřad: náklady řízení)</t>
    </r>
  </si>
  <si>
    <r>
      <t xml:space="preserve">           § 2223 bezpečnost silničního provozu </t>
    </r>
    <r>
      <rPr>
        <sz val="9"/>
        <rFont val="Arial CE"/>
        <charset val="238"/>
      </rPr>
      <t>(dopravní přestupky: náklady řízení)</t>
    </r>
  </si>
  <si>
    <r>
      <t xml:space="preserve">           § 3612 bytové hospodářství </t>
    </r>
    <r>
      <rPr>
        <sz val="9"/>
        <rFont val="Arial CE"/>
        <charset val="238"/>
      </rPr>
      <t>(odbor bytový: úhrada nákladů soudních řízení+poplatky z prodlení)</t>
    </r>
  </si>
  <si>
    <r>
      <t xml:space="preserve">           § 3639 náklady řízení </t>
    </r>
    <r>
      <rPr>
        <sz val="9"/>
        <rFont val="Arial CE"/>
        <charset val="238"/>
      </rPr>
      <t>(odbor finanční)</t>
    </r>
  </si>
  <si>
    <r>
      <t xml:space="preserve">           § 3722 sběr a svoz komunálních odpadů </t>
    </r>
    <r>
      <rPr>
        <sz val="9"/>
        <rFont val="Arial CE"/>
        <family val="2"/>
        <charset val="238"/>
      </rPr>
      <t xml:space="preserve">(příspěvek od EKOKOMu)               </t>
    </r>
  </si>
  <si>
    <r>
      <t xml:space="preserve">           § 5311 bezpečnost a veřejný pořádek</t>
    </r>
    <r>
      <rPr>
        <sz val="9"/>
        <rFont val="Arial CE"/>
        <charset val="238"/>
      </rPr>
      <t xml:space="preserve"> (Městská policie: náhrady)</t>
    </r>
  </si>
  <si>
    <r>
      <t xml:space="preserve">           § 6171 činnost místní správy </t>
    </r>
    <r>
      <rPr>
        <sz val="9"/>
        <rFont val="Arial CE"/>
        <charset val="238"/>
      </rPr>
      <t>(obecné přestupky: náklady řízení)</t>
    </r>
  </si>
  <si>
    <t>Příjem sankčních plateb přijaté od jiných subjektů</t>
  </si>
  <si>
    <t>Příjem z pronájmů nebo pachtu ostatních nemovitých věcí a jejich částí</t>
  </si>
  <si>
    <r>
      <t xml:space="preserve">              § 2212 vyhrazené parkování formou nájemní smlouvy </t>
    </r>
    <r>
      <rPr>
        <sz val="9"/>
        <rFont val="Arial CE"/>
        <charset val="238"/>
      </rPr>
      <t>(Odbor správy majetku: v režimu DPH)</t>
    </r>
  </si>
  <si>
    <r>
      <t xml:space="preserve">              § 2310 nájem ostatních nemovitostí </t>
    </r>
    <r>
      <rPr>
        <sz val="9"/>
        <rFont val="Arial CE"/>
        <charset val="238"/>
      </rPr>
      <t>(Odbor správy majetku)</t>
    </r>
  </si>
  <si>
    <r>
      <t xml:space="preserve">              § 3122 nájem EDUCA </t>
    </r>
    <r>
      <rPr>
        <sz val="9"/>
        <rFont val="Arial CE"/>
        <charset val="238"/>
      </rPr>
      <t>(Odbor bytový)</t>
    </r>
  </si>
  <si>
    <r>
      <t xml:space="preserve">             § 6171 obecné přestupky - pokuty </t>
    </r>
    <r>
      <rPr>
        <sz val="9"/>
        <rFont val="Arial CE"/>
        <family val="2"/>
        <charset val="238"/>
      </rPr>
      <t>(Odbor přestupkových agend)</t>
    </r>
  </si>
  <si>
    <t xml:space="preserve">                      Kanalizace Žilina, Okružní  PD</t>
  </si>
  <si>
    <t xml:space="preserve">                    Parkoviště Na Lani p.č. 426/1 (změna z podélného na kolmé) PD (KSD 21)</t>
  </si>
  <si>
    <t xml:space="preserve">                    Dopravní řešení okolí škol na ul. Dlouhá v NJ PD (KSD 14)</t>
  </si>
  <si>
    <t xml:space="preserve">                    Parkoviště Smetanovy sady (před byt.domy  č.p. 8 - 16, 26 - 28) PD (KSD 31)</t>
  </si>
  <si>
    <t xml:space="preserve">                    Parkoviště Vančurova (J. Hory, kolmá a podélná stání) PD (KSD 38)</t>
  </si>
  <si>
    <t xml:space="preserve">                    Zpevněná plocha podél komunikace I/57, Revoluční PD</t>
  </si>
  <si>
    <t>Sportovní zařízení v majetku obce (účet 2310800)</t>
  </si>
  <si>
    <t xml:space="preserve">                   Vnitřní bazén PD</t>
  </si>
  <si>
    <t xml:space="preserve">                   Areál krytého bazénu - ústřední topení PD</t>
  </si>
  <si>
    <r>
      <t>2381</t>
    </r>
    <r>
      <rPr>
        <sz val="8"/>
        <rFont val="Arial CE"/>
        <family val="2"/>
        <charset val="238"/>
      </rPr>
      <t>/2310/6121</t>
    </r>
  </si>
  <si>
    <t>2394/2321/6121</t>
  </si>
  <si>
    <r>
      <t>2395</t>
    </r>
    <r>
      <rPr>
        <sz val="8"/>
        <rFont val="Arial CE"/>
        <family val="2"/>
        <charset val="238"/>
      </rPr>
      <t>/2321/6121</t>
    </r>
  </si>
  <si>
    <t>2396/2321/6121</t>
  </si>
  <si>
    <t>2397/2212/6121</t>
  </si>
  <si>
    <t>2398/2212/6121</t>
  </si>
  <si>
    <t>2403/2212/6121</t>
  </si>
  <si>
    <t>2404/2219/6121</t>
  </si>
  <si>
    <t>2405/2219/6121</t>
  </si>
  <si>
    <t>2407/2219/6121</t>
  </si>
  <si>
    <t>2408/2219/6121</t>
  </si>
  <si>
    <t>5483/2219/6121</t>
  </si>
  <si>
    <t>2409/2219/6121</t>
  </si>
  <si>
    <t>1601/3392/6121</t>
  </si>
  <si>
    <t>1900/6171/5171</t>
  </si>
  <si>
    <t>1901/6171/5171</t>
  </si>
  <si>
    <t>1902/6171/5171</t>
  </si>
  <si>
    <t>1903/6171/6121</t>
  </si>
  <si>
    <t>1904/6171/6121</t>
  </si>
  <si>
    <t>3704/3412/6121</t>
  </si>
  <si>
    <t>3705/3412/6121</t>
  </si>
  <si>
    <t>3706/3412/6121</t>
  </si>
  <si>
    <t>3707/3612/6121</t>
  </si>
  <si>
    <t>3708/3613/6121</t>
  </si>
  <si>
    <t>3709/3613/6121</t>
  </si>
  <si>
    <t>3710/3613/6121</t>
  </si>
  <si>
    <t>3711/3613/6121</t>
  </si>
  <si>
    <t>3712/3613/6121</t>
  </si>
  <si>
    <t>3714/3634/6122</t>
  </si>
  <si>
    <t>3715/3634/6122</t>
  </si>
  <si>
    <t>3716/3634/6122</t>
  </si>
  <si>
    <t>3717/3634/6122</t>
  </si>
  <si>
    <t>3718/3634/6122</t>
  </si>
  <si>
    <t>3719/3634/6122</t>
  </si>
  <si>
    <t>3720/3634/6122</t>
  </si>
  <si>
    <t>3632/3632/6121</t>
  </si>
  <si>
    <t>619 - Akce OO</t>
  </si>
  <si>
    <t xml:space="preserve">             Parkoviště MŠ Máj (KSD 36)</t>
  </si>
  <si>
    <t xml:space="preserve">                    VO Slezská - u garáží </t>
  </si>
  <si>
    <r>
      <t xml:space="preserve">Bezpečnost silničního provozu-BESIP </t>
    </r>
    <r>
      <rPr>
        <sz val="9"/>
        <rFont val="Arial CE"/>
        <charset val="238"/>
      </rPr>
      <t>(DHM 6, materiál 3, nájemné 42, služby 10, opravy a udržování 7, pohoštění 2, věcné dary 6)</t>
    </r>
  </si>
  <si>
    <r>
      <t>Ost.záležitosti kultury, církví a sdělovacích prostředků</t>
    </r>
    <r>
      <rPr>
        <sz val="10"/>
        <rFont val="Arial CE"/>
        <family val="2"/>
        <charset val="238"/>
      </rPr>
      <t xml:space="preserve">  </t>
    </r>
    <r>
      <rPr>
        <sz val="9"/>
        <rFont val="Arial CE"/>
        <charset val="238"/>
      </rPr>
      <t>(platby za autorská práva-OSA, Integram, ozvučení náměstí)</t>
    </r>
  </si>
  <si>
    <t xml:space="preserve">            na poskytování podpory soc.služeb dle zákona o soc.službách ORJ 541, org.1113</t>
  </si>
  <si>
    <t xml:space="preserve">            na poskytování podpory soc.služeb dle zákona o soc.službách ORJ 541, org.1114</t>
  </si>
  <si>
    <t>Přijaté dary na pořízení dlouhodobého majetku</t>
  </si>
  <si>
    <t xml:space="preserve">                   ProSenior Nový Jičín - Domeček PD</t>
  </si>
  <si>
    <t>0558/3612/6121</t>
  </si>
  <si>
    <t xml:space="preserve">                     Most Loučka, V Kútě PD </t>
  </si>
  <si>
    <t>3535/3745/5169</t>
  </si>
  <si>
    <t xml:space="preserve">                    VO K Archivu</t>
  </si>
  <si>
    <r>
      <t xml:space="preserve">             § 3613 smluvní pokuta nebytové prostory - dodavatelé</t>
    </r>
    <r>
      <rPr>
        <sz val="9"/>
        <rFont val="Arial CE"/>
        <charset val="238"/>
      </rPr>
      <t xml:space="preserve"> (Odbor bytový)</t>
    </r>
  </si>
  <si>
    <t>0386/2212/6121</t>
  </si>
  <si>
    <t xml:space="preserve">            § 3412 Basketbalový klub z.s.-vratky příspěvků na energie a provoz bazénů</t>
  </si>
  <si>
    <t xml:space="preserve">           § 6171, § 6409 odbor organizační </t>
  </si>
  <si>
    <t xml:space="preserve">             - Nákup rolby (6122)</t>
  </si>
  <si>
    <t>Volba prezidenta republiky</t>
  </si>
  <si>
    <t xml:space="preserve">                   Azylový dům Straník - rekonstrukce vnitřních prostor PD</t>
  </si>
  <si>
    <t xml:space="preserve">            Revitalizace veřejného prostranství Horního nádraží (ÚZ 612)</t>
  </si>
  <si>
    <t xml:space="preserve">                   Přístavba hotelu Praha PD</t>
  </si>
  <si>
    <r>
      <t xml:space="preserve">Příjem z daně z příjmů fyzických osob placené plátci </t>
    </r>
    <r>
      <rPr>
        <sz val="9"/>
        <rFont val="Arial CE"/>
        <charset val="238"/>
      </rPr>
      <t>(sdílená část)</t>
    </r>
    <r>
      <rPr>
        <b/>
        <sz val="10"/>
        <rFont val="Arial CE"/>
        <family val="2"/>
        <charset val="238"/>
      </rPr>
      <t xml:space="preserve"> </t>
    </r>
    <r>
      <rPr>
        <sz val="10"/>
        <rFont val="Arial CE"/>
        <charset val="238"/>
      </rPr>
      <t xml:space="preserve">                                                         </t>
    </r>
  </si>
  <si>
    <r>
      <t xml:space="preserve">           § 4351 </t>
    </r>
    <r>
      <rPr>
        <sz val="10"/>
        <rFont val="Arial CE"/>
        <charset val="238"/>
      </rPr>
      <t xml:space="preserve">pečovatelská služba, denní stacionář, odlehč. služba Pohoda </t>
    </r>
    <r>
      <rPr>
        <sz val="9"/>
        <rFont val="Arial CE"/>
        <family val="2"/>
        <charset val="238"/>
      </rPr>
      <t>(Prosenior NJ)</t>
    </r>
  </si>
  <si>
    <r>
      <t xml:space="preserve">              § 2321 nájem Kanalizace od SmVaK (DSO) </t>
    </r>
    <r>
      <rPr>
        <sz val="9"/>
        <rFont val="Arial CE"/>
        <charset val="238"/>
      </rPr>
      <t>- účet 2310441 Plán financování obnovy (PFO)</t>
    </r>
  </si>
  <si>
    <r>
      <t xml:space="preserve">              § 3634 v zásobování teplem </t>
    </r>
    <r>
      <rPr>
        <sz val="9"/>
        <rFont val="Arial CE"/>
        <family val="2"/>
        <charset val="238"/>
      </rPr>
      <t>(VEOLIA)</t>
    </r>
  </si>
  <si>
    <r>
      <t xml:space="preserve">             § 2223 dopravní přestupky </t>
    </r>
    <r>
      <rPr>
        <sz val="9"/>
        <rFont val="Arial CE"/>
        <charset val="238"/>
      </rPr>
      <t>(radary)</t>
    </r>
  </si>
  <si>
    <r>
      <t xml:space="preserve">Ostatní přijaté vratky transferů </t>
    </r>
    <r>
      <rPr>
        <sz val="10"/>
        <rFont val="Arial CE"/>
        <charset val="238"/>
      </rPr>
      <t>(příspěvků a dotací)</t>
    </r>
  </si>
  <si>
    <r>
      <t xml:space="preserve">Přijaté neinvestiční dary </t>
    </r>
    <r>
      <rPr>
        <sz val="9"/>
        <rFont val="Arial CE"/>
        <family val="2"/>
        <charset val="238"/>
      </rPr>
      <t xml:space="preserve">(Veolia Dalkia ČR-financování kulturních a společenských akcí města) </t>
    </r>
  </si>
  <si>
    <r>
      <rPr>
        <sz val="10"/>
        <rFont val="Arial CE"/>
        <charset val="238"/>
      </rPr>
      <t xml:space="preserve">         </t>
    </r>
    <r>
      <rPr>
        <b/>
        <sz val="10"/>
        <rFont val="Arial CE"/>
        <family val="2"/>
        <charset val="238"/>
      </rPr>
      <t xml:space="preserve"> </t>
    </r>
    <r>
      <rPr>
        <sz val="10"/>
        <rFont val="Arial CE"/>
        <charset val="238"/>
      </rPr>
      <t xml:space="preserve"> § 1037 celospolečenské funkce lesů</t>
    </r>
  </si>
  <si>
    <r>
      <t xml:space="preserve">          </t>
    </r>
    <r>
      <rPr>
        <sz val="10"/>
        <rFont val="Arial CE"/>
        <charset val="238"/>
      </rPr>
      <t xml:space="preserve"> § 3612 Ukrajina (dle rozhodnutí Kraje z 15.9.2022)  - náhrady nákladů za ubytování </t>
    </r>
  </si>
  <si>
    <r>
      <t xml:space="preserve">           § 3341 kabelová televize Straník-přihlášky</t>
    </r>
    <r>
      <rPr>
        <sz val="9"/>
        <rFont val="Arial CE"/>
        <family val="2"/>
        <charset val="238"/>
      </rPr>
      <t xml:space="preserve"> </t>
    </r>
    <r>
      <rPr>
        <sz val="10"/>
        <rFont val="Arial CE"/>
        <charset val="238"/>
      </rPr>
      <t>(odbor správy majetku)</t>
    </r>
  </si>
  <si>
    <r>
      <t xml:space="preserve">           § 3613 chata Jičínka </t>
    </r>
    <r>
      <rPr>
        <sz val="10"/>
        <rFont val="Arial CE"/>
        <charset val="238"/>
      </rPr>
      <t>(org. 4381)=účet 2310440, OSM kovošrot 0,310 + ostatní=účet 2310600</t>
    </r>
  </si>
  <si>
    <r>
      <t xml:space="preserve">           § 3632</t>
    </r>
    <r>
      <rPr>
        <sz val="10"/>
        <rFont val="Arial CE"/>
        <charset val="238"/>
      </rPr>
      <t xml:space="preserve"> pohřebnictví (odbor sociálních věcí - příjmy ze sociálních pohřbů)</t>
    </r>
  </si>
  <si>
    <r>
      <t>Pitná voda</t>
    </r>
    <r>
      <rPr>
        <sz val="9"/>
        <rFont val="Arial CE"/>
        <family val="2"/>
        <charset val="238"/>
      </rPr>
      <t xml:space="preserve"> (účet 2310800)</t>
    </r>
  </si>
  <si>
    <r>
      <t xml:space="preserve">Odvádění a čištění odpadních vod a nakládání s kaly </t>
    </r>
    <r>
      <rPr>
        <sz val="9"/>
        <rFont val="Arial CE"/>
        <charset val="238"/>
      </rPr>
      <t>(účet 2310800)</t>
    </r>
  </si>
  <si>
    <r>
      <rPr>
        <sz val="10"/>
        <rFont val="Arial CE"/>
        <charset val="238"/>
      </rPr>
      <t xml:space="preserve">            Plán financování obnovy </t>
    </r>
    <r>
      <rPr>
        <sz val="9"/>
        <rFont val="Arial CE"/>
        <charset val="238"/>
      </rPr>
      <t>(účet 2310441) - opr. a udržování (rekonstrukce - obnova kanalizačních šachet )</t>
    </r>
  </si>
  <si>
    <r>
      <t>Drobné vodní toky</t>
    </r>
    <r>
      <rPr>
        <sz val="9"/>
        <rFont val="Arial CE"/>
        <family val="2"/>
        <charset val="238"/>
      </rPr>
      <t xml:space="preserve"> (účet 2310800)</t>
    </r>
  </si>
  <si>
    <r>
      <t xml:space="preserve">Silnice </t>
    </r>
    <r>
      <rPr>
        <sz val="8"/>
        <rFont val="Arial CE"/>
        <charset val="238"/>
      </rPr>
      <t>(účet 2310800)</t>
    </r>
  </si>
  <si>
    <r>
      <t xml:space="preserve">             oprava a údržba místních komunikací </t>
    </r>
    <r>
      <rPr>
        <sz val="9"/>
        <rFont val="Arial CE"/>
        <family val="2"/>
        <charset val="238"/>
      </rPr>
      <t>(TSM)</t>
    </r>
  </si>
  <si>
    <r>
      <t xml:space="preserve">             </t>
    </r>
    <r>
      <rPr>
        <sz val="10"/>
        <rFont val="Arial CE"/>
        <charset val="238"/>
      </rPr>
      <t>investice - Sjezd na parkoviště u Lidlu</t>
    </r>
  </si>
  <si>
    <r>
      <t xml:space="preserve">Ostatní záležitosti pozemních komunikací </t>
    </r>
    <r>
      <rPr>
        <sz val="9"/>
        <rFont val="Arial CE"/>
        <charset val="238"/>
      </rPr>
      <t>(účet 2310800)</t>
    </r>
  </si>
  <si>
    <r>
      <t>Provoz veřejné silniční dopravy</t>
    </r>
    <r>
      <rPr>
        <sz val="9"/>
        <rFont val="Arial CE"/>
        <charset val="238"/>
      </rPr>
      <t xml:space="preserve"> (účet 2310800)</t>
    </r>
  </si>
  <si>
    <r>
      <t xml:space="preserve">            věcná břemena (</t>
    </r>
    <r>
      <rPr>
        <sz val="9"/>
        <rFont val="Arial CE"/>
        <charset val="238"/>
      </rPr>
      <t>účet 2310440)</t>
    </r>
  </si>
  <si>
    <r>
      <t xml:space="preserve">            věcná břemena (</t>
    </r>
    <r>
      <rPr>
        <sz val="9"/>
        <rFont val="Arial CE"/>
        <charset val="238"/>
      </rPr>
      <t>účet 2310800)</t>
    </r>
  </si>
  <si>
    <r>
      <t>Rozhlas a televize</t>
    </r>
    <r>
      <rPr>
        <sz val="9"/>
        <rFont val="Arial CE"/>
        <charset val="238"/>
      </rPr>
      <t xml:space="preserve"> (účet 2310800) </t>
    </r>
  </si>
  <si>
    <r>
      <t xml:space="preserve">Nebytové hospodářství </t>
    </r>
    <r>
      <rPr>
        <sz val="9"/>
        <rFont val="Arial CE"/>
        <charset val="238"/>
      </rPr>
      <t>(účet 2310800)</t>
    </r>
  </si>
  <si>
    <r>
      <t xml:space="preserve">              příspěvek - </t>
    </r>
    <r>
      <rPr>
        <sz val="10"/>
        <rFont val="Arial CE"/>
        <charset val="238"/>
      </rPr>
      <t>oprava oplocení areálu TSM</t>
    </r>
  </si>
  <si>
    <r>
      <t xml:space="preserve">Veřejné osvětlení (VO) </t>
    </r>
    <r>
      <rPr>
        <sz val="9"/>
        <rFont val="Arial CE"/>
        <charset val="238"/>
      </rPr>
      <t>(účet 2310800)</t>
    </r>
  </si>
  <si>
    <r>
      <t xml:space="preserve">Pohřebnictví </t>
    </r>
    <r>
      <rPr>
        <sz val="10"/>
        <rFont val="Arial CE"/>
        <charset val="238"/>
      </rPr>
      <t xml:space="preserve">(účet 2310800) </t>
    </r>
  </si>
  <si>
    <r>
      <t>Výstavba a údržba místních inženýrských sítí (IS)</t>
    </r>
    <r>
      <rPr>
        <sz val="9"/>
        <rFont val="Arial CE"/>
      </rPr>
      <t xml:space="preserve"> (účet 2310800)</t>
    </r>
  </si>
  <si>
    <r>
      <t xml:space="preserve">investice - přísp.ve výši 1/3 skutečných nákladů na dostavbu IS Za Školou 2.etapa </t>
    </r>
    <r>
      <rPr>
        <sz val="9"/>
        <rFont val="Arial CE"/>
        <charset val="238"/>
      </rPr>
      <t>(s následným převedením všech IS včetně komunikace na město)</t>
    </r>
  </si>
  <si>
    <r>
      <t>Komunální služby a územní rozvoj j.n.</t>
    </r>
    <r>
      <rPr>
        <sz val="9"/>
        <rFont val="Arial CE"/>
        <family val="2"/>
        <charset val="238"/>
      </rPr>
      <t xml:space="preserve"> </t>
    </r>
  </si>
  <si>
    <r>
      <t xml:space="preserve">                    zápočet oplocení p. Perútka </t>
    </r>
    <r>
      <rPr>
        <sz val="9"/>
        <rFont val="Arial CE"/>
        <charset val="238"/>
      </rPr>
      <t>(účet 2310440)</t>
    </r>
  </si>
  <si>
    <r>
      <t xml:space="preserve">                    přípojky na televizní kabelové rozvody Straník - materiál</t>
    </r>
    <r>
      <rPr>
        <sz val="9"/>
        <rFont val="Arial CE"/>
        <charset val="238"/>
      </rPr>
      <t xml:space="preserve"> (účet 231 0800)</t>
    </r>
  </si>
  <si>
    <r>
      <t xml:space="preserve">Ostatní záležitosti bydlení, komunálních služeb a územního rozvoje </t>
    </r>
    <r>
      <rPr>
        <sz val="9"/>
        <rFont val="Arial CE"/>
        <charset val="238"/>
      </rPr>
      <t>(účet 2310800)</t>
    </r>
  </si>
  <si>
    <r>
      <t>Pitná voda</t>
    </r>
    <r>
      <rPr>
        <sz val="9"/>
        <rFont val="Arial CE"/>
      </rPr>
      <t xml:space="preserve"> (účet 2310800)</t>
    </r>
  </si>
  <si>
    <r>
      <t xml:space="preserve">Odvádění a čištění odpadních vod a nakládání s kaly </t>
    </r>
    <r>
      <rPr>
        <sz val="9"/>
        <rFont val="Arial CE"/>
      </rPr>
      <t>(účet 2310800)</t>
    </r>
  </si>
  <si>
    <r>
      <t xml:space="preserve">Silnice </t>
    </r>
    <r>
      <rPr>
        <sz val="9"/>
        <rFont val="Arial CE"/>
      </rPr>
      <t>(účet 2310800)</t>
    </r>
  </si>
  <si>
    <r>
      <t xml:space="preserve">Ostatní záležitosti pozemních komunikací </t>
    </r>
    <r>
      <rPr>
        <sz val="9"/>
        <rFont val="Arial CE"/>
      </rPr>
      <t>(účet 2310800)</t>
    </r>
  </si>
  <si>
    <r>
      <t>Provoz veřejné silniční dopravy</t>
    </r>
    <r>
      <rPr>
        <sz val="9"/>
        <rFont val="Arial CE"/>
      </rPr>
      <t xml:space="preserve"> (účet 2310800)</t>
    </r>
  </si>
  <si>
    <r>
      <t xml:space="preserve">Komunální služby - nebytové prostory  - oddělení investic </t>
    </r>
    <r>
      <rPr>
        <sz val="9"/>
        <rFont val="Arial CE"/>
        <charset val="238"/>
      </rPr>
      <t>(účet 2310800)</t>
    </r>
  </si>
  <si>
    <r>
      <t>Komunální služby a rozvoj - plány, propagace, marketing, Zdravé město</t>
    </r>
    <r>
      <rPr>
        <sz val="9"/>
        <rFont val="Arial CE"/>
        <charset val="238"/>
      </rPr>
      <t xml:space="preserve"> (účet 2310800)</t>
    </r>
  </si>
  <si>
    <r>
      <t xml:space="preserve">Péče o vzhled obcí a veřejnou zeleň </t>
    </r>
    <r>
      <rPr>
        <sz val="10"/>
        <rFont val="Arial CE"/>
        <charset val="238"/>
      </rPr>
      <t xml:space="preserve">(účet 2310800) </t>
    </r>
  </si>
  <si>
    <r>
      <t xml:space="preserve">Nebytové hospodářství </t>
    </r>
    <r>
      <rPr>
        <sz val="9"/>
        <rFont val="Arial CE"/>
      </rPr>
      <t>(účet 2310800)</t>
    </r>
  </si>
  <si>
    <r>
      <t xml:space="preserve">Sportovní zařízení v majetku obce </t>
    </r>
    <r>
      <rPr>
        <sz val="9"/>
        <rFont val="Arial CE"/>
      </rPr>
      <t>(účet 2310800)</t>
    </r>
  </si>
  <si>
    <r>
      <t xml:space="preserve">Veřejné osvětlení (VO) </t>
    </r>
    <r>
      <rPr>
        <sz val="9"/>
        <rFont val="Arial CE"/>
      </rPr>
      <t>(účet 2310800)</t>
    </r>
  </si>
  <si>
    <r>
      <t xml:space="preserve">                    Kotlíkové dotace MSK </t>
    </r>
    <r>
      <rPr>
        <sz val="10"/>
        <rFont val="Arial CE"/>
        <charset val="238"/>
      </rPr>
      <t>účet 231 0417</t>
    </r>
  </si>
  <si>
    <r>
      <t>009/</t>
    </r>
    <r>
      <rPr>
        <b/>
        <sz val="10"/>
        <rFont val="Arial CE"/>
        <family val="2"/>
        <charset val="238"/>
      </rPr>
      <t>2141</t>
    </r>
    <r>
      <rPr>
        <sz val="9"/>
        <rFont val="Arial CE"/>
        <charset val="238"/>
      </rPr>
      <t>/5169</t>
    </r>
  </si>
  <si>
    <r>
      <t>Dopravní obslužnost</t>
    </r>
    <r>
      <rPr>
        <sz val="10"/>
        <rFont val="Arial CE"/>
        <charset val="238"/>
      </rPr>
      <t xml:space="preserve"> - veřejná doprava</t>
    </r>
  </si>
  <si>
    <r>
      <t xml:space="preserve">             příspěvek na MHD</t>
    </r>
    <r>
      <rPr>
        <sz val="9"/>
        <rFont val="Arial CE"/>
        <family val="2"/>
        <charset val="238"/>
      </rPr>
      <t xml:space="preserve"> (ARRIVA) - dle smlouvy </t>
    </r>
  </si>
  <si>
    <r>
      <t xml:space="preserve">Bezpečnost silničního provozu - </t>
    </r>
    <r>
      <rPr>
        <sz val="10"/>
        <rFont val="Arial CE"/>
        <charset val="238"/>
      </rPr>
      <t>znalecké posudky při řešení dopravních deliktů+tlumočení</t>
    </r>
  </si>
  <si>
    <r>
      <t xml:space="preserve">Činnost místní správy - </t>
    </r>
    <r>
      <rPr>
        <sz val="10"/>
        <rFont val="Arial CE"/>
        <charset val="238"/>
      </rPr>
      <t>ostatní platy (refundace vč.pojist.), konzult.a porad.služby, náhrady svědkům</t>
    </r>
  </si>
  <si>
    <r>
      <t xml:space="preserve">             v tom:  </t>
    </r>
    <r>
      <rPr>
        <b/>
        <i/>
        <sz val="10"/>
        <rFont val="Arial CE"/>
        <charset val="238"/>
      </rPr>
      <t>MŠ Sady</t>
    </r>
    <r>
      <rPr>
        <sz val="10"/>
        <rFont val="Arial CE"/>
        <family val="2"/>
        <charset val="238"/>
      </rPr>
      <t xml:space="preserve"> (org. 305)</t>
    </r>
  </si>
  <si>
    <r>
      <t xml:space="preserve">                          </t>
    </r>
    <r>
      <rPr>
        <b/>
        <i/>
        <sz val="10"/>
        <rFont val="Arial CE"/>
        <charset val="238"/>
      </rPr>
      <t>MŠ Trojlístek</t>
    </r>
    <r>
      <rPr>
        <sz val="10"/>
        <rFont val="Arial CE"/>
        <family val="2"/>
        <charset val="238"/>
      </rPr>
      <t xml:space="preserve"> (org. 309)</t>
    </r>
  </si>
  <si>
    <r>
      <t xml:space="preserve">              v tom:  </t>
    </r>
    <r>
      <rPr>
        <b/>
        <i/>
        <sz val="10"/>
        <rFont val="Arial CE"/>
        <family val="2"/>
        <charset val="238"/>
      </rPr>
      <t xml:space="preserve">ZŠ Jubilejní </t>
    </r>
    <r>
      <rPr>
        <sz val="10"/>
        <rFont val="Arial CE"/>
        <family val="2"/>
        <charset val="238"/>
      </rPr>
      <t xml:space="preserve">celkem (org. 321) </t>
    </r>
  </si>
  <si>
    <r>
      <t xml:space="preserve">              v tom:  </t>
    </r>
    <r>
      <rPr>
        <b/>
        <i/>
        <sz val="10"/>
        <rFont val="Arial CE"/>
        <family val="2"/>
        <charset val="238"/>
      </rPr>
      <t xml:space="preserve">ZŠ Komenského 66 </t>
    </r>
    <r>
      <rPr>
        <sz val="10"/>
        <rFont val="Arial CE"/>
        <family val="2"/>
        <charset val="238"/>
      </rPr>
      <t>(org. 322)</t>
    </r>
  </si>
  <si>
    <r>
      <t xml:space="preserve">                          </t>
    </r>
    <r>
      <rPr>
        <b/>
        <i/>
        <sz val="10"/>
        <rFont val="Arial CE"/>
        <charset val="238"/>
      </rPr>
      <t>ZŠ Komenského 68</t>
    </r>
    <r>
      <rPr>
        <sz val="10"/>
        <rFont val="Arial CE"/>
        <family val="2"/>
        <charset val="238"/>
      </rPr>
      <t xml:space="preserve"> (org. 323)</t>
    </r>
  </si>
  <si>
    <r>
      <t xml:space="preserve">                         </t>
    </r>
    <r>
      <rPr>
        <b/>
        <i/>
        <sz val="10"/>
        <rFont val="Arial CE"/>
        <charset val="238"/>
      </rPr>
      <t xml:space="preserve">ZŠ Tyršova </t>
    </r>
    <r>
      <rPr>
        <sz val="10"/>
        <rFont val="Arial CE"/>
        <family val="2"/>
        <charset val="238"/>
      </rPr>
      <t>(org. 325)</t>
    </r>
  </si>
  <si>
    <r>
      <t xml:space="preserve">z toho: </t>
    </r>
    <r>
      <rPr>
        <b/>
        <i/>
        <sz val="10"/>
        <rFont val="Arial CE"/>
        <charset val="238"/>
      </rPr>
      <t>SVČ Fokus</t>
    </r>
  </si>
  <si>
    <r>
      <t xml:space="preserve">Divadelní činnost - </t>
    </r>
    <r>
      <rPr>
        <b/>
        <i/>
        <sz val="10"/>
        <rFont val="Arial CE"/>
        <family val="2"/>
        <charset val="238"/>
      </rPr>
      <t>Beskydské divadlo</t>
    </r>
    <r>
      <rPr>
        <b/>
        <sz val="9"/>
        <rFont val="Arial CE"/>
        <family val="2"/>
        <charset val="238"/>
      </rPr>
      <t xml:space="preserve"> </t>
    </r>
    <r>
      <rPr>
        <sz val="9"/>
        <rFont val="Arial CE"/>
        <family val="2"/>
        <charset val="238"/>
      </rPr>
      <t>(org. 504)</t>
    </r>
  </si>
  <si>
    <r>
      <t xml:space="preserve">z toho: osadní výbory </t>
    </r>
    <r>
      <rPr>
        <sz val="9"/>
        <rFont val="Arial CE"/>
        <family val="2"/>
        <charset val="238"/>
      </rPr>
      <t>(Žilina, Straník, Bludovice, Kojetín, Loučka)</t>
    </r>
  </si>
  <si>
    <r>
      <t xml:space="preserve">z toho: </t>
    </r>
    <r>
      <rPr>
        <b/>
        <i/>
        <sz val="10"/>
        <rFont val="Arial CE"/>
        <family val="2"/>
        <charset val="238"/>
      </rPr>
      <t>Městské kulturní středisko</t>
    </r>
    <r>
      <rPr>
        <b/>
        <sz val="10"/>
        <rFont val="Arial CE"/>
        <charset val="238"/>
      </rPr>
      <t xml:space="preserve"> </t>
    </r>
    <r>
      <rPr>
        <sz val="9"/>
        <rFont val="Arial CE"/>
        <family val="2"/>
        <charset val="238"/>
      </rPr>
      <t>(org. 501)</t>
    </r>
  </si>
  <si>
    <r>
      <t xml:space="preserve">Činnost ost. orgánů státní správy v oblasti civil.nouzového hospod. </t>
    </r>
    <r>
      <rPr>
        <sz val="9"/>
        <rFont val="Arial CE"/>
        <family val="2"/>
        <charset val="238"/>
      </rPr>
      <t>(čerpá se jen při živelních pohromách: přikrývky, písek+pytle, respirátory, dezinfekce, zabezpečení chodu evak.středisek, teplo, elektrická energie, PHM, služby: ubytovací,stravovací,dopravní)</t>
    </r>
  </si>
  <si>
    <r>
      <t xml:space="preserve">Ostatní správa v oblasti krizového řízení </t>
    </r>
    <r>
      <rPr>
        <sz val="9"/>
        <rFont val="Arial CE"/>
        <family val="2"/>
        <charset val="238"/>
      </rPr>
      <t>(PHM do elektrocentrály 1, služby 2, materiál 1, knihy+učební pomůcky+tisk 1) - čerpá se jen v mimořádných událostech</t>
    </r>
  </si>
  <si>
    <r>
      <t>Mobilní telefony-</t>
    </r>
    <r>
      <rPr>
        <b/>
        <sz val="10"/>
        <rFont val="Arial CE"/>
        <charset val="238"/>
      </rPr>
      <t>org.7381</t>
    </r>
  </si>
  <si>
    <r>
      <t>Pevné telefony-</t>
    </r>
    <r>
      <rPr>
        <b/>
        <sz val="10"/>
        <rFont val="Arial CE"/>
        <charset val="238"/>
      </rPr>
      <t>org.8381</t>
    </r>
  </si>
  <si>
    <r>
      <t xml:space="preserve">Pohřebnictví </t>
    </r>
    <r>
      <rPr>
        <sz val="9"/>
        <rFont val="Arial CE"/>
        <family val="2"/>
        <charset val="238"/>
      </rPr>
      <t>(úhrada sociálních pohřbů)</t>
    </r>
  </si>
  <si>
    <r>
      <t>Záležitosti soc. věcí a politiky nezaměstn. j.n.</t>
    </r>
    <r>
      <rPr>
        <b/>
        <sz val="9"/>
        <rFont val="Arial CE"/>
        <charset val="238"/>
      </rPr>
      <t xml:space="preserve"> </t>
    </r>
    <r>
      <rPr>
        <sz val="9"/>
        <rFont val="Arial CE"/>
        <charset val="238"/>
      </rPr>
      <t>(nákup tiskopisů receptů a žádanek na omamné látky)</t>
    </r>
  </si>
  <si>
    <r>
      <t xml:space="preserve">Ostatní správa ve vodním hospodářství </t>
    </r>
    <r>
      <rPr>
        <sz val="9"/>
        <rFont val="Arial CE"/>
        <family val="2"/>
        <charset val="238"/>
      </rPr>
      <t>(havárie)</t>
    </r>
  </si>
  <si>
    <r>
      <t>Sběr a svoz nebezpečných odpadů</t>
    </r>
    <r>
      <rPr>
        <b/>
        <sz val="9"/>
        <rFont val="Arial CE"/>
        <charset val="238"/>
      </rPr>
      <t xml:space="preserve"> </t>
    </r>
    <r>
      <rPr>
        <sz val="9"/>
        <rFont val="Arial CE"/>
        <charset val="238"/>
      </rPr>
      <t>(TSM: 50)</t>
    </r>
  </si>
  <si>
    <r>
      <t xml:space="preserve">Monitoring půdy a podzemní vody </t>
    </r>
    <r>
      <rPr>
        <sz val="9"/>
        <rFont val="Arial CE"/>
        <family val="2"/>
        <charset val="238"/>
      </rPr>
      <t xml:space="preserve">(sledování vrtů na Kojetíně) </t>
    </r>
  </si>
  <si>
    <r>
      <t>Chráněné části přírody</t>
    </r>
    <r>
      <rPr>
        <sz val="9"/>
        <rFont val="Arial CE"/>
        <family val="2"/>
        <charset val="238"/>
      </rPr>
      <t xml:space="preserve"> (památné stromy, významné krajinné prvky)</t>
    </r>
  </si>
  <si>
    <r>
      <t xml:space="preserve">Ostatní správa v průmyslu, stavebnictví, obchodu a službách </t>
    </r>
    <r>
      <rPr>
        <sz val="9"/>
        <rFont val="Arial CE"/>
        <family val="2"/>
        <charset val="238"/>
      </rPr>
      <t>(stavební úřad)</t>
    </r>
  </si>
  <si>
    <r>
      <t xml:space="preserve">Dotace, návratné finanční výpomoci a dary cizím subjektům </t>
    </r>
    <r>
      <rPr>
        <sz val="9"/>
        <rFont val="Arial CE"/>
        <charset val="238"/>
      </rPr>
      <t>(estetizace)</t>
    </r>
  </si>
  <si>
    <r>
      <t>Komunální služby a územní rozvoj</t>
    </r>
    <r>
      <rPr>
        <b/>
        <sz val="10"/>
        <rFont val="Arial CE"/>
        <charset val="238"/>
      </rPr>
      <t xml:space="preserve"> </t>
    </r>
    <r>
      <rPr>
        <sz val="10"/>
        <rFont val="Arial CE"/>
        <charset val="238"/>
      </rPr>
      <t>(soudní poplatky, realizace exekucí, ...)</t>
    </r>
  </si>
  <si>
    <r>
      <t xml:space="preserve">Činnost místní správy </t>
    </r>
    <r>
      <rPr>
        <sz val="10"/>
        <rFont val="Arial CE"/>
        <charset val="238"/>
      </rPr>
      <t>(daňové, účetní poradenství, odborné konzultace, psí známky, poplatky FÚ za bezdlužnost města)</t>
    </r>
  </si>
  <si>
    <r>
      <t>Výdaje z finančních operací</t>
    </r>
    <r>
      <rPr>
        <b/>
        <sz val="9"/>
        <rFont val="Arial CE"/>
        <charset val="238"/>
      </rPr>
      <t xml:space="preserve"> </t>
    </r>
    <r>
      <rPr>
        <sz val="10"/>
        <rFont val="Arial CE"/>
        <charset val="238"/>
      </rPr>
      <t>(bankovní poplatky za vedení účtů a položky)</t>
    </r>
  </si>
  <si>
    <r>
      <t xml:space="preserve">z toho: daň z příjmů právnických osob za obec </t>
    </r>
    <r>
      <rPr>
        <sz val="10"/>
        <rFont val="Arial CE"/>
        <charset val="238"/>
      </rPr>
      <t>(stejná výše je uvedena i v příjmech na pol. 1122)</t>
    </r>
  </si>
  <si>
    <r>
      <t xml:space="preserve">            členství města ve svazech a sdruž. </t>
    </r>
    <r>
      <rPr>
        <sz val="10"/>
        <rFont val="Arial CE"/>
        <charset val="238"/>
      </rPr>
      <t>(org.1010):</t>
    </r>
    <r>
      <rPr>
        <sz val="9"/>
        <rFont val="Arial CE"/>
        <charset val="238"/>
      </rPr>
      <t xml:space="preserve"> </t>
    </r>
    <r>
      <rPr>
        <sz val="10"/>
        <rFont val="Arial CE"/>
        <charset val="238"/>
      </rPr>
      <t>Partnerství pro městskou mobilitu (bývalá Asociace cykloměst) 5, MAS Lašsko 80, Národní síť zdravých měst 44,7735, Svaz měst a obcí 76,89776, Sdružení historických sídel 28,195, EUROREGION SILESIA-CZ 58,74, ...,</t>
    </r>
  </si>
  <si>
    <t xml:space="preserve">                    Dotace na podporu využití zachycené dešťové vody </t>
  </si>
  <si>
    <t xml:space="preserve">                    Dotace na vybudování malých domovních čistíren odpadních vod</t>
  </si>
  <si>
    <r>
      <t xml:space="preserve">            Odbor správy majetku (</t>
    </r>
    <r>
      <rPr>
        <sz val="9"/>
        <rFont val="Arial CE"/>
        <family val="2"/>
        <charset val="238"/>
      </rPr>
      <t>překopy+zábory+MP vyhrazené parkování)</t>
    </r>
  </si>
  <si>
    <r>
      <t xml:space="preserve">            Odbor životního prostředí</t>
    </r>
    <r>
      <rPr>
        <sz val="9"/>
        <rFont val="Arial CE"/>
        <charset val="238"/>
      </rPr>
      <t xml:space="preserve"> (zvláštní užívání zeleně)</t>
    </r>
  </si>
  <si>
    <t>Investiční přijaté transfery ze státních fondů</t>
  </si>
  <si>
    <r>
      <t xml:space="preserve">Odvádění odpadních vod </t>
    </r>
    <r>
      <rPr>
        <sz val="10"/>
        <rFont val="Arial CE"/>
        <charset val="238"/>
      </rPr>
      <t>(DSO regionu Novojičínska: od r. 2023 přesunuto na ORJ 102)</t>
    </r>
  </si>
  <si>
    <r>
      <t>Finanční vypořádání Veolia Energie ČR</t>
    </r>
    <r>
      <rPr>
        <b/>
        <sz val="9"/>
        <rFont val="Arial CE"/>
        <charset val="238"/>
      </rPr>
      <t xml:space="preserve"> </t>
    </r>
    <r>
      <rPr>
        <sz val="10"/>
        <rFont val="Arial CE"/>
        <charset val="238"/>
      </rPr>
      <t>(dle fakturace skutečně odebraného množství GJ 2020-2022)</t>
    </r>
  </si>
  <si>
    <r>
      <t xml:space="preserve">Vnitřní obchod </t>
    </r>
    <r>
      <rPr>
        <sz val="9"/>
        <rFont val="Arial CE"/>
        <family val="2"/>
        <charset val="238"/>
      </rPr>
      <t>(ostatní služby 15)</t>
    </r>
  </si>
  <si>
    <r>
      <rPr>
        <b/>
        <sz val="10"/>
        <rFont val="Arial CE"/>
        <charset val="238"/>
      </rPr>
      <t xml:space="preserve">Bytové hospodářství </t>
    </r>
    <r>
      <rPr>
        <sz val="10"/>
        <rFont val="Arial CE"/>
        <charset val="238"/>
      </rPr>
      <t>(úroky z úvěru u ČS)</t>
    </r>
  </si>
  <si>
    <r>
      <t>2310440/741/</t>
    </r>
    <r>
      <rPr>
        <b/>
        <sz val="9"/>
        <rFont val="Arial CE"/>
        <charset val="238"/>
      </rPr>
      <t>2321</t>
    </r>
    <r>
      <rPr>
        <sz val="9"/>
        <rFont val="Arial CE"/>
        <charset val="238"/>
      </rPr>
      <t>/5169</t>
    </r>
  </si>
  <si>
    <t xml:space="preserve">             § 6171 sankce za porušení rozpočtové kázně (dotace)</t>
  </si>
  <si>
    <t xml:space="preserve">             vratky příjmů z minulých let (stavební úřad)</t>
  </si>
  <si>
    <t xml:space="preserve">           § 2169 stavební úřad </t>
  </si>
  <si>
    <t xml:space="preserve">           § 3635 územní plánování - úhrada nákladů na pořízení změny č. 8 ÚP NJ </t>
  </si>
  <si>
    <r>
      <t xml:space="preserve">z toho:  § 2141 vnitřní obchod </t>
    </r>
    <r>
      <rPr>
        <sz val="9"/>
        <rFont val="Arial CE"/>
        <charset val="238"/>
      </rPr>
      <t>(Obecní živnostenský úřad: ve správním řízení 5, v blokovém řízení 10)</t>
    </r>
  </si>
  <si>
    <t xml:space="preserve">            § 6402 vratka TSM NJ (stř.pohřebnictví)</t>
  </si>
  <si>
    <t xml:space="preserve">            § 3412 Zimní stadión z.s.-vratka příspěvku na provoz</t>
  </si>
  <si>
    <r>
      <t xml:space="preserve">Vnitřní obchod  </t>
    </r>
    <r>
      <rPr>
        <b/>
        <sz val="9"/>
        <rFont val="Arial CE"/>
        <charset val="238"/>
      </rPr>
      <t xml:space="preserve">- </t>
    </r>
    <r>
      <rPr>
        <sz val="9"/>
        <rFont val="Arial CE"/>
        <charset val="238"/>
      </rPr>
      <t>opravy a údržba 14,25, materiál 47,65 služby 51,87, příspěvek TSM celkem (jarmarky, vánoční strom, výzdoba,…) 582, pohoštění 6,27 DHM 169,29</t>
    </r>
  </si>
  <si>
    <r>
      <t>Mezinárodní spolupráce</t>
    </r>
    <r>
      <rPr>
        <sz val="9"/>
        <rFont val="Arial CE"/>
        <charset val="238"/>
      </rPr>
      <t xml:space="preserve"> - materiál 150, materiál DPH 20, PHM 15, nájemné 40, služby 500, cestovné 77, pohoštění 250, dohody 5,5, poštovné 5,5, ostatní nákupy 5,5,, věcné dary 5,5.</t>
    </r>
  </si>
  <si>
    <r>
      <t xml:space="preserve">             podpora sociálních služeb dle zákona o soc.službách (org. 1113), </t>
    </r>
    <r>
      <rPr>
        <sz val="8"/>
        <rFont val="Arial CE"/>
        <charset val="238"/>
      </rPr>
      <t>vč. spolufinancování obcí 1.459.028 Kč</t>
    </r>
  </si>
  <si>
    <r>
      <t xml:space="preserve">             podpora občanů města v pobytových soc. zařízeních (org. 1114), </t>
    </r>
    <r>
      <rPr>
        <sz val="8"/>
        <rFont val="Arial CE"/>
        <charset val="238"/>
      </rPr>
      <t>vč. spolufinancování obcí 1.203.095 Kč</t>
    </r>
  </si>
  <si>
    <r>
      <t xml:space="preserve">              § 4379 v klubech seniorů </t>
    </r>
    <r>
      <rPr>
        <sz val="9"/>
        <rFont val="Arial CE"/>
        <family val="2"/>
        <charset val="238"/>
      </rPr>
      <t xml:space="preserve">(nájmy: dlouhodobé 10/10, krátkodobé 5/5) </t>
    </r>
  </si>
  <si>
    <t xml:space="preserve">                  - příspěvek na investice </t>
  </si>
  <si>
    <r>
      <t xml:space="preserve">                               - příspěvek na údržbu </t>
    </r>
    <r>
      <rPr>
        <sz val="9"/>
        <rFont val="Arial CE"/>
        <family val="2"/>
        <charset val="238"/>
      </rPr>
      <t xml:space="preserve">(malování a nátěry 100, výměna podlahových krytin 54, oprava soc.zař. MŠ Vanč. 30, dorozumívací zař. MŠ KČ 117, výměna sklepních oken 20, oprava plotu MŠ Loučka 2.etapa 134) </t>
    </r>
  </si>
  <si>
    <r>
      <t xml:space="preserve">             kompenzace ztráty dopravci za </t>
    </r>
    <r>
      <rPr>
        <sz val="10"/>
        <rFont val="Arial CE"/>
        <charset val="238"/>
      </rPr>
      <t>provozování cyklo-ski busu</t>
    </r>
  </si>
  <si>
    <r>
      <t xml:space="preserve">             § 2223 pokuty-vážení </t>
    </r>
    <r>
      <rPr>
        <sz val="9"/>
        <color theme="1"/>
        <rFont val="Arial CE"/>
        <charset val="238"/>
      </rPr>
      <t>(Odbor dopravy)</t>
    </r>
  </si>
  <si>
    <r>
      <t xml:space="preserve">             § 6171 pokuty </t>
    </r>
    <r>
      <rPr>
        <sz val="9"/>
        <rFont val="Arial CE"/>
        <family val="2"/>
        <charset val="238"/>
      </rPr>
      <t>(Odbor správních agend OP 13, CD 2)</t>
    </r>
  </si>
  <si>
    <t>Volby do Evropského Parlamentu</t>
  </si>
  <si>
    <r>
      <t xml:space="preserve">z toho </t>
    </r>
    <r>
      <rPr>
        <b/>
        <sz val="10"/>
        <rFont val="Arial CE"/>
        <charset val="238"/>
      </rPr>
      <t>Denní stacionář=Domovinka</t>
    </r>
    <r>
      <rPr>
        <b/>
        <sz val="9"/>
        <rFont val="Arial CE"/>
        <charset val="238"/>
      </rPr>
      <t xml:space="preserve"> (org.1391)</t>
    </r>
    <r>
      <rPr>
        <sz val="9"/>
        <rFont val="Arial CE"/>
        <charset val="238"/>
      </rPr>
      <t>: platy 1040+ 410, dohody 60, zákonné odvody270+103 96+40, ochr.os.pomůcky 8, prádlo+oděv 1,5, knihy+tisk 1, DHM 15, materiál 32, elektrická energie 17, služby telekomunikací 1, školení a vzdělávání 10, zpracování dat 10, služby 33, opravy a údržba 58, cestovné 1, účastn.popl.na konferencích 2,5, náhrady mezd v době nemoci  5+10</t>
    </r>
  </si>
  <si>
    <r>
      <t xml:space="preserve">z toho </t>
    </r>
    <r>
      <rPr>
        <b/>
        <sz val="10"/>
        <rFont val="Arial CE"/>
        <charset val="238"/>
      </rPr>
      <t>Pečovatelská služba</t>
    </r>
    <r>
      <rPr>
        <b/>
        <sz val="9"/>
        <rFont val="Arial CE"/>
        <charset val="238"/>
      </rPr>
      <t xml:space="preserve"> (org.390)</t>
    </r>
    <r>
      <rPr>
        <sz val="9"/>
        <rFont val="Arial CE"/>
        <charset val="238"/>
      </rPr>
      <t xml:space="preserve">: platy4530+785, dohody 60+50, zákonné odvody 1150+237, 408+71, potraviny 1, ochranné osobní pomůcky 40, léky+zdrav.mater.3, prádlo+oděv 2, knihy+tisk 1,5, DHM  80, materiál  120, elektř. 83, PHM 120, služby telekomunikací 0, mobily 12, pevné linky 3, školení a vzdělávání 50, zpracování dat 40, služby 70, opravy a udržování 150, cestovné 20, účastnické poplatky na konference 12, ostatní nákupy 0, neinvestiční transfery spolkům 3,5, náhrady mezd v době nemoci 83+20, dopravní prostředky 0   </t>
    </r>
  </si>
  <si>
    <r>
      <t xml:space="preserve">z toho </t>
    </r>
    <r>
      <rPr>
        <b/>
        <sz val="10"/>
        <rFont val="Arial CE"/>
        <charset val="238"/>
      </rPr>
      <t xml:space="preserve">Odlehčovací služba Pohoda </t>
    </r>
    <r>
      <rPr>
        <b/>
        <sz val="9"/>
        <rFont val="Arial CE"/>
        <charset val="238"/>
      </rPr>
      <t>(org.1393)</t>
    </r>
    <r>
      <rPr>
        <sz val="9"/>
        <rFont val="Arial CE"/>
        <charset val="238"/>
      </rPr>
      <t xml:space="preserve">: platy 3360+940, dohody 400, zákonné odvody 900+235,  350+85, OOP+oděvy 20+8, DHM 45, materiál 60, elektř.30, telef. 1, školení a vzdělávání 25, zpracování dat 20, služby 50, opravy a údržba 15, cestovné 1, poplatky na konference 2,5, náhrady v době nemoci  80+15                                               </t>
    </r>
  </si>
  <si>
    <t xml:space="preserve">                                        - Nákup zahradního traktoru s hydraulickým vyprazdňováním koše</t>
  </si>
  <si>
    <t xml:space="preserve">                                        - nákup 14 ks polohov.lehátek pro venkovní ochlazovnu (100), hliníkové nosné plošiny (80), odstředivka plavek (45.254) pol. 6122</t>
  </si>
  <si>
    <t xml:space="preserve">          - příspěvek Basketbalovému klubu, z.s. (provoz+energie)  + oprava dešťových svodů (500)       AÚ 437 </t>
  </si>
  <si>
    <t xml:space="preserve">          - nákup DDHM a ost.materiálu  5137 (nákup 8ks lehátek pro saunový provoz), 5139 </t>
  </si>
  <si>
    <t xml:space="preserve">                          - generální opravy volných bytů (vrácené byty zdevastované nebo po exekucích) </t>
  </si>
  <si>
    <t xml:space="preserve">                          - PD a posudky opravy střech, fasád, odvlhčení domů ve správě OB, apod.</t>
  </si>
  <si>
    <t xml:space="preserve">                          - generální opravy bytů v MPR ( pro ORI nad 1 mil)</t>
  </si>
  <si>
    <t xml:space="preserve">             úsek 1 (p. Kabuďová ):  </t>
  </si>
  <si>
    <t xml:space="preserve">                             DPS Pod Lipami - výměna vstupních dveří</t>
  </si>
  <si>
    <t xml:space="preserve">             úsek 2 + MPR (p. Honešová): </t>
  </si>
  <si>
    <t xml:space="preserve">             úsek 2 - MPR (p. Honešová):  </t>
  </si>
  <si>
    <t xml:space="preserve">                         - akce úsek 2 celkem: </t>
  </si>
  <si>
    <t xml:space="preserve">             TSM  - požadavky Redmine, OB příspěvek - AÚ 0800, po. 5169</t>
  </si>
  <si>
    <t xml:space="preserve">              Příspěvek na investice TSM  (AÚ 0800, pol. 6351) garážová vrata, oplechování a zateplení garáží  110 + výměna VO 40</t>
  </si>
  <si>
    <t xml:space="preserve">              Příspěvek na investice TSM  (AÚ 0800, pol. 6351) - Administrativní budova: Klimatizační jednotka 2.patro - PD vč.realizace        (520), Zateplení stropu pod střechou ( 80)</t>
  </si>
  <si>
    <t xml:space="preserve">            - elektřina  </t>
  </si>
  <si>
    <t xml:space="preserve">z toho:  PD pro NP </t>
  </si>
  <si>
    <t xml:space="preserve">            služby + revize org. 0518 - nebytové domy </t>
  </si>
  <si>
    <t xml:space="preserve">            služby + revize org. 8518  Hűckelovy vily (Smlouva správce)</t>
  </si>
  <si>
    <t xml:space="preserve">            dohody+odvody - Bludovice, Straník, Kojetín, Žilina   AÚ0 800</t>
  </si>
  <si>
    <t xml:space="preserve">            TSM - provoz veřejných WC+WC u letního kina AÚ 0800</t>
  </si>
  <si>
    <t xml:space="preserve">            TSM - požadavky Redmine, OB příspěvek - AÚ 0800, pol. 5169</t>
  </si>
  <si>
    <t xml:space="preserve">              Příspěvek na TSM  výměna PVC v šatně - 120.000 Kč, oprava venkovního schodiště a opěrné zídky v areálu TS Nový Jičín - 60.000 Kč pol. 5331 AU 0800</t>
  </si>
  <si>
    <t xml:space="preserve">             úsek 5 - NP + NP v MPR (p. Friedecká, Černochová)</t>
  </si>
  <si>
    <t xml:space="preserve">                           Msgr. Šrámka 11 - zubní poliklinika - oprava omítek, střechy, atika, dveře u ordinací</t>
  </si>
  <si>
    <t xml:space="preserve">                                    Loučka 90</t>
  </si>
  <si>
    <t xml:space="preserve">                                    Straník 80 (nepředvídatelné opravy)</t>
  </si>
  <si>
    <t xml:space="preserve">                                    SK Straník 147 (oprava fasády, nová podlaha v tělocvičně, výměna oken - II. část) </t>
  </si>
  <si>
    <t xml:space="preserve">                                    Bludovice 13  - drobné opravy</t>
  </si>
  <si>
    <t xml:space="preserve">                                    Kojetín 7 - stavební úpravy (dětská herna, tělocvična), oprava dlažby a osvětlení ve volební místnosti </t>
  </si>
  <si>
    <t>z toho opravy:  nepředvídané opravy a havárie teplovodů , výměna potrubí TUV Loučka 300</t>
  </si>
  <si>
    <t xml:space="preserve">             nepředvídané opravy tepelného hospodářství (havarie OPS, přípojek a potrubí TUV, rozvodů tepla a prostupů)</t>
  </si>
  <si>
    <t xml:space="preserve">             PD a realizace - 10 ks měření a regulace OPS</t>
  </si>
  <si>
    <t xml:space="preserve">            Azylový dům Nový Jičín (výměna vnitřních dveří, oprava pokojů v 1. patře, oprava plotu a střechy)</t>
  </si>
  <si>
    <t xml:space="preserve">            komplexní řízení energetiky - software energetický management ENSYTRA a roční poplatek (pol. 5168)</t>
  </si>
  <si>
    <t xml:space="preserve">            PD - projektování v tepelném hospodářství</t>
  </si>
  <si>
    <r>
      <t xml:space="preserve">              § 3612 z bytů v majetku města</t>
    </r>
    <r>
      <rPr>
        <sz val="9"/>
        <rFont val="Arial CE"/>
        <charset val="238"/>
      </rPr>
      <t xml:space="preserve"> (Odbor bytový: nájmy, zálohy na služby, pacht Suvorovova 480)</t>
    </r>
  </si>
  <si>
    <r>
      <t xml:space="preserve">              § 3613 v nebytových prostorech </t>
    </r>
    <r>
      <rPr>
        <sz val="9"/>
        <rFont val="Arial CE"/>
        <charset val="238"/>
      </rPr>
      <t>(Odbor bytový: nájmy 13000, zálohy na služby 1700, kryté stání Loučka 300, krátkodobé 50, Hotel Praha 746)</t>
    </r>
  </si>
  <si>
    <t xml:space="preserve">             nebytový dům U Jezu - Charita</t>
  </si>
  <si>
    <r>
      <t>Chata Jičínka-</t>
    </r>
    <r>
      <rPr>
        <b/>
        <sz val="10"/>
        <rFont val="Arial CE"/>
        <charset val="238"/>
      </rPr>
      <t>org.4381</t>
    </r>
    <r>
      <rPr>
        <sz val="10"/>
        <rFont val="Arial CE"/>
        <family val="2"/>
        <charset val="238"/>
      </rPr>
      <t xml:space="preserve"> </t>
    </r>
    <r>
      <rPr>
        <sz val="9"/>
        <rFont val="Arial CE"/>
        <charset val="238"/>
      </rPr>
      <t xml:space="preserve">(v tom: drobný hmotný majetek 80, materiál 20, voda 11, elektr.energie 170, PHM 1, služby-praní, odpady,... 30, opravy a udržování 150, místní poplatky 20, </t>
    </r>
    <r>
      <rPr>
        <b/>
        <sz val="9"/>
        <rFont val="Arial CE"/>
        <charset val="238"/>
      </rPr>
      <t>investice:</t>
    </r>
    <r>
      <rPr>
        <sz val="9"/>
        <rFont val="Arial CE"/>
        <charset val="238"/>
      </rPr>
      <t xml:space="preserve"> další etapa - rekonstrukce střechy, spol. místnost a terenní úpravy 500)</t>
    </r>
  </si>
  <si>
    <r>
      <t xml:space="preserve">Požární ochrana - profesionální část </t>
    </r>
    <r>
      <rPr>
        <sz val="9"/>
        <rFont val="Arial CE"/>
        <family val="2"/>
        <charset val="238"/>
      </rPr>
      <t>(příspěvek HZS MSK dle smlouvy zvýšené o inflaci - předpoklad 10 %)</t>
    </r>
  </si>
  <si>
    <r>
      <t xml:space="preserve">Požární ochrana - dobrovolná část </t>
    </r>
    <r>
      <rPr>
        <sz val="9"/>
        <rFont val="Arial CE"/>
        <family val="2"/>
        <charset val="238"/>
      </rPr>
      <t>(pro hasiče Straník: OOPP 20, DHM - vysoušeč, svítilny 25, materiál 10, PHM 15, služby+internet 5, nákup služeb-technické prohlídky vozidel, měření emisí, výměna pneu,... 10, opravy a udržování-příprava na STK, drobné opravy vozového parku 40)</t>
    </r>
  </si>
  <si>
    <r>
      <t xml:space="preserve">z toho </t>
    </r>
    <r>
      <rPr>
        <b/>
        <sz val="9"/>
        <rFont val="Arial CE"/>
        <charset val="238"/>
      </rPr>
      <t>provoz</t>
    </r>
    <r>
      <rPr>
        <sz val="9"/>
        <rFont val="Arial CE"/>
        <charset val="238"/>
      </rPr>
      <t>: činnost místní správy-</t>
    </r>
    <r>
      <rPr>
        <b/>
        <sz val="9"/>
        <rFont val="Arial CE"/>
        <charset val="238"/>
      </rPr>
      <t>org.381</t>
    </r>
    <r>
      <rPr>
        <sz val="9"/>
        <rFont val="Arial CE"/>
        <charset val="238"/>
      </rPr>
      <t xml:space="preserve"> v tom: odměny za užití duševního vlastnictví-OSA 40, ochranné pomůcky - OOPP pro nové zaměstnance a obměna stávajících 40, léky a zdrav.materiál 6, knihy+učební pomůcky+tisk 100, Novojičínský zpravodaj 500, drobný hmotný majetek-nábytek 1000, mobily, skartovačky, kan.židle, skříně, police 380, podlah.krytiny 200, materiál-kancelářský, hygienický, čistící, doručovací, ikebana, automobily-mazadla, nemrznoucí směsi,... 1075, voda 444, teplo 3150, elektr.energie 2550, pevná paliva 5, PHM 170, služby pošt 2310, telekomun.120, nájemné 140, právní služby 357,4, služby BOZP 72,6, bezplatné právní služby pro veřejnost 50, zpracování dat 281, služby vč. úklidu,servisu kopírek, elektrorevize 4285, opravy a udržování - servis vozidel 300,opravy židlí 20, příp. škodní události 100, malování, nátěry oken a dveří 450, Div. 8 garáže - oprava kanalizace, oprava garážových vrat 30,  ostatní opravy 1000, okna sekretariát VM 150, Div. 1 kanalizace 400, Div. 1 střešní okna 950, Div. 8 brána a zeď 350, pohoštění 200, ostatní nákupy (čl. přísp. auditorů a tajemníků) 4,5, daně a poplatky vč. dálničních známek 30, ostatní výdaje 2, </t>
    </r>
  </si>
  <si>
    <r>
      <t>z toho</t>
    </r>
    <r>
      <rPr>
        <b/>
        <sz val="9"/>
        <rFont val="Arial CE"/>
        <family val="2"/>
        <charset val="238"/>
      </rPr>
      <t xml:space="preserve"> investice: </t>
    </r>
    <r>
      <rPr>
        <sz val="9"/>
        <rFont val="Arial CE"/>
        <family val="2"/>
        <charset val="238"/>
      </rPr>
      <t>činnost místní správy-</t>
    </r>
    <r>
      <rPr>
        <b/>
        <sz val="9"/>
        <rFont val="Arial CE"/>
        <family val="2"/>
        <charset val="238"/>
      </rPr>
      <t>org.381:</t>
    </r>
    <r>
      <rPr>
        <sz val="9"/>
        <rFont val="Arial CE"/>
        <family val="2"/>
        <charset val="238"/>
      </rPr>
      <t xml:space="preserve"> soubor nábytku, koberec, kuch. linky 100, sl. vozidlo 1500</t>
    </r>
  </si>
  <si>
    <r>
      <t xml:space="preserve">Úsek informatiky </t>
    </r>
    <r>
      <rPr>
        <sz val="9"/>
        <rFont val="Arial CE"/>
        <charset val="238"/>
      </rPr>
      <t xml:space="preserve">- </t>
    </r>
    <r>
      <rPr>
        <b/>
        <sz val="9"/>
        <rFont val="Arial CE"/>
        <charset val="238"/>
      </rPr>
      <t>provoz - org.3381</t>
    </r>
    <r>
      <rPr>
        <sz val="9"/>
        <rFont val="Arial CE"/>
        <charset val="238"/>
      </rPr>
      <t xml:space="preserve"> (v tom: drobný hmotný majetek-nové PC a LCD monitory, notebooky, kopírky, tiskárny, web kamera - nový HW, drobné síťové prvky, UPS 790, materiál 195, nájemné 40, školení 50, služby zpracování dat 3097,3, ost.služby-znalecké posudky, osvědčení, proj. dokumentace kybernetická bezpečnost NIS2 200, opravy a udržování 240, nákup softwaru 70.</t>
    </r>
  </si>
  <si>
    <r>
      <t>Úsek informatiky</t>
    </r>
    <r>
      <rPr>
        <b/>
        <sz val="9"/>
        <rFont val="Arial CE"/>
        <charset val="238"/>
      </rPr>
      <t xml:space="preserve"> </t>
    </r>
    <r>
      <rPr>
        <sz val="9"/>
        <rFont val="Arial CE"/>
        <charset val="238"/>
      </rPr>
      <t xml:space="preserve">- </t>
    </r>
    <r>
      <rPr>
        <b/>
        <sz val="9"/>
        <rFont val="Arial CE"/>
        <charset val="238"/>
      </rPr>
      <t xml:space="preserve">investice - org.3381 </t>
    </r>
    <r>
      <rPr>
        <sz val="9"/>
        <rFont val="Arial CE"/>
        <charset val="238"/>
      </rPr>
      <t xml:space="preserve">programové vybavení - rozvoj GIS 200, nákup IS 1162,81, nákup SW -office 2023 700, nový plotr 60, nákup scaneru A3 70. </t>
    </r>
  </si>
  <si>
    <r>
      <t>Dotace na OSPOD-</t>
    </r>
    <r>
      <rPr>
        <b/>
        <sz val="10"/>
        <rFont val="Arial CE"/>
        <charset val="238"/>
      </rPr>
      <t>org. 1385</t>
    </r>
    <r>
      <rPr>
        <sz val="10"/>
        <rFont val="Arial CE"/>
        <family val="2"/>
        <charset val="238"/>
      </rPr>
      <t xml:space="preserve"> </t>
    </r>
    <r>
      <rPr>
        <sz val="9"/>
        <rFont val="Arial CE"/>
        <family val="2"/>
        <charset val="238"/>
      </rPr>
      <t xml:space="preserve">(v tom: knihy 5, DHM 30, materiál 30, PHM 40, služby telekomunikací 18, zpracování dat 72,6, ostatní služby 10, nájemné - leasing 140,3, služby peněžních ústavů - pojištění 15,114) </t>
    </r>
  </si>
  <si>
    <r>
      <t xml:space="preserve">              § 3613 v nebytových prostorech </t>
    </r>
    <r>
      <rPr>
        <sz val="9"/>
        <rFont val="Arial CE"/>
        <family val="2"/>
        <charset val="238"/>
      </rPr>
      <t>(Odbor organizační: Div.8-Policie ČR, Glogar; Dlouhá - Náš-Net, Tesařová kancelář Div. 8)</t>
    </r>
  </si>
  <si>
    <r>
      <t xml:space="preserve">Příjem z pronájmu nebo pachtu pozemků </t>
    </r>
    <r>
      <rPr>
        <sz val="9"/>
        <rFont val="Arial CE"/>
        <charset val="238"/>
      </rPr>
      <t>(Odbor správy majetku: s 0% DPH 450, s 21% DPH 550)</t>
    </r>
  </si>
  <si>
    <r>
      <t xml:space="preserve">Ostatní příjmy z vlastní činnosti </t>
    </r>
    <r>
      <rPr>
        <sz val="9"/>
        <rFont val="Arial CE"/>
        <family val="2"/>
        <charset val="238"/>
      </rPr>
      <t>(Odbor správy majetku: věcná břemena s 21% DPH 3000)</t>
    </r>
  </si>
  <si>
    <t xml:space="preserve">             § 2219 odbor správy majetku - pokuty parkoviště Dlouhá</t>
  </si>
  <si>
    <t xml:space="preserve">           § 3633 náklady za připojení CTP Moravia North spol. s r.o., průmyslový park (odbor správy majetku)</t>
  </si>
  <si>
    <t xml:space="preserve">           § 3639 provoz internetu ve Straníku,(kovošrot 0,920), (odbor správy majetku)</t>
  </si>
  <si>
    <r>
      <t xml:space="preserve">             </t>
    </r>
    <r>
      <rPr>
        <sz val="10"/>
        <rFont val="Arial CE"/>
        <family val="2"/>
        <charset val="238"/>
      </rPr>
      <t>RWE GAS Storage (Workoutové hřiště Žilina)</t>
    </r>
  </si>
  <si>
    <t>Přijaté příspěvky od osob na pořízení dlohodobého majetku</t>
  </si>
  <si>
    <r>
      <t xml:space="preserve">           </t>
    </r>
    <r>
      <rPr>
        <sz val="9"/>
        <rFont val="Arial CE"/>
        <charset val="238"/>
      </rPr>
      <t xml:space="preserve">opravy a udržba </t>
    </r>
  </si>
  <si>
    <r>
      <t>0387/2310/</t>
    </r>
    <r>
      <rPr>
        <sz val="8"/>
        <rFont val="Arial CE"/>
        <charset val="238"/>
      </rPr>
      <t>5171</t>
    </r>
  </si>
  <si>
    <r>
      <t xml:space="preserve">           </t>
    </r>
    <r>
      <rPr>
        <sz val="9"/>
        <rFont val="Arial CE"/>
        <charset val="238"/>
      </rPr>
      <t>opravy a udržba ( oprava vodojem Straník 1500)</t>
    </r>
  </si>
  <si>
    <t>0387/2310/5362</t>
  </si>
  <si>
    <r>
      <t xml:space="preserve">           </t>
    </r>
    <r>
      <rPr>
        <sz val="9"/>
        <rFont val="Arial CE"/>
        <charset val="238"/>
      </rPr>
      <t>poplatek - odnětí ze ZPF vodojem Straník</t>
    </r>
  </si>
  <si>
    <t xml:space="preserve">            revize, poplatky, PD k opravám + Svazek obcí dle příkazní smlouvy (242,676 účet 231 0440)</t>
  </si>
  <si>
    <t xml:space="preserve">            opravy a údržba </t>
  </si>
  <si>
    <t xml:space="preserve">             oprava a údržba místních komunikací - město </t>
  </si>
  <si>
    <t xml:space="preserve">             oprava opěrné zdi VT Rakovec (Bařiny)</t>
  </si>
  <si>
    <r>
      <t xml:space="preserve">             </t>
    </r>
    <r>
      <rPr>
        <sz val="10"/>
        <rFont val="Arial CE"/>
        <charset val="238"/>
      </rPr>
      <t>služby - mostní prohlídky 150,  rozpočty 300</t>
    </r>
  </si>
  <si>
    <t xml:space="preserve">             Chodník ke studni + úprava prostoru kolem studny v Žilině</t>
  </si>
  <si>
    <t xml:space="preserve">             Parkoviště Dlouhá č.p. 50, 52</t>
  </si>
  <si>
    <t xml:space="preserve">  investice: úprava kabelových rozvodů ve Straníku </t>
  </si>
  <si>
    <t xml:space="preserve">                                      - opravy a údržba (DH Vančurova, Máchova, Straník...)</t>
  </si>
  <si>
    <t xml:space="preserve"> investice: Houpačka na Kojetíně</t>
  </si>
  <si>
    <t>0382/3412/6121</t>
  </si>
  <si>
    <t xml:space="preserve"> investice: Workoutové hřiště Žilina</t>
  </si>
  <si>
    <t>0517/3631/6351</t>
  </si>
  <si>
    <t xml:space="preserve">             výměna osvětlení na náměstí </t>
  </si>
  <si>
    <t>3602/3631/6121</t>
  </si>
  <si>
    <t xml:space="preserve">                    VO B.Martinů, K Nemocnici</t>
  </si>
  <si>
    <t xml:space="preserve">                    VO Štefánikova PD</t>
  </si>
  <si>
    <r>
      <t xml:space="preserve">           </t>
    </r>
    <r>
      <rPr>
        <sz val="9"/>
        <rFont val="Arial CE"/>
        <charset val="238"/>
      </rPr>
      <t>PD k opravám (TDS, BOZP, AD)</t>
    </r>
  </si>
  <si>
    <r>
      <t xml:space="preserve">             příspěvek na investice TSM </t>
    </r>
    <r>
      <rPr>
        <sz val="9"/>
        <rFont val="Arial CE"/>
        <charset val="238"/>
      </rPr>
      <t xml:space="preserve">(2024:hákový nakladač 2 600 tis., přeložka elektriky SD Palackého 150 tis.) </t>
    </r>
  </si>
  <si>
    <r>
      <t xml:space="preserve">                     Komunikace Žilina, Potoční </t>
    </r>
    <r>
      <rPr>
        <sz val="10"/>
        <color rgb="FFFF0000"/>
        <rFont val="Arial CE"/>
        <charset val="238"/>
      </rPr>
      <t>ukončeno 2023</t>
    </r>
  </si>
  <si>
    <t xml:space="preserve">                     Lávka Novosady</t>
  </si>
  <si>
    <t>6100/2212/6121</t>
  </si>
  <si>
    <r>
      <t xml:space="preserve">                     Stacionární místo pro radar Bludovice </t>
    </r>
    <r>
      <rPr>
        <sz val="10"/>
        <color rgb="FFFF0000"/>
        <rFont val="Arial CE"/>
        <charset val="238"/>
      </rPr>
      <t>ukončeno 2023</t>
    </r>
  </si>
  <si>
    <t xml:space="preserve">                     Lávka Loučka, Za Potokem 90, před poštou</t>
  </si>
  <si>
    <t xml:space="preserve">                    Parkoviště Vančurova, u restaurace Máj - podelná stání (KSD 35)</t>
  </si>
  <si>
    <t xml:space="preserve">                    Parkoviště Vančurova, nové parkoviště u Policie ČR - u garáží (KSD 37)</t>
  </si>
  <si>
    <t xml:space="preserve">                    Parkoviště Hoblíkova PD (KSD 6)</t>
  </si>
  <si>
    <r>
      <t xml:space="preserve">                    Parkoviště Budovatelů, bytové domy 5,7,9 (KSD 7) </t>
    </r>
    <r>
      <rPr>
        <sz val="10"/>
        <color rgb="FFFF0000"/>
        <rFont val="Arial CE"/>
        <charset val="238"/>
      </rPr>
      <t>ukončeno 2023</t>
    </r>
  </si>
  <si>
    <r>
      <t xml:space="preserve">                    Parkovací stání Dlouhá, bytové domy 42 - 48 (KSD 11) </t>
    </r>
    <r>
      <rPr>
        <sz val="10"/>
        <color rgb="FFFF0000"/>
        <rFont val="Arial CE"/>
        <charset val="238"/>
      </rPr>
      <t>ukončeno 2023</t>
    </r>
  </si>
  <si>
    <r>
      <t xml:space="preserve">                    Parkoviště Luční p.č. 218/9 (KSD 23) </t>
    </r>
    <r>
      <rPr>
        <sz val="10"/>
        <color rgb="FFFF0000"/>
        <rFont val="Arial CE"/>
        <charset val="238"/>
      </rPr>
      <t>ukončeno 2023</t>
    </r>
  </si>
  <si>
    <r>
      <t xml:space="preserve">                    Parkoviště Smetanovy sady, bytové domy 20, 22, 24 (KSD 30) </t>
    </r>
    <r>
      <rPr>
        <sz val="10"/>
        <color rgb="FFFF0000"/>
        <rFont val="Arial CE"/>
        <charset val="238"/>
      </rPr>
      <t>ukončeno 2023</t>
    </r>
  </si>
  <si>
    <r>
      <t xml:space="preserve">                    Parkoviště Dlouhá, obytná komunikace, bytové domy 50, 52, (KSD 17) </t>
    </r>
    <r>
      <rPr>
        <sz val="10"/>
        <color rgb="FF0070C0"/>
        <rFont val="Arial CE"/>
        <charset val="238"/>
      </rPr>
      <t>převod OSM</t>
    </r>
  </si>
  <si>
    <t xml:space="preserve">                    Parkoviště Dlouhá, podél komunikace ve svahu, p.č. 608/1 (KSD 18)</t>
  </si>
  <si>
    <t xml:space="preserve">                    Parkoviště na ul. Dlouhá u AZ Sportovní  PD (KSD 16) </t>
  </si>
  <si>
    <t xml:space="preserve">                    Regenerace PS Nerudova V. etapa PD</t>
  </si>
  <si>
    <t xml:space="preserve">                    Cyklopruhy na ul. B. Martinů v Novém Jičíně</t>
  </si>
  <si>
    <r>
      <t xml:space="preserve">                    Autobusová zastávka Žilina, U Požární zbrojnice </t>
    </r>
    <r>
      <rPr>
        <sz val="10"/>
        <color rgb="FFFF0000"/>
        <rFont val="Arial CE"/>
        <charset val="238"/>
      </rPr>
      <t>ukončena 2023</t>
    </r>
  </si>
  <si>
    <t>1402/3111/6121</t>
  </si>
  <si>
    <t>1407/3113/6121</t>
  </si>
  <si>
    <r>
      <t xml:space="preserve">                   ZŠ Komenského 68 - oprava a nátěr střechy </t>
    </r>
    <r>
      <rPr>
        <sz val="10"/>
        <color rgb="FFFF0000"/>
        <rFont val="Arial CE"/>
        <charset val="238"/>
      </rPr>
      <t>ukončeno 2023</t>
    </r>
  </si>
  <si>
    <t>1410/3113/6125</t>
  </si>
  <si>
    <t>1411/3113/6121</t>
  </si>
  <si>
    <r>
      <t xml:space="preserve">Předškolní zařízení </t>
    </r>
    <r>
      <rPr>
        <sz val="9"/>
        <rFont val="Arial CE"/>
      </rPr>
      <t>(účet 2310800)</t>
    </r>
  </si>
  <si>
    <r>
      <rPr>
        <b/>
        <sz val="10"/>
        <rFont val="Arial CE"/>
        <charset val="238"/>
      </rPr>
      <t>Školní zařízení</t>
    </r>
    <r>
      <rPr>
        <sz val="10"/>
        <rFont val="Arial CE"/>
        <charset val="238"/>
      </rPr>
      <t xml:space="preserve"> (účet 2310800)</t>
    </r>
  </si>
  <si>
    <t>1388/3639/5212</t>
  </si>
  <si>
    <t>1388/3639/5213</t>
  </si>
  <si>
    <t>1388/3639/5532</t>
  </si>
  <si>
    <r>
      <t xml:space="preserve">                               - příspěvek na údržbu </t>
    </r>
    <r>
      <rPr>
        <sz val="9"/>
        <rFont val="Arial CE"/>
        <family val="2"/>
        <charset val="238"/>
      </rPr>
      <t xml:space="preserve">(malování a nátěry 61, výměna podlahových krytin 153) po zapojení FI a FR 200 </t>
    </r>
  </si>
  <si>
    <t xml:space="preserve">                               - příspěvek na investice </t>
  </si>
  <si>
    <r>
      <t xml:space="preserve">                          MŠ Máj</t>
    </r>
    <r>
      <rPr>
        <sz val="11"/>
        <rFont val="Calibri"/>
        <family val="2"/>
        <charset val="238"/>
        <scheme val="minor"/>
      </rPr>
      <t xml:space="preserve"> (org. 307)</t>
    </r>
  </si>
  <si>
    <r>
      <t xml:space="preserve">                               - příspěvek na investice</t>
    </r>
    <r>
      <rPr>
        <sz val="9"/>
        <rFont val="Arial CE"/>
        <family val="2"/>
        <charset val="238"/>
      </rPr>
      <t xml:space="preserve"> (</t>
    </r>
    <r>
      <rPr>
        <sz val="9"/>
        <rFont val="Arial CE"/>
        <charset val="238"/>
      </rPr>
      <t>multifunkční varný kotel 700) zapoejní FI a FR 300</t>
    </r>
  </si>
  <si>
    <r>
      <t xml:space="preserve">                               - příspěvek na údržbu </t>
    </r>
    <r>
      <rPr>
        <sz val="9"/>
        <rFont val="Arial CE"/>
        <family val="2"/>
        <charset val="238"/>
      </rPr>
      <t>(oprava soc.zař. MŠ Kom , vč. PD 252, výměna podlahových krytin 100, malování a nátěry 110, oprava zahradního domku MŠ Beskydská 106</t>
    </r>
    <r>
      <rPr>
        <sz val="9"/>
        <rFont val="Arial CE"/>
        <family val="2"/>
        <charset val="238"/>
      </rPr>
      <t xml:space="preserve">) po zapojení FI a FR 100 </t>
    </r>
  </si>
  <si>
    <r>
      <t xml:space="preserve">                               - příspěvek na investice </t>
    </r>
    <r>
      <rPr>
        <sz val="9"/>
        <rFont val="Arial CE"/>
        <charset val="238"/>
      </rPr>
      <t>(PD na revitalizaci kotelny 50)</t>
    </r>
  </si>
  <si>
    <r>
      <t xml:space="preserve">                              - přísp.na údržbu</t>
    </r>
    <r>
      <rPr>
        <sz val="9"/>
        <rFont val="Arial CE"/>
        <family val="2"/>
        <charset val="238"/>
      </rPr>
      <t xml:space="preserve"> (Jubilejní: malování a nátěry 275, oprava obkladů soc.zař. 820) ZŠ Dlouhá malování a nátěry 275, oprava dveřních pantů 103, oprava střechy a nátěr pergoly 58) po zapojení FR a FI 400 tis. Kč </t>
    </r>
  </si>
  <si>
    <r>
      <t xml:space="preserve">                              - příspěvek na investice </t>
    </r>
    <r>
      <rPr>
        <sz val="9"/>
        <rFont val="Arial CE"/>
        <family val="2"/>
        <charset val="238"/>
      </rPr>
      <t>(ZŠ Jubilejní: 0</t>
    </r>
    <r>
      <rPr>
        <sz val="9"/>
        <rFont val="Arial CE"/>
        <family val="2"/>
        <charset val="238"/>
      </rPr>
      <t>, ZŠ Dlouhá:</t>
    </r>
    <r>
      <rPr>
        <sz val="9"/>
        <rFont val="Arial CE"/>
        <charset val="238"/>
      </rPr>
      <t xml:space="preserve"> </t>
    </r>
    <r>
      <rPr>
        <sz val="9"/>
        <rFont val="Arial CE"/>
        <charset val="238"/>
      </rPr>
      <t>přístřešek dopravního hřiště 292</t>
    </r>
    <r>
      <rPr>
        <sz val="9"/>
        <rFont val="Arial CE"/>
        <family val="2"/>
        <charset val="238"/>
      </rPr>
      <t>)</t>
    </r>
  </si>
  <si>
    <r>
      <t xml:space="preserve">                              - příspěvek na údržbu </t>
    </r>
    <r>
      <rPr>
        <sz val="9"/>
        <rFont val="Arial CE"/>
        <family val="2"/>
        <charset val="238"/>
      </rPr>
      <t>(malování a nátěry 200, povrchová úprava podlah tělocvičen 600) po zapojení FR a FI 500 tis. Kč</t>
    </r>
  </si>
  <si>
    <r>
      <t xml:space="preserve">                              - příspěvek na údržbu </t>
    </r>
    <r>
      <rPr>
        <sz val="9"/>
        <rFont val="Arial CE"/>
        <family val="2"/>
        <charset val="238"/>
      </rPr>
      <t>(</t>
    </r>
    <r>
      <rPr>
        <sz val="9"/>
        <rFont val="Arial CE"/>
        <family val="2"/>
        <charset val="238"/>
      </rPr>
      <t xml:space="preserve">malování a nátěry 400, výměna trámu na střeše a výměna světlíků 75) po zapojení FR a FI 210 </t>
    </r>
  </si>
  <si>
    <r>
      <t xml:space="preserve">                             - příspěvek na investice</t>
    </r>
    <r>
      <rPr>
        <sz val="9"/>
        <rFont val="Arial CE"/>
        <family val="2"/>
        <charset val="238"/>
      </rPr>
      <t xml:space="preserve"> (</t>
    </r>
    <r>
      <rPr>
        <sz val="9"/>
        <rFont val="Arial CE"/>
        <family val="2"/>
        <charset val="238"/>
      </rPr>
      <t xml:space="preserve">modernizace kamerového sstému 65, zabudování řetězových pohonů na okna v tělocvičně 180, chladicí skříň 75) po zapojení FR a FI  320 tis. Kč </t>
    </r>
  </si>
  <si>
    <r>
      <t xml:space="preserve">                             - příspěvek na údržbu</t>
    </r>
    <r>
      <rPr>
        <sz val="9"/>
        <rFont val="Arial CE"/>
        <family val="2"/>
        <charset val="238"/>
      </rPr>
      <t xml:space="preserve"> (malování a nátěry 200, </t>
    </r>
    <r>
      <rPr>
        <sz val="9"/>
        <rFont val="Arial CE"/>
        <family val="2"/>
        <charset val="238"/>
      </rPr>
      <t xml:space="preserve">poklop na kovovou jímku 100, </t>
    </r>
    <r>
      <rPr>
        <sz val="9"/>
        <rFont val="Arial CE"/>
        <family val="2"/>
        <charset val="238"/>
      </rPr>
      <t>oprava vstupních dveří 127)</t>
    </r>
  </si>
  <si>
    <r>
      <t xml:space="preserve">                             - příspěvek na investice (smažicí pánev 210, bezpečnostní systém 580, </t>
    </r>
    <r>
      <rPr>
        <sz val="10"/>
        <rFont val="Arial CE"/>
        <charset val="238"/>
      </rPr>
      <t>míchací kotel 1 270</t>
    </r>
    <r>
      <rPr>
        <sz val="10"/>
        <rFont val="Arial CE"/>
        <family val="2"/>
        <charset val="238"/>
      </rPr>
      <t xml:space="preserve">, interaktivní tabule 200) po zapojení FR a FI 590  </t>
    </r>
  </si>
  <si>
    <t xml:space="preserve">                  - příspěvek na údržbu (sanace vnitřní části objektu a ventilace skepu 270, malování a nátěry 90) po zapojení FR a FI 360</t>
  </si>
  <si>
    <r>
      <t>Ostatní tělovýchovná činnost</t>
    </r>
    <r>
      <rPr>
        <sz val="11"/>
        <rFont val="Calibri"/>
        <family val="2"/>
        <charset val="238"/>
        <scheme val="minor"/>
      </rPr>
      <t xml:space="preserve"> </t>
    </r>
  </si>
  <si>
    <r>
      <t xml:space="preserve">             příspěvek na údržbu  </t>
    </r>
    <r>
      <rPr>
        <sz val="9"/>
        <rFont val="Arial CE"/>
        <family val="2"/>
        <charset val="238"/>
      </rPr>
      <t xml:space="preserve"> </t>
    </r>
  </si>
  <si>
    <t>z toho: dohody (odborné texty na tabulky, pasport MPR hradební zdi)</t>
  </si>
  <si>
    <t xml:space="preserve">Drobný materiál </t>
  </si>
  <si>
    <t xml:space="preserve">             Propagace v rámci EHD (vlajky a jiné), postřiky hradebních zdí, vč. likvidace náletů, sbírky, rozšíření, posudky, zprac. Programu regenerace MPR, tisk</t>
  </si>
  <si>
    <r>
      <t xml:space="preserve">             Drobné opravy - údržba 50, restaurování kříže Skalky</t>
    </r>
    <r>
      <rPr>
        <sz val="10"/>
        <rFont val="Arial CE"/>
        <charset val="238"/>
      </rPr>
      <t xml:space="preserve"> 150)</t>
    </r>
  </si>
  <si>
    <t>z toho:  drobný materiál 10, oprava kříže a kaplí, pomník P. Vavřík 350,obnova schodů kaple Kojetín 80, obnova kaple Straník výmalba 20, obnoa sochy z kaple Loučka 80,</t>
  </si>
  <si>
    <r>
      <t xml:space="preserve">           -  příspěvek na údržbu </t>
    </r>
    <r>
      <rPr>
        <sz val="9"/>
        <rFont val="Arial CE"/>
        <family val="2"/>
        <charset val="238"/>
      </rPr>
      <t xml:space="preserve">(sanační práce v klubovně Bašta 50, výměna oken Stará pošta, zapojení do PR MPR 330, oprava nátěru plotu kolem knihovny 193) Kino Květen (oprava digit. projektoru 425, výměna externího osvětlení kina 98) zapojení FR a FI 1096 </t>
    </r>
  </si>
  <si>
    <r>
      <t xml:space="preserve">              § 3613 v nebyt.prostorech </t>
    </r>
    <r>
      <rPr>
        <sz val="9"/>
        <rFont val="Arial CE"/>
        <family val="2"/>
        <charset val="238"/>
      </rPr>
      <t>(Odbor správy majetku: nájem plynovodu 100, nájem reklamních ploch 400)</t>
    </r>
  </si>
  <si>
    <t xml:space="preserve">            financování a obnova vodovodu Hodslavice - Straník (odbor správy majetku)</t>
  </si>
  <si>
    <r>
      <t xml:space="preserve">           § 3613 nebytové hospodářství </t>
    </r>
    <r>
      <rPr>
        <sz val="9"/>
        <rFont val="Arial CE"/>
        <charset val="238"/>
      </rPr>
      <t>(odb.bytový: úhrada nákladů soudních řízení+popl.z prodlení)</t>
    </r>
  </si>
  <si>
    <t>3726/3612/6121</t>
  </si>
  <si>
    <t>3725/3613/6121</t>
  </si>
  <si>
    <r>
      <t xml:space="preserve">                    Modernizace kotelny Masarykovo nám. </t>
    </r>
    <r>
      <rPr>
        <sz val="10"/>
        <color rgb="FFFF0000"/>
        <rFont val="Arial CE"/>
        <charset val="238"/>
      </rPr>
      <t>ukončeno 2023</t>
    </r>
  </si>
  <si>
    <r>
      <t xml:space="preserve">                    Modernizace kotelny Pod Lipami 19 </t>
    </r>
    <r>
      <rPr>
        <sz val="10"/>
        <color rgb="FFFF0000"/>
        <rFont val="Arial CE"/>
        <charset val="238"/>
      </rPr>
      <t>ukončeno 2023</t>
    </r>
  </si>
  <si>
    <r>
      <t xml:space="preserve">                    Modernizace kotelny Revoluční 1525/6</t>
    </r>
    <r>
      <rPr>
        <sz val="10"/>
        <color rgb="FFFF0000"/>
        <rFont val="Arial CE"/>
        <charset val="238"/>
      </rPr>
      <t xml:space="preserve"> ukončeno 2023</t>
    </r>
  </si>
  <si>
    <r>
      <t xml:space="preserve">                    Objektové předávací stanice Pod Lipami 1,3,5-7,9,11-13,15,17 </t>
    </r>
    <r>
      <rPr>
        <sz val="10"/>
        <color rgb="FFFF0000"/>
        <rFont val="Arial CE"/>
        <charset val="238"/>
      </rPr>
      <t>ukončeno 2023</t>
    </r>
  </si>
  <si>
    <t>3901/3412/6121</t>
  </si>
  <si>
    <r>
      <t xml:space="preserve">                   Veřejné psí hřiště  </t>
    </r>
    <r>
      <rPr>
        <sz val="10"/>
        <color rgb="FFFF0000"/>
        <rFont val="Arial CE"/>
        <charset val="238"/>
      </rPr>
      <t>ukončeno 2023</t>
    </r>
  </si>
  <si>
    <r>
      <t xml:space="preserve">                   Skatepark u stadionu, sportovní areál </t>
    </r>
    <r>
      <rPr>
        <sz val="10"/>
        <color rgb="FFFF0000"/>
        <rFont val="Arial CE"/>
        <charset val="238"/>
      </rPr>
      <t>ukončeno 2023</t>
    </r>
  </si>
  <si>
    <t xml:space="preserve">                   Tenisová hala B. Martinů PD</t>
  </si>
  <si>
    <t xml:space="preserve">                   Víceúčelová sportovní hala Jičínka PD</t>
  </si>
  <si>
    <r>
      <t xml:space="preserve">                   VO Smetanovy sady a Skalky </t>
    </r>
    <r>
      <rPr>
        <sz val="10"/>
        <color rgb="FFFF0000"/>
        <rFont val="Arial CE"/>
        <charset val="238"/>
      </rPr>
      <t>ukončeno 2023</t>
    </r>
  </si>
  <si>
    <r>
      <t xml:space="preserve">                   VO Štefanikova ČS </t>
    </r>
    <r>
      <rPr>
        <sz val="10"/>
        <color rgb="FFFF0000"/>
        <rFont val="Arial CE"/>
        <charset val="238"/>
      </rPr>
      <t>ukončeno 2023</t>
    </r>
  </si>
  <si>
    <r>
      <t xml:space="preserve">                   VO K Archivu </t>
    </r>
    <r>
      <rPr>
        <sz val="10"/>
        <color rgb="FF0000FF"/>
        <rFont val="Arial CE"/>
        <charset val="238"/>
      </rPr>
      <t>převod OSM</t>
    </r>
  </si>
  <si>
    <t xml:space="preserve">                                na údržbu ZŠ </t>
  </si>
  <si>
    <t xml:space="preserve">                                na investice</t>
  </si>
  <si>
    <r>
      <t>Příjmy z prodeje ostatního hmotného dlouhodobého majetku</t>
    </r>
    <r>
      <rPr>
        <sz val="9"/>
        <rFont val="Arial CE"/>
        <charset val="238"/>
      </rPr>
      <t xml:space="preserve"> (auto 53,2+notebooky ZM 43,2)</t>
    </r>
  </si>
  <si>
    <t xml:space="preserve">           § 6221 humanitární zahraniční pomoc (příspěvek na ubytování ukr.uprchl.v obecních bytech)</t>
  </si>
  <si>
    <t xml:space="preserve">             Pořízení nových vozidel pro ProSenior Nový Jičín II</t>
  </si>
  <si>
    <t xml:space="preserve">             VO Efekt 2023</t>
  </si>
  <si>
    <t xml:space="preserve">             Čestné hroby II</t>
  </si>
  <si>
    <t xml:space="preserve">             Architektonická soutěž</t>
  </si>
  <si>
    <t xml:space="preserve">             Autobusová zastávka Požární zbrojnice</t>
  </si>
  <si>
    <t xml:space="preserve">             Autobusová zastávka ul. Riegrova</t>
  </si>
  <si>
    <t xml:space="preserve">             FVE na budově TSNJ</t>
  </si>
  <si>
    <r>
      <t xml:space="preserve">Rozhlas a televize </t>
    </r>
    <r>
      <rPr>
        <sz val="10"/>
        <rFont val="Arial CE"/>
        <charset val="238"/>
      </rPr>
      <t>nákup ost. služeb 3109</t>
    </r>
  </si>
  <si>
    <r>
      <t>Dotace na OSPOD-</t>
    </r>
    <r>
      <rPr>
        <b/>
        <sz val="10"/>
        <rFont val="Arial CE"/>
        <charset val="238"/>
      </rPr>
      <t>org. 1385</t>
    </r>
    <r>
      <rPr>
        <sz val="10"/>
        <rFont val="Arial CE"/>
        <family val="2"/>
        <charset val="238"/>
      </rPr>
      <t xml:space="preserve"> </t>
    </r>
    <r>
      <rPr>
        <sz val="9"/>
        <rFont val="Arial CE"/>
        <family val="2"/>
        <charset val="238"/>
      </rPr>
      <t>v tom: platy 6900, dohody 30, zák.odvody 1718,6+623,7, školení 180, cestovné 10</t>
    </r>
  </si>
  <si>
    <r>
      <t>z toho provoz: činnost místní správy-</t>
    </r>
    <r>
      <rPr>
        <b/>
        <sz val="9"/>
        <rFont val="Arial CE"/>
        <charset val="238"/>
      </rPr>
      <t>org.381 (bez OSPODu)</t>
    </r>
    <r>
      <rPr>
        <sz val="9"/>
        <rFont val="Arial CE"/>
        <charset val="238"/>
      </rPr>
      <t xml:space="preserve"> v tom: platy 93200, ost.platy 10, dohody 1400, refundace 10, zák.odvody 23461+8514+520+1, školení a vzdělávání 900, elektronické předplatné 50, léky a zdr. mat. 20, právní služby 50, nákup ostatních služeb 2600, cestovné 350, konference 15, ostatní (ošatné ceremoniářky,matrikářky,hudebníci) 204, náhrady 40, náhrady mezd v nemoci  2000, </t>
    </r>
  </si>
  <si>
    <t xml:space="preserve">                    Křižovatka ul. K Archivu a K Nemocnici PD </t>
  </si>
  <si>
    <t>1065/2219/6121</t>
  </si>
  <si>
    <t>1060/2219/6121</t>
  </si>
  <si>
    <t>1061/2219/6121</t>
  </si>
  <si>
    <t>1062/2219/6121</t>
  </si>
  <si>
    <t>1063/2219/6121</t>
  </si>
  <si>
    <t xml:space="preserve">                    Ostatní materiál (Zdravé město 40)</t>
  </si>
  <si>
    <t xml:space="preserve">                   Kino Květen - rekonstrukce studie + PD</t>
  </si>
  <si>
    <r>
      <t xml:space="preserve">                   Sanace Městské knihovny 2.etapa, </t>
    </r>
    <r>
      <rPr>
        <sz val="10"/>
        <color rgb="FFFF0000"/>
        <rFont val="Arial CE"/>
        <charset val="238"/>
      </rPr>
      <t>konec 12/2022</t>
    </r>
  </si>
  <si>
    <t xml:space="preserve">                   Městská knihovna - rekonstrukce knihovního domku PD</t>
  </si>
  <si>
    <t>3731/3612/5169</t>
  </si>
  <si>
    <t>3732/3612/5169</t>
  </si>
  <si>
    <t>3733/3612/5169</t>
  </si>
  <si>
    <t>3734/3612/6121</t>
  </si>
  <si>
    <t>3736/3612/5169</t>
  </si>
  <si>
    <t>3738/3612/6121</t>
  </si>
  <si>
    <t>3739/3612/5169</t>
  </si>
  <si>
    <t>3741/3612/6121</t>
  </si>
  <si>
    <t>3713/3612/6121</t>
  </si>
  <si>
    <t>3742/3613/6121</t>
  </si>
  <si>
    <t>3729/3634/6122</t>
  </si>
  <si>
    <t xml:space="preserve">                   Revitalizace Horního nádraží - pumptrack PD</t>
  </si>
  <si>
    <t>3403/3412/6121</t>
  </si>
  <si>
    <t>3737/2212/6121</t>
  </si>
  <si>
    <t>3743/2212/6121</t>
  </si>
  <si>
    <t xml:space="preserve">             Komunikace ČSAD</t>
  </si>
  <si>
    <r>
      <t xml:space="preserve">            </t>
    </r>
    <r>
      <rPr>
        <sz val="10"/>
        <rFont val="Arial CE"/>
        <family val="2"/>
        <charset val="238"/>
      </rPr>
      <t xml:space="preserve"> Úprava kabelových rozvodů ve Straníku ČEPS, a.s.</t>
    </r>
  </si>
  <si>
    <t xml:space="preserve">            odvod DPH (včetně přenesené daňové povinnosti z účtů výdajového, DPH a odboru bytového)</t>
  </si>
  <si>
    <t xml:space="preserve">            Min.kultury: Oprava střechy na budově radnice (ÚZ 34054)</t>
  </si>
  <si>
    <t xml:space="preserve">            Min.školství, mládeže a tělových.: Operační program J.A.Komenský-státní rozpočet (ÚZ 33092)</t>
  </si>
  <si>
    <t xml:space="preserve">            Min.kultury: Obnova pomníku G.J.Mendela (ÚZ 34002)</t>
  </si>
  <si>
    <t xml:space="preserve">            Min.zeměd.: Příspěvek na ekologické a k přírodě šetrné technologie (ÚZ 29015)</t>
  </si>
  <si>
    <t xml:space="preserve">            MPSV: Operační program Zaměstnanost-státní rozpočet (ÚZ 13013)</t>
  </si>
  <si>
    <t>z toho: MPSV: Efektivní veřejná správa</t>
  </si>
  <si>
    <t xml:space="preserve">            MMR: Energetické úspory Na Lani 275 (z r. 2022)-státní rozpočet (ÚZ 17015)</t>
  </si>
  <si>
    <t>z toho: MMR: Energetické úspory Na Lani 272 (z r. 2022)-státní rozpočet (ÚZ 17015)</t>
  </si>
  <si>
    <t xml:space="preserve">            Min.školství, mládeže a tělových.: Operační program J.A.Komenský-z EU (ÚZ 33092)</t>
  </si>
  <si>
    <t xml:space="preserve">            Min.zeměd.: Plán národní obnovy-z EU (ÚZ 29031)</t>
  </si>
  <si>
    <t xml:space="preserve">            Min.zeměd.: Příspěvek na obnovu, zajištění a výchovu porostů-z EU (ÚZ 29014)</t>
  </si>
  <si>
    <t xml:space="preserve">            MMR: Energetické úspory Na Lani 275 (z r. 2022)-z EU (ÚZ 17016)</t>
  </si>
  <si>
    <t xml:space="preserve">            MMR: Energetické úspory Na Lani 272 (z r. 2022)-z EU (ÚZ 17016)</t>
  </si>
  <si>
    <t xml:space="preserve">            MPSV: Operační program Zaměstnanost-z EU (ÚZ 13013)</t>
  </si>
  <si>
    <r>
      <t xml:space="preserve">            Zajištění okresních a krajských přehlídek a soutěží typu A a B - pro SVČ Fokus </t>
    </r>
    <r>
      <rPr>
        <sz val="9"/>
        <rFont val="Arial CE"/>
        <charset val="238"/>
      </rPr>
      <t>(ÚZ 910)</t>
    </r>
  </si>
  <si>
    <t xml:space="preserve">            Společná stezka pro chodce a cyklisty Rybníčky (ÚZ 711)</t>
  </si>
  <si>
    <r>
      <t xml:space="preserve">            Podpora turistických informačních center v MSK - pro Návštěvnické centrum NJ </t>
    </r>
    <r>
      <rPr>
        <sz val="9"/>
        <rFont val="Arial CE"/>
        <charset val="238"/>
      </rPr>
      <t>(ÚZ 673)</t>
    </r>
  </si>
  <si>
    <r>
      <t xml:space="preserve">            MMR nákup vozidel pro PS NJ (90%)</t>
    </r>
    <r>
      <rPr>
        <sz val="9"/>
        <rFont val="Arial CE"/>
        <charset val="238"/>
      </rPr>
      <t xml:space="preserve"> (ÚZ 91628 N107 Z5)</t>
    </r>
  </si>
  <si>
    <t>Převody z rozpočtových účtů</t>
  </si>
  <si>
    <t>z toho: Regenerace panel.sídliště Nerudova (ÚZ 92501)</t>
  </si>
  <si>
    <t>z toho: Sociální fond (Odbor kancelář vedení města)</t>
  </si>
  <si>
    <t xml:space="preserve">            Kelímky, kompostery, myčka (Návštěvnické centrum)</t>
  </si>
  <si>
    <t xml:space="preserve">            MMR: Energetické úspory Na Lani 272 (z r. 2022)-z EU (ÚZ 17969)</t>
  </si>
  <si>
    <t xml:space="preserve">            MMR: Energetické úspory Na Lani 275 (z r. 2022)-státní rozpočet (ÚZ 17968)</t>
  </si>
  <si>
    <t xml:space="preserve">            MMR: Energetické úspory Na Lani 275 (z r. 2022)-z EU (ÚZ 17969)</t>
  </si>
  <si>
    <t xml:space="preserve">            Stezka pro chodce a cyklisty B. Martinů PD (ÚZ 720)</t>
  </si>
  <si>
    <t>1066/2212/5171</t>
  </si>
  <si>
    <t>1066/2212/5169</t>
  </si>
  <si>
    <t xml:space="preserve">z toho: investice - výkupy pozemků - přístup k ZO Skalky, Pod Skalkou III. etapa, ČSAD - sport. areál + ost.  </t>
  </si>
  <si>
    <t>3427/3633/6121</t>
  </si>
  <si>
    <t xml:space="preserve">                    Inženýrské sítě ve sportovním areálu PD </t>
  </si>
  <si>
    <t xml:space="preserve">                   VO Dlouhá nad hřištěm ZŠ Dlouhá PD</t>
  </si>
  <si>
    <t>5472/2221/6121</t>
  </si>
  <si>
    <t>2410/2212/6121</t>
  </si>
  <si>
    <t xml:space="preserve">                     Most Za Potokem u č.p. 26 PD</t>
  </si>
  <si>
    <t xml:space="preserve">                    Parkoviště na ul. Jubilejní u ZŠ křižovatka PD (KSD 34) </t>
  </si>
  <si>
    <r>
      <t xml:space="preserve">             </t>
    </r>
    <r>
      <rPr>
        <sz val="10"/>
        <rFont val="Arial CE"/>
        <charset val="238"/>
      </rPr>
      <t>služby - diagnostika vozovek 600, pasport MK 800, ost. služby 500, dozory VT Rakovec Bařiny 130</t>
    </r>
  </si>
  <si>
    <t>1067/2212/6121</t>
  </si>
  <si>
    <t xml:space="preserve">             Lávka Straník u č.p. 119 PD</t>
  </si>
  <si>
    <t>1068/2212/6121</t>
  </si>
  <si>
    <t xml:space="preserve">             Propustek Straník u č.p. 59 PD</t>
  </si>
  <si>
    <t xml:space="preserve">         - PD dešťových svodů</t>
  </si>
  <si>
    <t xml:space="preserve">                             Výmalba společných prostor a schodišť (Jičínská 272, Na Lani 212)</t>
  </si>
  <si>
    <t xml:space="preserve">              Hückelovy vily - zpracování studií vily J. Hückela (300), aktualizace studie vily  A. Hückela (100), studie areálu (100)</t>
  </si>
  <si>
    <t xml:space="preserve">                                      Hűckelovy vily- oprava a údržba do doby rekonstrukce - střecha, věže, kovářské a zámečnické práce </t>
  </si>
  <si>
    <t xml:space="preserve">                                      Hotel Praha - nepředvídané opravy </t>
  </si>
  <si>
    <t xml:space="preserve">            - výměna motoru VZT (75),  výměna elektroinstalace v šatnách č.32/33 (100), výměna dveří vč.zárubní (200), boxy na sezení šatny  č.32 ,33 (240)</t>
  </si>
  <si>
    <t xml:space="preserve">                      Cyklo Loučka - odvodnění</t>
  </si>
  <si>
    <t xml:space="preserve">                      Nad zahr. osadou za kotelnou Dlouhá - odvodnění pozemku PD</t>
  </si>
  <si>
    <r>
      <t xml:space="preserve">                     Komunikace Straník - Kojetín - rekonstrukce</t>
    </r>
    <r>
      <rPr>
        <sz val="10"/>
        <rFont val="Arial CE"/>
        <charset val="238"/>
      </rPr>
      <t xml:space="preserve"> 2.etapa PD</t>
    </r>
  </si>
  <si>
    <t xml:space="preserve">                     Most Na Poříčí u č.p. 53 - rekonstrukce PD</t>
  </si>
  <si>
    <t>8485/2212/6121</t>
  </si>
  <si>
    <t xml:space="preserve">                     Křižovatka ul. Propojovací a Hřbitovní PD</t>
  </si>
  <si>
    <t>1408/3113/5171+5169</t>
  </si>
  <si>
    <t>1409/3113/5171+5169</t>
  </si>
  <si>
    <r>
      <t xml:space="preserve">                   Radnice ul. Úzká (strana od hotelu Praha) - výměna oken </t>
    </r>
    <r>
      <rPr>
        <sz val="10"/>
        <color rgb="FFFF0000"/>
        <rFont val="Arial CE"/>
        <charset val="238"/>
      </rPr>
      <t>ukončeno 2023</t>
    </r>
  </si>
  <si>
    <r>
      <t xml:space="preserve">                   Budova Divadelní 8 - oprava soc.zařízení, kuchyňky, úklid.místnosti </t>
    </r>
    <r>
      <rPr>
        <sz val="10"/>
        <color rgb="FFFF0000"/>
        <rFont val="Arial CE"/>
        <charset val="238"/>
      </rPr>
      <t>ukončeno 2023</t>
    </r>
  </si>
  <si>
    <t>3746/2321/6121</t>
  </si>
  <si>
    <r>
      <t xml:space="preserve">Sběr a svoz komunálního odpadu </t>
    </r>
    <r>
      <rPr>
        <sz val="9"/>
        <rFont val="Arial CE"/>
      </rPr>
      <t>(účet 2310800)</t>
    </r>
  </si>
  <si>
    <t>3744/3613/6121</t>
  </si>
  <si>
    <t>3745/3613/6121</t>
  </si>
  <si>
    <t>3722/3412/5171+5169</t>
  </si>
  <si>
    <t xml:space="preserve">                   BD Trlicova - revitalizace PD</t>
  </si>
  <si>
    <t xml:space="preserve">                   BD Hřbitovní - revitalizace</t>
  </si>
  <si>
    <t>3723/3612/5171+5169</t>
  </si>
  <si>
    <r>
      <t xml:space="preserve">                   Byt č. 1 Jungmannova 2 - oprava </t>
    </r>
    <r>
      <rPr>
        <sz val="10"/>
        <color rgb="FFFF0000"/>
        <rFont val="Arial CE"/>
        <charset val="238"/>
      </rPr>
      <t>ukončeno 2023</t>
    </r>
  </si>
  <si>
    <t>3724/3612/5171+5169</t>
  </si>
  <si>
    <r>
      <t xml:space="preserve">                   Byt č. 2 Resslova 1 - oprava </t>
    </r>
    <r>
      <rPr>
        <sz val="10"/>
        <color rgb="FFFF0000"/>
        <rFont val="Arial CE"/>
        <charset val="238"/>
      </rPr>
      <t>ukončeno 2023</t>
    </r>
  </si>
  <si>
    <t xml:space="preserve">                    Dům na ul.  Jungmannova 1, 5. května - revitalizace PD</t>
  </si>
  <si>
    <t xml:space="preserve">                    Výtahy Luční 1828/2, 1799/3 a 1825/4 - výměna - PD + realizace</t>
  </si>
  <si>
    <t>3721/3613/5171+5169</t>
  </si>
  <si>
    <r>
      <t xml:space="preserve">                   Kanalizace Sokolovská 9 - oprava </t>
    </r>
    <r>
      <rPr>
        <sz val="10"/>
        <color rgb="FFFF0000"/>
        <rFont val="Arial CE"/>
        <charset val="238"/>
      </rPr>
      <t>ukončeno 2023</t>
    </r>
  </si>
  <si>
    <r>
      <t xml:space="preserve">                   Hotel Praha - stavební úpravy, oprava střešního světlíku, vzduchotechniky </t>
    </r>
    <r>
      <rPr>
        <sz val="10"/>
        <color rgb="FFFF0000"/>
        <rFont val="Arial CE"/>
        <charset val="238"/>
      </rPr>
      <t>ukončeno 2023</t>
    </r>
  </si>
  <si>
    <r>
      <t xml:space="preserve">                   Kotelna hotelu Praha - výměna kotlů a spalinové cesty </t>
    </r>
    <r>
      <rPr>
        <sz val="10"/>
        <color rgb="FFFF0000"/>
        <rFont val="Arial CE"/>
        <charset val="238"/>
      </rPr>
      <t>ukončeno 2023</t>
    </r>
  </si>
  <si>
    <r>
      <t xml:space="preserve">                    Teplovodní potrubí Loučka 6 - 1. etapa - výměna </t>
    </r>
    <r>
      <rPr>
        <sz val="10"/>
        <color rgb="FFFF0000"/>
        <rFont val="Arial CE"/>
        <charset val="238"/>
      </rPr>
      <t>ukončeno 2023</t>
    </r>
  </si>
  <si>
    <t>6391/3631/6121</t>
  </si>
  <si>
    <t xml:space="preserve">                     Komunikace Nový Jičín - Kojetín PD</t>
  </si>
  <si>
    <t>3730/3722/6121</t>
  </si>
  <si>
    <r>
      <t xml:space="preserve">Neinvestiční přijaté transfery ze státního rozpočtu v rámci souhrnného dotačního vztahu                                                                                                                                                                          </t>
    </r>
    <r>
      <rPr>
        <sz val="10"/>
        <rFont val="Arial CE"/>
        <family val="2"/>
        <charset val="238"/>
      </rPr>
      <t xml:space="preserve">(příspěvek na výkon státní správy)                                                                                                                                                                                                                                                                                                                                                                                                                                                              </t>
    </r>
  </si>
  <si>
    <r>
      <t xml:space="preserve">Příjem z odvodů příspěvkových organizací </t>
    </r>
    <r>
      <rPr>
        <sz val="9"/>
        <rFont val="Arial CE"/>
        <charset val="238"/>
      </rPr>
      <t>(z fondu investic: odpisy z nemovitého majetku)</t>
    </r>
    <r>
      <rPr>
        <b/>
        <i/>
        <sz val="9"/>
        <rFont val="Arial CE"/>
        <family val="2"/>
        <charset val="238"/>
      </rPr>
      <t xml:space="preserve"> </t>
    </r>
    <r>
      <rPr>
        <b/>
        <i/>
        <sz val="9"/>
        <color rgb="FFFF0000"/>
        <rFont val="Arial CE"/>
        <charset val="238"/>
      </rPr>
      <t xml:space="preserve"> </t>
    </r>
    <r>
      <rPr>
        <b/>
        <i/>
        <sz val="9"/>
        <rFont val="Arial CE"/>
        <charset val="238"/>
      </rPr>
      <t xml:space="preserve">   </t>
    </r>
    <r>
      <rPr>
        <sz val="9"/>
        <rFont val="Arial CE"/>
        <charset val="238"/>
      </rPr>
      <t xml:space="preserve">      </t>
    </r>
  </si>
  <si>
    <t xml:space="preserve">             Fond sociálních služeb (Odbor soc.věcí)</t>
  </si>
  <si>
    <r>
      <t xml:space="preserve">Uhrazené splátky dlouhodobých přijatých půjčených prostředků </t>
    </r>
    <r>
      <rPr>
        <sz val="10"/>
        <rFont val="Arial CE"/>
        <charset val="238"/>
      </rPr>
      <t>(úvěr z ČS)</t>
    </r>
  </si>
  <si>
    <t>z toho : platy 18400, zák.odvody 4538,4 + 1647, ochr. pomůcky 0, zdrav.pomůcky 5, výstroj 350, knihy, časopisy a tisk 2, DHM 163, materiál 143, elektř. 35, PHM 264, služby pošt 1, telekomunikace 245, nájemné 30, konzult.a porad.služby 3, školení 77, konference 3, služby 1490-750, opravy a udrž. 275, služby zpracování dat 200, cestovné 17, neinv.přísp.a náhrady-prac.úrazy 50, kolky 10, náhrady za nemoc 150, správní poplatky 6, investice: progr. vybavení, stroje: kamera pro RZ 170, kamera MKDS 150, záznamové zařízení hovorů 250</t>
  </si>
  <si>
    <t xml:space="preserve">             daň z přidané hodnoty za město (odvod+režim PDP za 12/2023) </t>
  </si>
  <si>
    <t xml:space="preserve">                   Dům na ul. Hřbitovní 889/72 PD</t>
  </si>
  <si>
    <r>
      <t xml:space="preserve">                   Stromy na Masarykově náměstí </t>
    </r>
    <r>
      <rPr>
        <sz val="10"/>
        <color rgb="FFFF0000"/>
        <rFont val="Arial CE"/>
        <charset val="238"/>
      </rPr>
      <t>ukončeno 2023</t>
    </r>
  </si>
  <si>
    <t xml:space="preserve">           § 6310, § 6409 odbor finanční</t>
  </si>
  <si>
    <t>z toho: změny územního plánu města (změna č. 7, změna č. 8)</t>
  </si>
  <si>
    <t>z toho: TSM (stř.odpady)</t>
  </si>
  <si>
    <t xml:space="preserve">             SVČ Fokus (vratka části dotace z MSK s ÚZ 133 a ze státního rozpočtu s ÚZ 33166)</t>
  </si>
  <si>
    <t xml:space="preserve">             vratka části nevyčerpané dotace na "Pěstounskou péči" (ÚZ 13010)</t>
  </si>
  <si>
    <t xml:space="preserve">            vratka části dotace "Efektivní veřejná správa"</t>
  </si>
  <si>
    <r>
      <t>2310800/741/</t>
    </r>
    <r>
      <rPr>
        <b/>
        <sz val="10"/>
        <rFont val="Arial CE"/>
        <charset val="238"/>
      </rPr>
      <t>3639</t>
    </r>
    <r>
      <rPr>
        <sz val="9"/>
        <rFont val="Arial CE"/>
        <charset val="238"/>
      </rPr>
      <t>/5362</t>
    </r>
  </si>
  <si>
    <t xml:space="preserve">          -  příspěvek na investice (kamerový systém knihovny 180, instalace klimatizace do výstavní síně Stará pošta 73, spisová služba Gordic 61) zapojení FR a FI 314</t>
  </si>
  <si>
    <t xml:space="preserve">              Výletní lokalita Čerťák - vybudování venkovní terasy v rámci III. etapy</t>
  </si>
  <si>
    <t xml:space="preserve">            výběr dodavatele elektřiny a plynu na rok 2025 (na 2 až 3 roky)</t>
  </si>
  <si>
    <t xml:space="preserve">            Opravy VN rozvaděčů a trafostanic - bazén, zimní stadion, tržnice, areál TSM </t>
  </si>
  <si>
    <t xml:space="preserve">           § 2143 neinvest.přísp.z MSK NCNJ</t>
  </si>
  <si>
    <r>
      <t>Cestovní ruch</t>
    </r>
    <r>
      <rPr>
        <b/>
        <sz val="9"/>
        <rFont val="Arial CE"/>
        <charset val="238"/>
      </rPr>
      <t xml:space="preserve"> </t>
    </r>
    <r>
      <rPr>
        <sz val="9"/>
        <rFont val="Arial CE"/>
        <charset val="238"/>
      </rPr>
      <t xml:space="preserve"> (platy 3990, dohody 600, soc.poj. 1125,92, zdrav. poj. 408,6, náhrada mezd za nemoc 33, platby daní a popl. Stát. rozp. 10, knihy, tisk 8, drobný hmotný maj. 1254, materiál (kalendáře, upom. Př., tiskoviny,…) 1093,72, materiál DPH 385, poštovné 1, poštovné DPH 7,5, telefony 10, služby peněž. úst. 50, pronájem 677, služby zprac. dat. 115,5, nákup služeb (prop. inz., služby, rozvoj podnikání na novojičínsku) 2326,5, nákup služeb DPH (služby spojené s kelímky NICKNACK) 231.972, opravy a údržba 128, cestovné 11, pohoštění 200, účast. úpl. 1, ost.nák.j.n. 50, neinvest. transféry 200, neinvest. přísp. Pivobraní 492, dotace z MSK 200 částečně investiční, neinvestiční</t>
    </r>
  </si>
  <si>
    <r>
      <t xml:space="preserve">Nebytové hospodářství </t>
    </r>
    <r>
      <rPr>
        <sz val="9"/>
        <rFont val="Arial CE"/>
        <charset val="238"/>
      </rPr>
      <t>(Sokolovská 9: drobný hmotný majetek 3, materiál 1, služby 3)</t>
    </r>
  </si>
  <si>
    <t>2324/2212/6121</t>
  </si>
  <si>
    <t xml:space="preserve">                    Převedení chodců ul. K Nemocnici parc. č. 558/26 (Honzek) PD</t>
  </si>
  <si>
    <t xml:space="preserve">                     Laudonovo nádvoří </t>
  </si>
  <si>
    <t xml:space="preserve">                     Čerťák 3. etapa - 2. část PD </t>
  </si>
  <si>
    <t xml:space="preserve">                     Chodník Bludovice č.p. 4 - č.p. 90 </t>
  </si>
  <si>
    <r>
      <t xml:space="preserve">                     Parkovací stání Dlouhá (Palackého - Budovatelů) </t>
    </r>
    <r>
      <rPr>
        <sz val="10"/>
        <color rgb="FFFF0000"/>
        <rFont val="Arial CE"/>
        <charset val="238"/>
      </rPr>
      <t>ukončeno 2023</t>
    </r>
  </si>
  <si>
    <t xml:space="preserve">                    Parkoviště MŠ Loučka, Na Drážkách (KSD 22) PD</t>
  </si>
  <si>
    <t xml:space="preserve">                    Studie - oddělení investic (zaměření skutečného stavu akcí OB, parkoviště, AZ Kolonie Žilina, posouzení svahu Bala Kojetín, byty Suvorovova ...)</t>
  </si>
  <si>
    <t xml:space="preserve">                   Arch.soutěž Hala Jičínka-ocenění soutěžících</t>
  </si>
  <si>
    <t xml:space="preserve">                   Kulturní dům Nové Slunce PD</t>
  </si>
  <si>
    <t xml:space="preserve">  investice: Bezdrát - umístění nových hlásičů (Žilina, Loučka, Bludovice)</t>
  </si>
  <si>
    <t xml:space="preserve">              voda (fontány, MN sloupky)</t>
  </si>
  <si>
    <t>0382/3699/5139</t>
  </si>
  <si>
    <r>
      <t xml:space="preserve">Rozpočtová skladba                                                                                                                                                                                                                                                  </t>
    </r>
    <r>
      <rPr>
        <sz val="8"/>
        <rFont val="Arial CE"/>
        <charset val="238"/>
      </rPr>
      <t xml:space="preserve"> ORJ/odd.par./pol./org./ÚZ/NáZ</t>
    </r>
  </si>
  <si>
    <t xml:space="preserve">             hasičská zbrojnice Kojetín dle znal.posudku</t>
  </si>
  <si>
    <r>
      <t>Příjem z poplatku ze psů</t>
    </r>
    <r>
      <rPr>
        <sz val="10"/>
        <color rgb="FFFF0000"/>
        <rFont val="Arial CE"/>
        <charset val="238"/>
      </rPr>
      <t xml:space="preserve"> </t>
    </r>
  </si>
  <si>
    <t xml:space="preserve">Příjem z poplatku za obecní systém odpadového hospodářství a příjem z poplatku za odkládání komunálního odpadu z nemovité věci </t>
  </si>
  <si>
    <r>
      <t xml:space="preserve">             </t>
    </r>
    <r>
      <rPr>
        <b/>
        <sz val="10"/>
        <rFont val="Arial CE"/>
        <charset val="238"/>
      </rPr>
      <t>domovníci</t>
    </r>
    <r>
      <rPr>
        <sz val="10"/>
        <rFont val="Arial CE"/>
        <charset val="238"/>
      </rPr>
      <t xml:space="preserve"> (mzdy a odvody, AÚ 0800)</t>
    </r>
  </si>
  <si>
    <r>
      <t xml:space="preserve">           </t>
    </r>
    <r>
      <rPr>
        <b/>
        <sz val="10"/>
        <rFont val="Arial CE"/>
        <charset val="238"/>
      </rPr>
      <t xml:space="preserve">  služby</t>
    </r>
    <r>
      <rPr>
        <sz val="10"/>
        <rFont val="Arial CE"/>
        <charset val="238"/>
      </rPr>
      <t xml:space="preserve">  org. 0518 (úklidy,revize,výtahy, odečty,poruch.služba, deratizace,čištění kanalizace,komíny, SBI, zn. posudky)</t>
    </r>
  </si>
  <si>
    <r>
      <t xml:space="preserve">              SK Straník 147 - realizace ČOV (</t>
    </r>
    <r>
      <rPr>
        <b/>
        <sz val="10"/>
        <rFont val="Arial CE"/>
        <charset val="238"/>
      </rPr>
      <t>2023</t>
    </r>
    <r>
      <rPr>
        <sz val="10"/>
        <rFont val="Arial CE"/>
        <charset val="238"/>
      </rPr>
      <t xml:space="preserve"> - nákup zahradní sekačky, pol. 6122, přístřešek pol. 6121)</t>
    </r>
  </si>
  <si>
    <r>
      <t xml:space="preserve">             opravy kotelen - sanace, opravy střechy, omítek (</t>
    </r>
    <r>
      <rPr>
        <sz val="10"/>
        <rFont val="Arial CE"/>
        <charset val="238"/>
      </rPr>
      <t>realizace: modernizace OPS v rozsahu ÚT+MAR Zborovská 11-600 vč. vyregulování,-300 spalinovod kotelna bazén-600, výměny nefunkčních armatur domovních přípojek čtyřtrubkového teplovodního systému-100, výměny původního vnitřního teplovodu za plast Loučka -500, modernizace 9 ks OPS v rozsahu TUV Sportovní 2, 4, Bezručova 32, 41, Bulharská 6, Palackého 76, Gregorova 36, Dlouhá 43, 52-600)</t>
    </r>
  </si>
  <si>
    <r>
      <t xml:space="preserve">             Dodávka </t>
    </r>
    <r>
      <rPr>
        <sz val="10"/>
        <rFont val="Arial CE"/>
        <charset val="238"/>
      </rPr>
      <t xml:space="preserve">5 ks nerez zásobníků teplé vody do kotelen a odběrných před.stanic v domech </t>
    </r>
  </si>
  <si>
    <r>
      <t xml:space="preserve">            MPSV: Výkon soc.práce mimo sociálně-právní ochrany dětí </t>
    </r>
    <r>
      <rPr>
        <sz val="10"/>
        <rFont val="Arial CE"/>
        <charset val="238"/>
      </rPr>
      <t>(ÚZ 13015)</t>
    </r>
  </si>
  <si>
    <r>
      <t xml:space="preserve">z toho: za veřejnoprávní smlouvy s ostatními obcemi na úseku přestupků </t>
    </r>
    <r>
      <rPr>
        <sz val="9"/>
        <rFont val="Arial CE"/>
        <charset val="238"/>
      </rPr>
      <t>(odbor přestupkových agend)</t>
    </r>
  </si>
  <si>
    <r>
      <t xml:space="preserve">            za veřejnopravní smlouvy s ostatními obcemi </t>
    </r>
    <r>
      <rPr>
        <sz val="9"/>
        <rFont val="Arial CE"/>
        <charset val="238"/>
      </rPr>
      <t>(Městská policie-odchyt psů)</t>
    </r>
  </si>
  <si>
    <r>
      <t xml:space="preserve">            za veřejnoprávní smlouvy s ostatními obcemi </t>
    </r>
    <r>
      <rPr>
        <sz val="9"/>
        <rFont val="Arial CE"/>
        <charset val="238"/>
      </rPr>
      <t>(</t>
    </r>
    <r>
      <rPr>
        <sz val="10"/>
        <rFont val="Arial CE"/>
        <charset val="238"/>
      </rPr>
      <t>stavební úřad</t>
    </r>
    <r>
      <rPr>
        <sz val="9"/>
        <rFont val="Arial CE"/>
        <charset val="238"/>
      </rPr>
      <t>)</t>
    </r>
  </si>
  <si>
    <r>
      <t xml:space="preserve">            Podpora technických atraktivit v NJ - pro Návštěvnické centrum NJ</t>
    </r>
    <r>
      <rPr>
        <sz val="10"/>
        <rFont val="Arial CE"/>
        <charset val="238"/>
      </rPr>
      <t xml:space="preserve"> (ÚZ 693)</t>
    </r>
  </si>
  <si>
    <r>
      <t xml:space="preserve">           §           neinvestiční příspěvek na výkon soc.právní ochrany dětí </t>
    </r>
    <r>
      <rPr>
        <sz val="9"/>
        <rFont val="Arial CE"/>
        <charset val="238"/>
      </rPr>
      <t>(předpokládaná dotace z MPSV) - po schválení je rozpočtováno na pol. 4116 (ÚZ 13024)</t>
    </r>
  </si>
  <si>
    <r>
      <t xml:space="preserve">Příjem z odvodů z vybraných činností a služeb jinde neuvedených </t>
    </r>
    <r>
      <rPr>
        <sz val="10"/>
        <rFont val="Arial CE"/>
        <charset val="238"/>
      </rPr>
      <t>(odvod ekolog.daně na SFŽP)</t>
    </r>
  </si>
  <si>
    <r>
      <t xml:space="preserve">            Obecní živnostenský úřad </t>
    </r>
    <r>
      <rPr>
        <sz val="9"/>
        <rFont val="Arial CE"/>
        <charset val="238"/>
      </rPr>
      <t>(nové a změnové výpisy z živnost.rejstříku 400, vydání výpisů z živnost. rejstříku 1, vydání povolení k hernímu prostoru 10, osvědčení zemědělský podnikatel 5)</t>
    </r>
  </si>
  <si>
    <t xml:space="preserve">            Odbor územního plánování a stavebního řádu </t>
  </si>
  <si>
    <t xml:space="preserve">            Odbor životního prostředí </t>
  </si>
  <si>
    <r>
      <t xml:space="preserve">            Odbor finanční </t>
    </r>
    <r>
      <rPr>
        <sz val="9"/>
        <rFont val="Arial CE"/>
        <charset val="238"/>
      </rPr>
      <t>(splátkové kalendáře+bezdlužnost)</t>
    </r>
  </si>
  <si>
    <t xml:space="preserve">                             - příspěvek na investice </t>
  </si>
  <si>
    <r>
      <t xml:space="preserve">Využívání a zneškodňování ostatních odpadů </t>
    </r>
    <r>
      <rPr>
        <sz val="10"/>
        <rFont val="Arial CE"/>
        <charset val="238"/>
      </rPr>
      <t>(pořízení 300 ks kompostérů z dotace)</t>
    </r>
  </si>
  <si>
    <r>
      <t xml:space="preserve">Příjmy z prodeje pozemků </t>
    </r>
    <r>
      <rPr>
        <sz val="10"/>
        <rFont val="Arial CE"/>
        <charset val="238"/>
      </rPr>
      <t>(nikoliv v režimu DPH)</t>
    </r>
  </si>
  <si>
    <t xml:space="preserve">            Regenerace panel. sídliště Nerudova PD (ÚZ 611)</t>
  </si>
  <si>
    <r>
      <t xml:space="preserve">            Společná stezka pro chodce a cyklisty Rybníčky</t>
    </r>
    <r>
      <rPr>
        <sz val="10"/>
        <rFont val="Arial CE"/>
        <charset val="238"/>
      </rPr>
      <t xml:space="preserve"> (ÚZ 711)</t>
    </r>
  </si>
  <si>
    <t xml:space="preserve">                      Vodovod Žilina, Pstruží potok - Životice PD</t>
  </si>
  <si>
    <t xml:space="preserve">                      Vodovod Straník (společně s kanalizací) PD</t>
  </si>
  <si>
    <t xml:space="preserve">                      Kanalizace Bludovice PD</t>
  </si>
  <si>
    <t xml:space="preserve">                     Kanalizace Straník (společně s vodovodem) PD</t>
  </si>
  <si>
    <t xml:space="preserve">                      Kanalizace Trlicova PD </t>
  </si>
  <si>
    <t xml:space="preserve">                     Lávka Žilina - demolice</t>
  </si>
  <si>
    <t xml:space="preserve">                     Most Jiráskova - pod gymnáziem - rekonstrukce PD</t>
  </si>
  <si>
    <t xml:space="preserve">                     Komunikace Žilina, Za Školou PD</t>
  </si>
  <si>
    <t xml:space="preserve">                    Komunikace U Mlýna - dolní konec (úsek č.p. 122 - Potoční č.p.265) </t>
  </si>
  <si>
    <t xml:space="preserve">                     Chodník Žilina, Pstruží potok - Životice PD</t>
  </si>
  <si>
    <t xml:space="preserve">                    Parkoviště Hřbitovní (městský hřbitov)  PD</t>
  </si>
  <si>
    <t xml:space="preserve">                    Parkoviště na ul. Dlouhá u byt. Domu č.p. 13 -15 PD (KSD 33) </t>
  </si>
  <si>
    <r>
      <t xml:space="preserve">                    Regenerace PS Nerudova II. etapa -</t>
    </r>
    <r>
      <rPr>
        <sz val="10"/>
        <color theme="9"/>
        <rFont val="Arial CE"/>
        <charset val="238"/>
      </rPr>
      <t xml:space="preserve"> přeložka ČEZ a Cetin</t>
    </r>
  </si>
  <si>
    <t xml:space="preserve">                    Zpevněné plochy, mobiliář Tyršova 2.etapa</t>
  </si>
  <si>
    <t xml:space="preserve">                    Parkoviště Restaurace Na Skalkách PD</t>
  </si>
  <si>
    <t xml:space="preserve">                   MŠ Jiráskova (MŠ Sady) - revitalizace zahrady </t>
  </si>
  <si>
    <r>
      <t xml:space="preserve">                   MŠ Komenského (MŠ Trojlístek) - elektro </t>
    </r>
    <r>
      <rPr>
        <sz val="10"/>
        <color rgb="FFFF0000"/>
        <rFont val="Arial CE"/>
        <charset val="238"/>
      </rPr>
      <t>ukončeno 2023</t>
    </r>
  </si>
  <si>
    <t xml:space="preserve">                   MŠ Máchova (MŠ Trojlístek)- energetické úspory PD</t>
  </si>
  <si>
    <t xml:space="preserve">                   MŠ Komenského (MŠ Trojlístek) - revitalizace zahrady 2. etapa PD</t>
  </si>
  <si>
    <t>1404/3111/5171+5169</t>
  </si>
  <si>
    <t xml:space="preserve">                   MŠ Revoluční (MŠ Sady) - sanace zdiva PD</t>
  </si>
  <si>
    <t>1405/3111/5171+5169</t>
  </si>
  <si>
    <t xml:space="preserve">                   MŠ Revoluční (MŠ Sady) - revitalizace sociálního zařízení PD </t>
  </si>
  <si>
    <t>1414/3111/6121</t>
  </si>
  <si>
    <t xml:space="preserve">                   MŠ K. Čapka (MŠ Máj) - zateplení objektu,stínící technika PD</t>
  </si>
  <si>
    <t>1415/3111/5171+5169</t>
  </si>
  <si>
    <t xml:space="preserve">                   MŠ Beskydská (MŠ Trojlístek) - oprava plotu PD</t>
  </si>
  <si>
    <t>1416/3111/6121</t>
  </si>
  <si>
    <t xml:space="preserve">                   MŠ Komenského (MŠ Trojlístek) - učebny, verandy PD </t>
  </si>
  <si>
    <r>
      <t xml:space="preserve">                   ZŠ Komenského 66 - výměna ležatých rozvodů vody a výměna podhledů </t>
    </r>
    <r>
      <rPr>
        <sz val="10"/>
        <color rgb="FFFF0000"/>
        <rFont val="Arial CE"/>
        <charset val="238"/>
      </rPr>
      <t xml:space="preserve">1.et.ukončena 2023, </t>
    </r>
    <r>
      <rPr>
        <sz val="10"/>
        <rFont val="Arial CE"/>
        <charset val="238"/>
      </rPr>
      <t>2. et. PD</t>
    </r>
  </si>
  <si>
    <r>
      <t xml:space="preserve">                   ZŠ Tyršova - pořízení serveru, havarijní stav </t>
    </r>
    <r>
      <rPr>
        <sz val="10"/>
        <color rgb="FF0000FF"/>
        <rFont val="Arial CE"/>
        <charset val="238"/>
      </rPr>
      <t>převedeno na OŠKS</t>
    </r>
  </si>
  <si>
    <t>1417/3113/6121</t>
  </si>
  <si>
    <t xml:space="preserve">                   ZŠ Jubilejní - revitalizace atria PD</t>
  </si>
  <si>
    <t>1420/3113/5171+5169</t>
  </si>
  <si>
    <t xml:space="preserve">                   ZŠ Komenského 68 - nátěr a oprava fasády PD</t>
  </si>
  <si>
    <t>1421/3113/5171+5169</t>
  </si>
  <si>
    <t xml:space="preserve">                   ZŠ Komenského 68 - oprava žákovských šaten PD  </t>
  </si>
  <si>
    <t xml:space="preserve">                   ZŠ Tyršova - výměna oken závěrečná etapa </t>
  </si>
  <si>
    <t>1423/3113/5171+5169</t>
  </si>
  <si>
    <t xml:space="preserve">                   ZŠ Tyršova - oprava vnitřní kanalizace v ŠJ PD</t>
  </si>
  <si>
    <t>Sportovní zařízení ve vlastnictví obce</t>
  </si>
  <si>
    <t>1412/3412/6121</t>
  </si>
  <si>
    <t xml:space="preserve">                   ZŠ Jubilejní - revitalizace školního hřiště PD</t>
  </si>
  <si>
    <t>1413/3412/6121</t>
  </si>
  <si>
    <t xml:space="preserve">                   ZŠ Komenského 66 - revitalizace školního hřiště </t>
  </si>
  <si>
    <r>
      <t xml:space="preserve">Školské zařízení </t>
    </r>
    <r>
      <rPr>
        <sz val="9"/>
        <rFont val="Arial CE"/>
      </rPr>
      <t>(účet 2310800)</t>
    </r>
  </si>
  <si>
    <t>1424/3233/6121</t>
  </si>
  <si>
    <t xml:space="preserve">                  SVČ Fokus - zateplení,  rekonstrukce střechy PD</t>
  </si>
  <si>
    <t>1388/3613/5166</t>
  </si>
  <si>
    <t xml:space="preserve">                    Konzultační a poradenské služby</t>
  </si>
  <si>
    <t xml:space="preserve">                    Konzultační služby (městský architekt 500, ostatní právní služby 15)</t>
  </si>
  <si>
    <t xml:space="preserve">                    Rozvojové plány a studie; administrace projektu; Zdravé město 45; participativní  rozpočet 400; ul. Potoční - dopravní řešení …</t>
  </si>
  <si>
    <t xml:space="preserve">                   Pohoštění </t>
  </si>
  <si>
    <t xml:space="preserve">                   Beskydské divadlo - modernizace kotelny Divadelní 5 (č.z. 14/22) PD</t>
  </si>
  <si>
    <t>1603/3311/5171+5169</t>
  </si>
  <si>
    <t xml:space="preserve">                   Beskydské divadlo - oprava vnějšího pláště historické budovy PD </t>
  </si>
  <si>
    <t>1606/3392/6121</t>
  </si>
  <si>
    <t>1604/3392/5171+5169</t>
  </si>
  <si>
    <t xml:space="preserve">                   Sociální zařízení na Skalkách (MKS) - revitalizace PD </t>
  </si>
  <si>
    <t xml:space="preserve">                   Kaple sv. Michala Bludovice - obnova fasády PD + realizace</t>
  </si>
  <si>
    <t xml:space="preserve">                   Budova Divadelní 1 - rekontrukce vstupu, vestibulu, nová jednací místnost  </t>
  </si>
  <si>
    <t xml:space="preserve">                   Radnice - vchod z ul. Úzká a dvůr, revitalizace prostoru PD</t>
  </si>
  <si>
    <t xml:space="preserve">                   Skladovací boxy Kompostárna TSNJ PD</t>
  </si>
  <si>
    <t xml:space="preserve">                   Kanalizace v areálu TSNJ ul. Suvorovova PD</t>
  </si>
  <si>
    <t xml:space="preserve">                  Středisko zeleně ul. Palackého - dílny, rekonstrukce PD </t>
  </si>
  <si>
    <t xml:space="preserve">                  Stavebninový dvůr ul. Suvorovova - oplocení, zpevněná plocha PD</t>
  </si>
  <si>
    <t xml:space="preserve">                  Podzemní kontejnery TSNJ 8 ks PD + 4 ks realizace </t>
  </si>
  <si>
    <t xml:space="preserve">                   Venkovní bazén (č.z. 08/22)</t>
  </si>
  <si>
    <t>3747/3412/6121</t>
  </si>
  <si>
    <t xml:space="preserve">                   Byty Jungmannova 26/2, Masarykovo nám.26/15 - přestavba bytového podniku (č.z.07/22) PD</t>
  </si>
  <si>
    <t xml:space="preserve">                    Dům na ul.Dobrovského 39/2 - oprava PD</t>
  </si>
  <si>
    <t xml:space="preserve">                    Dům na ul. Gen. Hlaďo 758/22 (Čedok) - oprava PD</t>
  </si>
  <si>
    <t xml:space="preserve">                    Dům Masarykovo nám. 27/16 (lékárna) - oprava PD</t>
  </si>
  <si>
    <t xml:space="preserve">                    Dům na ul. Resslova 1213/1 (nebyt.prostor) - oprava výloh,  vstup a interiéru PD </t>
  </si>
  <si>
    <t xml:space="preserve">                    Dům na ul. 5. května 2098/4 - revitalizace, studie</t>
  </si>
  <si>
    <t xml:space="preserve">                    Dům na ul. Havlíčkova 104/11 - sanace PD</t>
  </si>
  <si>
    <t xml:space="preserve">                     Výtahy Jičínská 275 (2 ks) a Revoluční 36 - PD + realizace</t>
  </si>
  <si>
    <t xml:space="preserve">                   Hückelové vily - odvodnění - průzkum HG (č.z. 02/22) PD</t>
  </si>
  <si>
    <t xml:space="preserve">                   Objekt na ul. Suvorovova 152 - okna (č.z. 11/22)</t>
  </si>
  <si>
    <t xml:space="preserve">                   VPP Hoblíkova - zázemí pro pracovníky TSNJ PD</t>
  </si>
  <si>
    <t xml:space="preserve">                    Kostelní věž - realizace (pol.5169: 300 tis., pol.5171: 3200 tis.)</t>
  </si>
  <si>
    <t>3749/3613/6121</t>
  </si>
  <si>
    <t xml:space="preserve">                    Veřejné WC na ul. Úzká- rekonstrukce PD</t>
  </si>
  <si>
    <t xml:space="preserve">                    Fojtství Bludovice (č.z. 10/22) PD</t>
  </si>
  <si>
    <t xml:space="preserve">                   Fotovoltaické elektrárna v objektu TSNJ na ul. Suvorovova PD + realizace</t>
  </si>
  <si>
    <t>3750/3634/6122</t>
  </si>
  <si>
    <t xml:space="preserve">                   Fotovoltaická elektrárna v objektu bazénu PD</t>
  </si>
  <si>
    <t xml:space="preserve">                   Objektové předávací stanice 10 ks - výměna MaR PD + realizace</t>
  </si>
  <si>
    <t xml:space="preserve">                    Kotelna Divadelní 8 - modernizace PD</t>
  </si>
  <si>
    <t xml:space="preserve">                    Teplovod Nerudova 14,16,18 </t>
  </si>
  <si>
    <t xml:space="preserve">                   Smetanovy sady - etapa za kaplí PD </t>
  </si>
  <si>
    <t xml:space="preserve">                   VO EFEKT 2023</t>
  </si>
  <si>
    <t xml:space="preserve">                   Hřbitov - kolumbárium, vsypová loučka (TSNJ) PD</t>
  </si>
  <si>
    <t xml:space="preserve">                   Hřbitov -chodníky, sítě (TSNJ) PD</t>
  </si>
  <si>
    <t xml:space="preserve">                   Hřbitov - čestné hroby 2. etapa sanace (TSNJ)</t>
  </si>
  <si>
    <t xml:space="preserve">                   Smuteční síň a technické zázemí - rekonstrukce (TSNJ)</t>
  </si>
  <si>
    <r>
      <t xml:space="preserve">Využití volného času dětí a mládeže </t>
    </r>
    <r>
      <rPr>
        <sz val="9"/>
        <rFont val="Arial CE"/>
        <charset val="238"/>
      </rPr>
      <t xml:space="preserve">(účet 2310800) </t>
    </r>
  </si>
  <si>
    <t xml:space="preserve"> investice: Rodinné hřiště TJ Sokol - Lamberk</t>
  </si>
  <si>
    <t>mobiliář město Lesopark Skalky - odpadkové koše, lavičky Hückelovy vily)</t>
  </si>
  <si>
    <r>
      <t>Zastupitelstva obcí</t>
    </r>
    <r>
      <rPr>
        <sz val="9"/>
        <rFont val="Arial CE"/>
        <charset val="238"/>
      </rPr>
      <t xml:space="preserve"> (ost.platy-refundace mzdy 30, odměny členů ZM 8520, zák.odvody 1046,6+766,8, refund.zák.odvodů 12, školení a vzdělávání pro uvolněné ZM 10, parkovné 0,5, cestovné (ubytování a doprava) 20, pohoštění vč.komisí a výborů 200, poplatky na konference 7, ošatné 90, dary 30)</t>
    </r>
  </si>
  <si>
    <r>
      <t>Sociální fond</t>
    </r>
    <r>
      <rPr>
        <sz val="10"/>
        <rFont val="Arial CE"/>
        <family val="2"/>
        <charset val="238"/>
      </rPr>
      <t xml:space="preserve"> </t>
    </r>
    <r>
      <rPr>
        <sz val="9"/>
        <rFont val="Arial CE"/>
        <family val="2"/>
        <charset val="238"/>
      </rPr>
      <t>(nákup ost. sl.  4067+60+21, rekreace zaměstnanců 3140, pohoštění-setkání zaměstnanců+bývalých zaměstnanců 206, dary obyvatelstvu při úmrtí zaměstnance nebo člena rodiny 100, jubilea 285, penzijní a životní pojištění zaměstn. 1150+30, akce odborů+nájemné Mořkov 26+9</t>
    </r>
  </si>
  <si>
    <r>
      <t xml:space="preserve">             individuální dotace z IP kraje -Charita AD 1.249.000, Sl.Diakonie Soc.reh. 298.000, CSS SAS 480.000, Jinak Podpora sam.bydlení 70.000 </t>
    </r>
    <r>
      <rPr>
        <sz val="10"/>
        <rFont val="Arial CE"/>
        <charset val="238"/>
      </rPr>
      <t>+ zapojení Fondu soc.služeb v celkové výši 559.400 Kč</t>
    </r>
  </si>
  <si>
    <t xml:space="preserve">             § 2223 pokuty za dopravní přestupky (Odbor přestupkových agent)</t>
  </si>
  <si>
    <r>
      <t xml:space="preserve">mobiliář </t>
    </r>
    <r>
      <rPr>
        <sz val="10"/>
        <rFont val="Arial CE"/>
        <charset val="238"/>
      </rPr>
      <t>(TSM 350 + 200 oprava dřevěných stánků)</t>
    </r>
  </si>
  <si>
    <t xml:space="preserve">                   Zimní stadion - přístavba ubytovny a tělocvičny PD</t>
  </si>
  <si>
    <t xml:space="preserve">             nebytový dům Beskydská 176</t>
  </si>
  <si>
    <t xml:space="preserve">                                    Žilina</t>
  </si>
  <si>
    <t xml:space="preserve">                    PD kolumbárium, obnova stávajícího kolumbária, vsypové loučky (přesun hrobů)</t>
  </si>
  <si>
    <t xml:space="preserve">              Příspěvek na TSM - Výměna osvětlení za úsporné LED v objektech svěřených TSM NJ, městská tržnice (100 tis.)</t>
  </si>
  <si>
    <t xml:space="preserve">                               - příspěvek na provoz, včetně energií 1 188, včetně odpisů z nemovitého majetku </t>
  </si>
  <si>
    <t xml:space="preserve">                               - příspěvek na provoz, včetně energií 1 600, včetně odpisů z nemovitého majetku </t>
  </si>
  <si>
    <t xml:space="preserve">                               - příspěvek na provoz, včetně energií 1 287, včetně odpisů z nemovitého majetku </t>
  </si>
  <si>
    <t xml:space="preserve">                              - příspěvek na provoz, včetně energií 5 445, včetně odpisů z nemovitého majetku </t>
  </si>
  <si>
    <t xml:space="preserve">                              - příspěvek na provoz, včetně energií 2 624, včetně odpisů z nemovitého majetku </t>
  </si>
  <si>
    <t xml:space="preserve">                              - příspěvek na provoz, včetně energií 2 178, včetně odpisů z nemovitého majetku </t>
  </si>
  <si>
    <t xml:space="preserve">                             - příspěvek na provoz (vč. Montessori 250), vč.energií 3 168, vč.odpisů z nem.majetku</t>
  </si>
  <si>
    <t xml:space="preserve">                  - příspěvek na provoz, včetně energií 1 170, včetně odpisů z nemovitého majetku </t>
  </si>
  <si>
    <t>z toho: příspěvek na provoz, včetně energií 2 835, včetně odpisů z nemovitého majetku 522</t>
  </si>
  <si>
    <t xml:space="preserve">           -  příspěvek na provoz MKS a Kina Květen, vč.energií 1 620, vč.odpisů z nem.majetku 178 </t>
  </si>
  <si>
    <t xml:space="preserve">z toho:  nájemné (užití pozemku, DZ) </t>
  </si>
  <si>
    <t>z toho: rozpočtová rezerva (vč.rezervy  z progr.dotací OSV: celorok 291, dobrov. 5, hospic 65)</t>
  </si>
  <si>
    <t xml:space="preserve">                  Komunální technika - kombinace na léto a zimu (třístranný sklápeč a sypač s pluhem) při zapojení FI TSM 2,2 mil. Kč</t>
  </si>
  <si>
    <t xml:space="preserve">             vratka nepoužité dotace z r. 2022 na "Volby prezidenta ČR" (ÚZ 98008)</t>
  </si>
  <si>
    <t xml:space="preserve">            na poskytování podpory soc.služeb dle zákona o soc.službách ORJ 029, org.1119 (pro Prosenior)</t>
  </si>
  <si>
    <t xml:space="preserve">            Potravin.pomoc dětem v soc.nouzi z prostř.OPZ+ v MSK</t>
  </si>
  <si>
    <t xml:space="preserve">             Byty Ukrajina (po schválení ve tř. 4)</t>
  </si>
  <si>
    <t xml:space="preserve">            MMR: Byty Ukrajina (ÚZ 17514)</t>
  </si>
  <si>
    <r>
      <t xml:space="preserve">            IROP MMR Jičínská  272 - revitalizace bytového domu </t>
    </r>
    <r>
      <rPr>
        <sz val="9"/>
        <rFont val="Arial"/>
        <family val="2"/>
        <charset val="238"/>
      </rPr>
      <t>(odbor bytový) (ÚZ 17969 N 107 Z 5)</t>
    </r>
  </si>
  <si>
    <r>
      <t xml:space="preserve">            IROP MMR Jičínská  275 - revitalizace bytového domu </t>
    </r>
    <r>
      <rPr>
        <sz val="9"/>
        <rFont val="Arial"/>
        <family val="2"/>
        <charset val="238"/>
      </rPr>
      <t>(odbor bytový) (ÚZ 17969 N 107 Z 5)</t>
    </r>
  </si>
  <si>
    <t>ORJ</t>
  </si>
  <si>
    <t>ORG</t>
  </si>
  <si>
    <t>Název akce</t>
  </si>
  <si>
    <t xml:space="preserve">Celkové předpokl. výdaje na akci </t>
  </si>
  <si>
    <t>Skutečné výdaje před            r. 2023</t>
  </si>
  <si>
    <t>Předpokl. výdaje
r. 2023</t>
  </si>
  <si>
    <t>Požadavek na rozpočet města                                                                (v Kč)</t>
  </si>
  <si>
    <t>Poznámka</t>
  </si>
  <si>
    <t>2024</t>
  </si>
  <si>
    <t>2025</t>
  </si>
  <si>
    <t>po r. 2025</t>
  </si>
  <si>
    <t>602 Vodní hospodářství</t>
  </si>
  <si>
    <t>Vodovod Straník (společně s kanalizací) PD</t>
  </si>
  <si>
    <t>jedná se pouze o předpokládané náklady na PD</t>
  </si>
  <si>
    <t>Kanalizace Bludovice PD</t>
  </si>
  <si>
    <t>Kanalizace Straník (společně s vodovodem) PD</t>
  </si>
  <si>
    <t>610 Doprava</t>
  </si>
  <si>
    <t>Komunikace Nový Jičín - Kojetín PD</t>
  </si>
  <si>
    <t>Křižovatka ul. Propojovací a Hřbitovní PD</t>
  </si>
  <si>
    <t>614 Školství - akce OŠKS</t>
  </si>
  <si>
    <t xml:space="preserve">ZŠ Tyršova - výměna oken závěrečná etapa </t>
  </si>
  <si>
    <t>jedná se o náklady na realizaci</t>
  </si>
  <si>
    <t>616 Kultura - akce OŠKS</t>
  </si>
  <si>
    <t>Kino Květen - rekonstrukce studie + PD</t>
  </si>
  <si>
    <t>jedná se pouze o předpokládané náklady na studii a PD</t>
  </si>
  <si>
    <t>637 - akce OB</t>
  </si>
  <si>
    <t>Venkovní bazén (č.z. 08/22)</t>
  </si>
  <si>
    <t>Dům na ul.Dobrovského 39/2 - oprava - PD</t>
  </si>
  <si>
    <t>Dům na ul. Gen. Hlaďo 758/22 (Čedok) - oprava - PD</t>
  </si>
  <si>
    <t>Dům Masarykovo nám. 27/16 (lékárna) - oprava  - PD</t>
  </si>
  <si>
    <t>Dům na ul.  Jungmannova 1, 5. května - revitalizace - PD</t>
  </si>
  <si>
    <t>Dům na ul. Havlíčkova 104/11 - sanace - PD</t>
  </si>
  <si>
    <t>Fojtství Bludovice (č.z. 10/22) - PD</t>
  </si>
  <si>
    <t>639 Komunální služby a územní rozvoj</t>
  </si>
  <si>
    <t>Tenisová hala B. Martinů PD</t>
  </si>
  <si>
    <t>jedná se pouze o předpokládané náklady na PD, studie z r. 2023</t>
  </si>
  <si>
    <t>Víceúčelová sportovní hala Jičínka PD</t>
  </si>
  <si>
    <t>jedná se pouze o předpokládané náklady na PD, architektonická soutěž z r. 2023</t>
  </si>
  <si>
    <t xml:space="preserve">Inženýrské sítě ve sportovním areálu - PD </t>
  </si>
  <si>
    <t>Převod obchodních podílů k objektu Nové Slunce na ul. Husova</t>
  </si>
  <si>
    <t>CELKEM</t>
  </si>
  <si>
    <r>
      <t xml:space="preserve">                   Kanalizační přípojka ZS NJ - oprava </t>
    </r>
    <r>
      <rPr>
        <sz val="10"/>
        <color rgb="FFFF0000"/>
        <rFont val="Arial CE"/>
        <charset val="238"/>
      </rPr>
      <t>ukončeno 2023</t>
    </r>
  </si>
  <si>
    <r>
      <t xml:space="preserve">           § 6171 činnost místní správy</t>
    </r>
    <r>
      <rPr>
        <sz val="10"/>
        <rFont val="Arial CE"/>
        <charset val="238"/>
      </rPr>
      <t xml:space="preserve"> </t>
    </r>
    <r>
      <rPr>
        <sz val="9"/>
        <rFont val="Arial CE"/>
        <charset val="238"/>
      </rPr>
      <t>(Odbor finanční: náklady řízení 15, úhrada exek.a soudních řízení 15)</t>
    </r>
  </si>
  <si>
    <r>
      <t>Příjmy z prodeje pozemků s DPH 21%, popř. s DPH 0%</t>
    </r>
    <r>
      <rPr>
        <b/>
        <sz val="9"/>
        <rFont val="Arial CE"/>
        <family val="2"/>
        <charset val="238"/>
      </rPr>
      <t xml:space="preserve"> </t>
    </r>
    <r>
      <rPr>
        <sz val="9"/>
        <rFont val="Arial CE"/>
        <family val="2"/>
        <charset val="238"/>
      </rPr>
      <t>(Prům. park 33300, Prům. park-nabídkové řízení 10300, ČSAD 5000, ost. 600 vč. DPH)</t>
    </r>
  </si>
  <si>
    <r>
      <t xml:space="preserve">            Odbor správních agend </t>
    </r>
    <r>
      <rPr>
        <sz val="9"/>
        <rFont val="Arial CE"/>
        <charset val="238"/>
      </rPr>
      <t>(matrika 170, ohlašovna 35, CzechPoint+vidimace a legalizace 64, OP 350, CD 1100)</t>
    </r>
  </si>
  <si>
    <r>
      <t xml:space="preserve">           § 4351 neinvestiční příspěvek na poskytování sociálních služeb pro Prosenior </t>
    </r>
    <r>
      <rPr>
        <sz val="9"/>
        <rFont val="Arial CE"/>
        <charset val="238"/>
      </rPr>
      <t>(předpokládaná dotace z MPSV) - po schválení je rozpočtováno na pol. 4122</t>
    </r>
  </si>
  <si>
    <r>
      <t xml:space="preserve">           §           neinvestiční příspěvek pouze na výkon soc.práce mimo soc.právní ochranu dětí </t>
    </r>
    <r>
      <rPr>
        <sz val="9"/>
        <rFont val="Arial CE"/>
        <charset val="238"/>
      </rPr>
      <t>(předpokládaná dotace z MPSV) - po schválení je rozpočtováno na pol. 4116 (ÚZ 914)</t>
    </r>
  </si>
  <si>
    <r>
      <t xml:space="preserve">           § 6118 neinvest.příspěvek </t>
    </r>
    <r>
      <rPr>
        <sz val="9"/>
        <rFont val="Arial CE"/>
        <family val="2"/>
        <charset val="238"/>
      </rPr>
      <t>(dotace)</t>
    </r>
    <r>
      <rPr>
        <sz val="10"/>
        <rFont val="Arial CE"/>
        <family val="2"/>
        <charset val="238"/>
      </rPr>
      <t xml:space="preserve"> na volby prezidenta republiky v r. 2023 - předpokládaný doplatek</t>
    </r>
  </si>
  <si>
    <r>
      <t xml:space="preserve">           § 3322-3326 neinvestiční příspěvek na regeneraci MPR a MPZ (předpokládaná dotace z MK ČR) -</t>
    </r>
    <r>
      <rPr>
        <sz val="9"/>
        <rFont val="Arial CE"/>
        <charset val="238"/>
      </rPr>
      <t>po schválení je rozpočtováno na pol. 4116 (ÚZ 34054)</t>
    </r>
  </si>
  <si>
    <r>
      <t xml:space="preserve">            mimořádné dotace a dary (org. 1180): </t>
    </r>
    <r>
      <rPr>
        <sz val="9"/>
        <rFont val="Arial CE"/>
        <charset val="238"/>
      </rPr>
      <t>MŠ Beruška 267, ZŠ Galaxie 452 a MŠ Bludovice 61,776 - všechny 3 subjekty na úhradu režijních nákladů na stravování dětí včetně dovozu, ZO ČSOP Bartošovice  záchrana handicapovaných zvířat 90, Česká křesťanská akademie 15, stipendia 200</t>
    </r>
  </si>
  <si>
    <t xml:space="preserve">           § 1019 ostatní zemědělská a potravinářská činnost a rozvoj</t>
  </si>
  <si>
    <r>
      <t xml:space="preserve">           § 3319 ostatní sportovní činnost </t>
    </r>
    <r>
      <rPr>
        <sz val="9"/>
        <rFont val="Arial CE"/>
        <charset val="238"/>
      </rPr>
      <t>(Odbor školství, kultury a sportu)</t>
    </r>
  </si>
  <si>
    <r>
      <t xml:space="preserve">           § 3322 zachování a obnova kulturních památek </t>
    </r>
    <r>
      <rPr>
        <sz val="9"/>
        <rFont val="Arial CE"/>
        <charset val="238"/>
      </rPr>
      <t>(Odbor školství, kultury a sportu)</t>
    </r>
  </si>
  <si>
    <r>
      <t xml:space="preserve">           § 3612 tržby za správu SVJ</t>
    </r>
    <r>
      <rPr>
        <sz val="9"/>
        <rFont val="Arial CE"/>
        <charset val="238"/>
      </rPr>
      <t xml:space="preserve"> (Odbor bytový)</t>
    </r>
  </si>
  <si>
    <t>PŘEHLED AKCÍ V ROZPOČTU MĚSTA NA ROK 2024 S FINANCOVÁNÍM DO ROKU 2025</t>
  </si>
  <si>
    <r>
      <t xml:space="preserve">             § 5311 bezpečnost a veřejný pořádek </t>
    </r>
    <r>
      <rPr>
        <sz val="9"/>
        <rFont val="Arial CE"/>
        <charset val="238"/>
      </rPr>
      <t>(Městská policie: na místě zaplac. 500, na místě nezapl. 150)</t>
    </r>
  </si>
  <si>
    <t xml:space="preserve">           § 2141 vnitřní obchod (Návštěvnické centrum NJ)</t>
  </si>
  <si>
    <t xml:space="preserve">Neidentifikované příjmy </t>
  </si>
  <si>
    <t xml:space="preserve">            MMR: Energetické úspory Na Lani 272 (z r. 2022)-státní rozpočet (ÚZ 17968)</t>
  </si>
  <si>
    <r>
      <t xml:space="preserve">           § 6171 činnost místní správy </t>
    </r>
    <r>
      <rPr>
        <sz val="9"/>
        <rFont val="Arial CE"/>
        <charset val="238"/>
      </rPr>
      <t>(organizační odbor)</t>
    </r>
  </si>
  <si>
    <t xml:space="preserve">           § 3769 ostatní správa v životním prostředí</t>
  </si>
  <si>
    <r>
      <rPr>
        <b/>
        <sz val="10"/>
        <rFont val="Arial CE"/>
        <charset val="238"/>
      </rPr>
      <t>Prodej neinvestičního majetku</t>
    </r>
    <r>
      <rPr>
        <sz val="10"/>
        <rFont val="Arial CE"/>
        <family val="2"/>
        <charset val="238"/>
      </rPr>
      <t xml:space="preserve"> (odbor organizační)</t>
    </r>
  </si>
  <si>
    <t>z toho: doplatek TSM NJ</t>
  </si>
  <si>
    <r>
      <t>2310400/741/</t>
    </r>
    <r>
      <rPr>
        <b/>
        <sz val="9"/>
        <rFont val="Arial CE"/>
        <family val="2"/>
        <charset val="238"/>
      </rPr>
      <t>6409</t>
    </r>
    <r>
      <rPr>
        <sz val="9"/>
        <rFont val="Arial CE"/>
        <family val="2"/>
        <charset val="238"/>
      </rPr>
      <t>/5904/13013</t>
    </r>
  </si>
  <si>
    <r>
      <t xml:space="preserve">Změna stavu dlouhodobých prostředků na bankovních účtech </t>
    </r>
    <r>
      <rPr>
        <sz val="10"/>
        <rFont val="Arial CE"/>
        <charset val="238"/>
      </rPr>
      <t>(předpoklad vyplacení 97,72425045 mil. Kč ze Sberbank v roce 2023 + doplatek ze Sberbank v roce 2024)</t>
    </r>
  </si>
  <si>
    <r>
      <t xml:space="preserve">Změna stavu krátkodobých prostředků na bankovních účtech </t>
    </r>
    <r>
      <rPr>
        <sz val="10"/>
        <rFont val="Arial CE"/>
        <charset val="238"/>
      </rPr>
      <t>(zapojení konečných zůstatků k 31.12.2023 na účtech města 77,35825178 mil. Kč)</t>
    </r>
  </si>
  <si>
    <t>% plnění
k SR</t>
  </si>
  <si>
    <t>% plnění
k UR</t>
  </si>
  <si>
    <r>
      <t xml:space="preserve">Schválený rozpočet
1.pol.2024
</t>
    </r>
    <r>
      <rPr>
        <sz val="9"/>
        <rFont val="Arial CE"/>
        <charset val="238"/>
      </rPr>
      <t>(v Kč)</t>
    </r>
  </si>
  <si>
    <r>
      <t xml:space="preserve">Skutečnost za
1.pol. 2024
</t>
    </r>
    <r>
      <rPr>
        <sz val="9"/>
        <rFont val="Arial CE"/>
        <family val="2"/>
        <charset val="238"/>
      </rPr>
      <t>v Kč</t>
    </r>
  </si>
  <si>
    <t>ORJ 035+031 - Odbor životního prostředí</t>
  </si>
  <si>
    <t>ORJ 04x - Odbor územního plánování a stavebního řádu</t>
  </si>
  <si>
    <t>výpočty</t>
  </si>
  <si>
    <r>
      <t xml:space="preserve">Upravený rozpočet
1.pol.2024
</t>
    </r>
    <r>
      <rPr>
        <sz val="9"/>
        <rFont val="Arial CE"/>
        <charset val="238"/>
      </rPr>
      <t>(v Kč)</t>
    </r>
  </si>
  <si>
    <t>% plnění
2024/2023</t>
  </si>
  <si>
    <t>1.pol.2023</t>
  </si>
  <si>
    <t>Město Nový Jičín</t>
  </si>
  <si>
    <t>Závěrečný propočet výsledků hospodaření</t>
  </si>
  <si>
    <t xml:space="preserve">dle výkazu 040 </t>
  </si>
  <si>
    <t>období:</t>
  </si>
  <si>
    <t>skutečnost</t>
  </si>
  <si>
    <t>UR</t>
  </si>
  <si>
    <t>po konsolidaci</t>
  </si>
  <si>
    <t>ř. 4200</t>
  </si>
  <si>
    <t xml:space="preserve"> +  převod soc. fond</t>
  </si>
  <si>
    <t>ř. 4281</t>
  </si>
  <si>
    <t xml:space="preserve">  +  třída 8 financování</t>
  </si>
  <si>
    <t>ř. 8000</t>
  </si>
  <si>
    <t>Zdroje celkem</t>
  </si>
  <si>
    <t>ř. 4430</t>
  </si>
  <si>
    <t>ř.4430-4220+4281=Výcelk-tř.6</t>
  </si>
  <si>
    <t>z toho</t>
  </si>
  <si>
    <t>tř. 5</t>
  </si>
  <si>
    <t>tř. 6</t>
  </si>
  <si>
    <t>ř. 4220</t>
  </si>
  <si>
    <t xml:space="preserve">celkem </t>
  </si>
  <si>
    <t>Třída 4 - včetně převodů</t>
  </si>
  <si>
    <t>ř. 4040</t>
  </si>
  <si>
    <t>ř. 4130</t>
  </si>
  <si>
    <t>ř. 4140</t>
  </si>
  <si>
    <t>ř. 4150</t>
  </si>
  <si>
    <t>převody celkem</t>
  </si>
  <si>
    <t>(kontrola ř.4250)</t>
  </si>
  <si>
    <t>Třída 4 - bez převodů</t>
  </si>
  <si>
    <t>Třída 4 - do tabulek</t>
  </si>
  <si>
    <t>Vyhotovila: Holíková</t>
  </si>
  <si>
    <t>rozpočet</t>
  </si>
  <si>
    <t>Třída 1</t>
  </si>
  <si>
    <t>ř. 4010</t>
  </si>
  <si>
    <t>Třída 2</t>
  </si>
  <si>
    <t>ř. 4020</t>
  </si>
  <si>
    <t>Třída 3</t>
  </si>
  <si>
    <t>ř. 4030</t>
  </si>
  <si>
    <t>Třída 4</t>
  </si>
  <si>
    <t>(tab) viz výše</t>
  </si>
  <si>
    <t>Třída 8</t>
  </si>
  <si>
    <t>Kapitola 741</t>
  </si>
  <si>
    <t>celkem</t>
  </si>
  <si>
    <t>Finanční přehledy</t>
  </si>
  <si>
    <t xml:space="preserve"> výdaje 741 celkem</t>
  </si>
  <si>
    <r>
      <t xml:space="preserve"> </t>
    </r>
    <r>
      <rPr>
        <sz val="10"/>
        <rFont val="Arial CE"/>
        <charset val="238"/>
      </rPr>
      <t xml:space="preserve">  -</t>
    </r>
  </si>
  <si>
    <t>převody</t>
  </si>
  <si>
    <t>§ 6330 53xx</t>
  </si>
  <si>
    <t xml:space="preserve"> 741 / 6330 / 53xx</t>
  </si>
  <si>
    <t>Kapitola 741 výdaje - čistá do tabulek</t>
  </si>
  <si>
    <t>kap 741 celá</t>
  </si>
  <si>
    <t>minus převody § 6330</t>
  </si>
  <si>
    <t>1.pol. 2024</t>
  </si>
  <si>
    <t>pozor na FSS (přidat do převodů)</t>
  </si>
  <si>
    <r>
      <t>z toho:  Zajištění výkonu regionálních funkcí knihoven - pro MěKS</t>
    </r>
    <r>
      <rPr>
        <sz val="9"/>
        <rFont val="Arial CE"/>
        <charset val="238"/>
      </rPr>
      <t xml:space="preserve"> (ÚZ 345)</t>
    </r>
  </si>
  <si>
    <r>
      <t xml:space="preserve">            Zajištění dočasného nouzového ubytování pro uprchlíky z Ukrajiny </t>
    </r>
    <r>
      <rPr>
        <sz val="9"/>
        <rFont val="Arial CE"/>
        <charset val="238"/>
      </rPr>
      <t xml:space="preserve">(ÚZ 900)    </t>
    </r>
  </si>
  <si>
    <t xml:space="preserve">           § 3632 pohřebnictví ČN fond budoucnosti- Sanace čestných hrobů II</t>
  </si>
  <si>
    <r>
      <t xml:space="preserve">z toho: TSM příspěvek na investice </t>
    </r>
    <r>
      <rPr>
        <sz val="9"/>
        <rFont val="Arial CE"/>
        <charset val="238"/>
      </rPr>
      <t>(2024: ramenový nakladač 4 250 mil.+natahovač kontejnerů 3.337,434 mil)</t>
    </r>
  </si>
  <si>
    <t>1422/3113/51xx</t>
  </si>
  <si>
    <t>Osobní asistence, pečovatelská služba a podpora bydlení</t>
  </si>
  <si>
    <r>
      <t xml:space="preserve">                      </t>
    </r>
    <r>
      <rPr>
        <sz val="9"/>
        <rFont val="Arial CE"/>
        <charset val="238"/>
      </rPr>
      <t>Vodojem Straník (TDS, BOZP, AD)</t>
    </r>
  </si>
  <si>
    <r>
      <t xml:space="preserve">                      V</t>
    </r>
    <r>
      <rPr>
        <sz val="9"/>
        <rFont val="Arial CE"/>
        <charset val="238"/>
      </rPr>
      <t>odojem Straník - oprava</t>
    </r>
  </si>
  <si>
    <t xml:space="preserve">             Cyklopruhy na ul. B. Martinů v Novém Jičíně</t>
  </si>
  <si>
    <t>1602/3311/6122</t>
  </si>
  <si>
    <r>
      <t xml:space="preserve">z toho </t>
    </r>
    <r>
      <rPr>
        <b/>
        <sz val="9"/>
        <rFont val="Arial CE"/>
        <charset val="238"/>
      </rPr>
      <t>investice</t>
    </r>
    <r>
      <rPr>
        <sz val="9"/>
        <rFont val="Arial CE"/>
        <charset val="238"/>
      </rPr>
      <t xml:space="preserve">: nákup 2 vozidel </t>
    </r>
    <r>
      <rPr>
        <b/>
        <sz val="9"/>
        <rFont val="Arial CE"/>
        <charset val="238"/>
      </rPr>
      <t>(org.3904)</t>
    </r>
  </si>
  <si>
    <t>0382/3631/6121</t>
  </si>
  <si>
    <t xml:space="preserve">                    VO-Skatepark a Bikepark-sestava solárního svítidla</t>
  </si>
  <si>
    <t xml:space="preserve">                  opravy a údržba ( 200 oplocení Hückelovy vily, 500 nátěry dřev. prvků , 300 oplocení ČOV Kojetín) </t>
  </si>
  <si>
    <t xml:space="preserve">             investice:  Odpočívka pro cyklisty u drážního domku - posedové schodiště</t>
  </si>
  <si>
    <t>0513/3341/6122</t>
  </si>
  <si>
    <r>
      <t xml:space="preserve">            § 3311 Beskydské divadlo vratka příspěvku na energie </t>
    </r>
    <r>
      <rPr>
        <sz val="8"/>
        <rFont val="Arial CE"/>
        <charset val="238"/>
      </rPr>
      <t>(159,71355</t>
    </r>
  </si>
  <si>
    <r>
      <t xml:space="preserve">            § 3233 SVČ Fokus vratka příspěvku na energie </t>
    </r>
    <r>
      <rPr>
        <sz val="9"/>
        <rFont val="Arial CE"/>
        <charset val="238"/>
      </rPr>
      <t>(236,70936)</t>
    </r>
  </si>
  <si>
    <r>
      <t xml:space="preserve">            § 3392 MěKS vratka příspěvku na energie </t>
    </r>
    <r>
      <rPr>
        <sz val="8"/>
        <rFont val="Arial CE"/>
        <charset val="238"/>
      </rPr>
      <t>(391,37439)</t>
    </r>
  </si>
  <si>
    <r>
      <t>z toho: doplatek energií za r. 2023</t>
    </r>
    <r>
      <rPr>
        <sz val="9"/>
        <rFont val="Arial CE"/>
        <charset val="238"/>
      </rPr>
      <t xml:space="preserve"> (ZŠ+MŠ Jub 237,96757+ ZŠ K66 45,26034+ ZŠ K68 71,09203+ ZŠ Tyrš 416,27447)</t>
    </r>
  </si>
  <si>
    <t xml:space="preserve">z toho: na volby prezidenta ČR (úz 98008) -dopl.2023  </t>
  </si>
  <si>
    <t xml:space="preserve">            MPSV: Výkon sociálně-právní ochrany dětí (ÚZ 13024)-dopl 2023</t>
  </si>
  <si>
    <r>
      <t xml:space="preserve">                </t>
    </r>
    <r>
      <rPr>
        <sz val="10"/>
        <rFont val="Arial CE"/>
        <charset val="238"/>
      </rPr>
      <t xml:space="preserve"> vratka části neinvest.dotace z OP Zaměstnanost (ÚZ 13013)</t>
    </r>
  </si>
  <si>
    <t xml:space="preserve">             vratka části dotace Obědy dětem (úz 253+911 ZŠMŠ Jub 18,354)</t>
  </si>
  <si>
    <t xml:space="preserve">                   Randice ul. Úzká I. a II. patro - Oprava soc.zařízení ukončeno 2023-uvolnění pozastávky</t>
  </si>
  <si>
    <t>Pořízení, zach.a obnova hodnot místního kulturního, národního a historického povědomí</t>
  </si>
  <si>
    <t>1605/3326/5171+5169</t>
  </si>
  <si>
    <t xml:space="preserve">            Potravinová pomoc dětem do škol (obědy) - pro ZŠ K66 - SR (ÚZ 253) +EU (ÚZ 911), NáZ 144 1,5</t>
  </si>
  <si>
    <t xml:space="preserve">            Potravinová pomoc dětem do škol (obědy) - pro ZŠ+MŠ Jub - SR (ÚZ 253) +EU (ÚZ 911), NáZ 144 1,5</t>
  </si>
  <si>
    <t xml:space="preserve">            Potravinová pomoc dětem do škol (obědy) - pro ZŠ K68 - SR (ÚZ 253) +EU (ÚZ 911), NáZ 144 1,5</t>
  </si>
  <si>
    <t xml:space="preserve">            Potravinová pomoc dětem do škol (obědy) - pro MŠ Trojl - SR (ÚZ 253) +EU (ÚZ 911), NáZ 144 1,5</t>
  </si>
  <si>
    <t xml:space="preserve">             individuální dotace - rezerva na dofinancování soc.oblasti</t>
  </si>
  <si>
    <t xml:space="preserve">            MMR IROP Chodník k autobusové zastávce Bocheta (ÚZ 17969, NáZ 1075)</t>
  </si>
  <si>
    <t xml:space="preserve">            MPO-Národní plán obnovy - VO EFEKT 2023 (ÚZ 22504, NáZ 1705)</t>
  </si>
  <si>
    <r>
      <t>Ost.zál.pozem.komunikací-provozování bikesharingu ve městě NJ</t>
    </r>
    <r>
      <rPr>
        <sz val="10"/>
        <rFont val="Arial CE"/>
        <charset val="238"/>
      </rPr>
      <t xml:space="preserve"> (pol.5169, 5213)</t>
    </r>
  </si>
  <si>
    <t>3748/3613/5171+5169</t>
  </si>
  <si>
    <t xml:space="preserve">             vratka části dotace Obědy dětem (úz 253+911 ZŠK 66)</t>
  </si>
  <si>
    <t xml:space="preserve">            § 6402 ZŠ K66 vratka nevyčerp.dotace 2023 z MSK obědy dětem úz 253+911 NáZ 144 1,5</t>
  </si>
  <si>
    <t xml:space="preserve">            § 6402 ZŠ K68 vratka nevyčerp.dotace 2023 z MSK obědy dětem úz 253+911 NáZ 144 1,5</t>
  </si>
  <si>
    <t xml:space="preserve">             vratka části dotace Obědy dětem (úz 253+911 ZŠK 68)</t>
  </si>
  <si>
    <t xml:space="preserve">            § 6402 ZŠMŠ Jub vratka nevyčerp.dotace 2023 z MSK obědy dětem úz 253+911 NáZ 144 1,5</t>
  </si>
  <si>
    <r>
      <t xml:space="preserve">           § 3725 využívání a zneškodňování komunálních odpadů </t>
    </r>
    <r>
      <rPr>
        <sz val="9"/>
        <rFont val="Arial CE"/>
        <family val="2"/>
        <charset val="238"/>
      </rPr>
      <t xml:space="preserve">(příspěvek od EKOKOMu)               </t>
    </r>
  </si>
  <si>
    <t>z toho:  § 2212 TSM vratka části přísp na energie 2023</t>
  </si>
  <si>
    <r>
      <t xml:space="preserve">            § 3111 MŠ vratka části příspěvku na energie </t>
    </r>
    <r>
      <rPr>
        <sz val="9"/>
        <rFont val="Arial CE"/>
        <charset val="238"/>
      </rPr>
      <t>(3Líst 13.77902 + Sady 87,87861 + Máj 201,12747)</t>
    </r>
  </si>
  <si>
    <t xml:space="preserve">            § vratky nevyčerpaných indiv.dotací 2023 (org. 1180)</t>
  </si>
  <si>
    <t xml:space="preserve">           § 3429 chyta Jíčínka (odbor organizační)</t>
  </si>
  <si>
    <t xml:space="preserve">            § 3722 TSM vratka části přísp na energie 2023</t>
  </si>
  <si>
    <t xml:space="preserve">            § vratky program.dotací-oblast sociální 2023</t>
  </si>
  <si>
    <t xml:space="preserve">            § 3419 vratky program.dotací-oblast sportu 2023</t>
  </si>
  <si>
    <t>0504/3311/6121</t>
  </si>
  <si>
    <t xml:space="preserve">                   Beskydské divadlo - vzduchotechnika PD</t>
  </si>
  <si>
    <t>z toho: Osvětová beseda Straník (org. 0502)</t>
  </si>
  <si>
    <t xml:space="preserve">             - nákup DDHM a ost.materiálu  5137 , 5139 </t>
  </si>
  <si>
    <t xml:space="preserve">                    Dům na ul. U Jičínky 25 </t>
  </si>
  <si>
    <t>3751/3612/6121</t>
  </si>
  <si>
    <t>Ostatní sportovní činnost</t>
  </si>
  <si>
    <t>0382/3429/6121</t>
  </si>
  <si>
    <t xml:space="preserve">              investice-DiscGolfPark Skalky</t>
  </si>
  <si>
    <r>
      <t xml:space="preserve">            Zajištění okresních a krajských přehlídek a soutěží typu A a B - pro SVČ Fokus </t>
    </r>
    <r>
      <rPr>
        <sz val="9"/>
        <rFont val="Arial CE"/>
        <charset val="238"/>
      </rPr>
      <t>(ÚZ 833)</t>
    </r>
  </si>
  <si>
    <r>
      <t>z toho: Podpora technických atraktivit v NJ - pro Návštěvnické centrum NJ</t>
    </r>
    <r>
      <rPr>
        <sz val="10"/>
        <rFont val="Arial CE"/>
        <charset val="238"/>
      </rPr>
      <t xml:space="preserve"> (ÚZ 692)</t>
    </r>
  </si>
  <si>
    <t xml:space="preserve">            MMR - Podpora architektonických a urbanist.soutěží 2023+ (ÚZ 17090)</t>
  </si>
  <si>
    <t xml:space="preserve">                    VO-přísp.inv-astronomické spínací hodiny pro zabezpečení spínání a vypínání VO TSM, skatepark-svítidla</t>
  </si>
  <si>
    <t xml:space="preserve">            na volby do Evropského Parlamentu (úz 98348)</t>
  </si>
  <si>
    <t xml:space="preserve">            MMR - IROP Řemesla-Rekonstrukce  škol.kuchyně ZŠ K68 (úz17084,17085, NáZ 1491,5)</t>
  </si>
  <si>
    <t xml:space="preserve">            MMR - IROP Řemesla-Rekonstrukce  škol.kuchyně ZŠ K68 (úz17518,17519, NáZ 1491,5)</t>
  </si>
  <si>
    <t xml:space="preserve">            MMR - IROP Autobusová zastávka Požární zbrojnice Žilina (úz17519, NáZ 1495)</t>
  </si>
  <si>
    <t xml:space="preserve">            MMR - IROP Autobusová zastávka Požární zbrojnice Žilina (úz170854 NáZ 1495)</t>
  </si>
  <si>
    <r>
      <t xml:space="preserve">            Poskytování sociálních služeb (ÚZ 914) - </t>
    </r>
    <r>
      <rPr>
        <sz val="9"/>
        <rFont val="Arial CE"/>
        <charset val="238"/>
      </rPr>
      <t>pro ProSenior</t>
    </r>
  </si>
  <si>
    <r>
      <t xml:space="preserve">           § 6409 na volby v roce 2024 (předpokládané dotace) - </t>
    </r>
    <r>
      <rPr>
        <sz val="9"/>
        <rFont val="Arial CE"/>
        <charset val="238"/>
      </rPr>
      <t>po schválení je rozpočtováno na pol. 4111</t>
    </r>
  </si>
  <si>
    <t xml:space="preserve">           § 6409 zisk 95% pohledávky města ve Sberbank CZ,a.s. v likvidaci</t>
  </si>
  <si>
    <t>Ostatní činnosti</t>
  </si>
  <si>
    <t>0517/3900/6351</t>
  </si>
  <si>
    <t xml:space="preserve">           TSM inv příspěvek na modernizaci kovového pódia</t>
  </si>
  <si>
    <t xml:space="preserve">                  modernizace kovového pódia</t>
  </si>
  <si>
    <t xml:space="preserve">             Workoutové hřiště pod Gymnáziem NJ - oprava</t>
  </si>
  <si>
    <t>0382/3412/5171</t>
  </si>
  <si>
    <t xml:space="preserve">             služby - revize, poplatky, materiál</t>
  </si>
  <si>
    <t>0386/2221/5169,5139</t>
  </si>
  <si>
    <t>3536/3639/5169</t>
  </si>
  <si>
    <t>Intenzifikace kompostárny v NJ-přípravná dokumentace</t>
  </si>
  <si>
    <t>Výsledky hospodaření města Nový Jičín 
za 1. pololetí 2024</t>
  </si>
  <si>
    <t xml:space="preserve">              § 3639 nájemné za pozemky</t>
  </si>
  <si>
    <t xml:space="preserve">             § 2212 odbor správy majetku - pokuty silnice</t>
  </si>
  <si>
    <t xml:space="preserve">             § 3111 mateřské školy</t>
  </si>
  <si>
    <r>
      <t xml:space="preserve">           § 2219 parkoviště </t>
    </r>
    <r>
      <rPr>
        <sz val="9"/>
        <rFont val="Arial CE"/>
        <charset val="238"/>
      </rPr>
      <t>(náklady řízení) odbor dopravy</t>
    </r>
  </si>
  <si>
    <t xml:space="preserve">           § 2212 silniční hospodářství (odbor správy majetku)</t>
  </si>
  <si>
    <t xml:space="preserve">           § 3631 veřejné osvětlení</t>
  </si>
  <si>
    <t xml:space="preserve">            MPSV: Výkon sociálně-právní ochrany dětí (ÚZ 13024)-rok 2024</t>
  </si>
  <si>
    <r>
      <t xml:space="preserve">            za veřejnoprávní smlouvy s ostatními obcemi </t>
    </r>
    <r>
      <rPr>
        <sz val="9"/>
        <rFont val="Arial CE"/>
        <charset val="238"/>
      </rPr>
      <t xml:space="preserve">(odbor </t>
    </r>
    <r>
      <rPr>
        <sz val="10"/>
        <rFont val="Arial CE"/>
        <charset val="238"/>
      </rPr>
      <t>životního prostředí</t>
    </r>
    <r>
      <rPr>
        <sz val="9"/>
        <rFont val="Arial CE"/>
        <charset val="238"/>
      </rPr>
      <t>)</t>
    </r>
  </si>
  <si>
    <r>
      <t xml:space="preserve">            Stezka pro chodce a cyklisty B.Martinů</t>
    </r>
    <r>
      <rPr>
        <sz val="10"/>
        <rFont val="Arial CE"/>
        <charset val="238"/>
      </rPr>
      <t xml:space="preserve"> (ÚZ 711)</t>
    </r>
  </si>
  <si>
    <t>investice (mimo TSM) Lávka Straník u č.p. 119 PD</t>
  </si>
  <si>
    <t xml:space="preserve">                                Propustek Straník u č.p. 59 PD</t>
  </si>
  <si>
    <t>z toho: investice (TSM) celkem</t>
  </si>
  <si>
    <t>0386/2221/51xx</t>
  </si>
  <si>
    <t xml:space="preserve">            nájmy SVJ</t>
  </si>
  <si>
    <t xml:space="preserve">            kauce k prodeji majetku (OB byty+NP, OSM pozemky)</t>
  </si>
  <si>
    <t>5485/2212/6121</t>
  </si>
  <si>
    <t>3748/3613/51xx</t>
  </si>
  <si>
    <t>3727/3633/6121</t>
  </si>
  <si>
    <t>12791948,49</t>
  </si>
  <si>
    <r>
      <t>Záležitosti soc. věcí a politiky nezaměstn. j.n.</t>
    </r>
    <r>
      <rPr>
        <b/>
        <sz val="9"/>
        <rFont val="Arial CE"/>
        <charset val="238"/>
      </rPr>
      <t xml:space="preserve"> </t>
    </r>
    <r>
      <rPr>
        <sz val="9"/>
        <rFont val="Arial CE"/>
        <charset val="238"/>
      </rPr>
      <t>(nákup tiskopisů receptů a žádanek na omamné látky, vč.zálohy pokladně pro nesvéprávné)</t>
    </r>
  </si>
  <si>
    <t xml:space="preserve">                       - nákup zahradního traktoru s hydraulickým vyprazdňováním koše (pol 6122)</t>
  </si>
  <si>
    <t xml:space="preserve">                       - nákup telefonní ústředna, defibrilátor (pol. 6122)</t>
  </si>
  <si>
    <t>TSM  - požadavky Redmine, OB příspěvek - AÚ 0800, po. 5169</t>
  </si>
  <si>
    <t xml:space="preserve">            - osadní výbory celkem:                                                                                       </t>
  </si>
  <si>
    <t xml:space="preserve">                   Loučka 90</t>
  </si>
  <si>
    <t xml:space="preserve">                   Straník 80 (nepředvídatelné opravy)</t>
  </si>
  <si>
    <t xml:space="preserve">                   SK Straník 147 (oprava fasády, nová podlaha v tělocvičně, výměna oken - II. část) </t>
  </si>
  <si>
    <t xml:space="preserve">                   Bludovice 13  - drobné opravy</t>
  </si>
  <si>
    <t xml:space="preserve">                   Žilina</t>
  </si>
  <si>
    <t xml:space="preserve">                   Kojetín 7-stavební úpravy (dětská herna, tělocvična), oprava dlažby a osvětl. ve volební místnosti </t>
  </si>
  <si>
    <r>
      <t xml:space="preserve">Azylové domy, nízkoprahová denní centra a noclehárny </t>
    </r>
    <r>
      <rPr>
        <sz val="10"/>
        <rFont val="Arial CE"/>
        <charset val="238"/>
      </rPr>
      <t xml:space="preserve"> (nejnutnější akce)</t>
    </r>
  </si>
  <si>
    <t xml:space="preserve">             nepředvídané opravy a havárie teplovodů , výměna potrubí TUV Loučka 300</t>
  </si>
  <si>
    <t xml:space="preserve">            mylné výdaje</t>
  </si>
  <si>
    <t xml:space="preserve">            Mze - Příspěvek na obnovu, zajištění a výchovu porostů-z EU (ÚZ 29014)</t>
  </si>
  <si>
    <t xml:space="preserve">                     Komunikace U Mlýna - dolní konec (úsek č.p. 122 - Potoční č.p.265) </t>
  </si>
  <si>
    <t xml:space="preserve">                     Křižovatka ul. K Archivu a K Nemocnici PD </t>
  </si>
  <si>
    <t xml:space="preserve">                     Převedení chodců ul. K Nemocnici parc. č. 558/26 (Honzek) PD</t>
  </si>
  <si>
    <t xml:space="preserve">                      Kanalizace Straník (společně s vodovodem) PD</t>
  </si>
  <si>
    <t>Příjem z dílčí daně z technických her za zd.období do konce roku 2023</t>
  </si>
  <si>
    <t>Příjem z daně z hazardních her s výjimkou dílčí daně z technických her  za zd.obd.do konce roku 2023</t>
  </si>
  <si>
    <t>Příjem z daně z hazardních her s výjimkou technických her neprovozovaných prostřednictvím internetu</t>
  </si>
  <si>
    <t>Příjem z daně z technických her neprovozovaných prostřednictvím internetu</t>
  </si>
  <si>
    <t>Příjem z pronájmu nebo pachtu ostatních nemovitých věcí a jejich částí</t>
  </si>
  <si>
    <t>Příjem sankčních plateb přijaté od jiných osob</t>
  </si>
  <si>
    <r>
      <t xml:space="preserve">Ostatní přijaté vratky transferů a podobné příjmy </t>
    </r>
    <r>
      <rPr>
        <sz val="10"/>
        <rFont val="Arial CE"/>
        <charset val="238"/>
      </rPr>
      <t>(příspěvků a dotací)</t>
    </r>
  </si>
  <si>
    <r>
      <rPr>
        <b/>
        <sz val="10"/>
        <rFont val="Arial CE"/>
        <charset val="238"/>
      </rPr>
      <t>Příjem z</t>
    </r>
    <r>
      <rPr>
        <sz val="10"/>
        <rFont val="Arial CE"/>
        <charset val="238"/>
      </rPr>
      <t xml:space="preserve"> p</t>
    </r>
    <r>
      <rPr>
        <b/>
        <sz val="10"/>
        <rFont val="Arial CE"/>
        <charset val="238"/>
      </rPr>
      <t>rodeje krd a drobného dld majetku</t>
    </r>
    <r>
      <rPr>
        <sz val="10"/>
        <rFont val="Arial CE"/>
        <family val="2"/>
        <charset val="238"/>
      </rPr>
      <t xml:space="preserve"> (odbor organizační)</t>
    </r>
  </si>
  <si>
    <r>
      <t xml:space="preserve">Přijaté peněžité neinvestiční dary </t>
    </r>
    <r>
      <rPr>
        <sz val="9"/>
        <rFont val="Arial CE"/>
        <family val="2"/>
        <charset val="238"/>
      </rPr>
      <t xml:space="preserve">(Veolia Dalkia ČR-financování kulturních a společenských akcí města) </t>
    </r>
  </si>
  <si>
    <t>Příjem z pojistných plnění</t>
  </si>
  <si>
    <t>Přijaté neinvestiční příspěvky a náhrady</t>
  </si>
  <si>
    <r>
      <t xml:space="preserve">Příjem z prodeje pozemků </t>
    </r>
    <r>
      <rPr>
        <sz val="10"/>
        <rFont val="Arial CE"/>
        <charset val="238"/>
      </rPr>
      <t>s DPH 21%, popř. s DPH 0%</t>
    </r>
    <r>
      <rPr>
        <sz val="9"/>
        <rFont val="Arial CE"/>
        <charset val="238"/>
      </rPr>
      <t xml:space="preserve"> (</t>
    </r>
    <r>
      <rPr>
        <sz val="9"/>
        <rFont val="Arial CE"/>
        <family val="2"/>
        <charset val="238"/>
      </rPr>
      <t>Prům. park 33300, Prům. park-nabídkové řízení 10300, ČSAD 5000, ost. 600 vč. DPH)</t>
    </r>
  </si>
  <si>
    <r>
      <t xml:space="preserve">Příjem z prodeje pozemků </t>
    </r>
    <r>
      <rPr>
        <sz val="10"/>
        <rFont val="Arial CE"/>
        <charset val="238"/>
      </rPr>
      <t>(nikoliv v režimu DPH)</t>
    </r>
  </si>
  <si>
    <t xml:space="preserve">Příjem z prodeje ostatních nemovitých věcí a jejich částí </t>
  </si>
  <si>
    <r>
      <t>Příjem z prodeje ostatního hmotného dlouhodobého majetku</t>
    </r>
    <r>
      <rPr>
        <sz val="9"/>
        <rFont val="Arial CE"/>
        <charset val="238"/>
      </rPr>
      <t xml:space="preserve"> (auto 53,2+notebooky ZM 43,2)</t>
    </r>
  </si>
  <si>
    <r>
      <t xml:space="preserve">Převody z vlastních fondů přes rok </t>
    </r>
    <r>
      <rPr>
        <sz val="10"/>
        <rFont val="Arial CE"/>
        <charset val="238"/>
      </rPr>
      <t>(zůstatek účtu Radary ve FIO)</t>
    </r>
  </si>
  <si>
    <r>
      <t>Úpravy drobné vodních toků</t>
    </r>
    <r>
      <rPr>
        <sz val="9"/>
        <rFont val="Arial CE"/>
        <family val="2"/>
        <charset val="238"/>
      </rPr>
      <t xml:space="preserve"> (účet 2310800)</t>
    </r>
  </si>
  <si>
    <t>Ostatní zájmová činnost a rekreace</t>
  </si>
  <si>
    <r>
      <t xml:space="preserve">Mateřské školy </t>
    </r>
    <r>
      <rPr>
        <sz val="9"/>
        <rFont val="Arial CE"/>
      </rPr>
      <t>(účet 2310800)</t>
    </r>
  </si>
  <si>
    <r>
      <rPr>
        <b/>
        <sz val="10"/>
        <rFont val="Arial CE"/>
        <charset val="238"/>
      </rPr>
      <t>Základní školy</t>
    </r>
    <r>
      <rPr>
        <sz val="10"/>
        <rFont val="Arial CE"/>
        <charset val="238"/>
      </rPr>
      <t xml:space="preserve"> (účet 2310800)</t>
    </r>
  </si>
  <si>
    <r>
      <t xml:space="preserve">Střediska volného času </t>
    </r>
    <r>
      <rPr>
        <sz val="9"/>
        <rFont val="Arial CE"/>
      </rPr>
      <t>(účet 2310800)</t>
    </r>
  </si>
  <si>
    <r>
      <t xml:space="preserve">Nebytové hospodářství  - oddělení investic </t>
    </r>
    <r>
      <rPr>
        <sz val="9"/>
        <rFont val="Arial CE"/>
        <charset val="238"/>
      </rPr>
      <t>(účet 2310800)</t>
    </r>
  </si>
  <si>
    <r>
      <t xml:space="preserve">Sběr a svoz komunálních odpadů </t>
    </r>
    <r>
      <rPr>
        <sz val="9"/>
        <rFont val="Arial CE"/>
      </rPr>
      <t>(účet 2310800)</t>
    </r>
  </si>
  <si>
    <t>Sportovní zařízení ve vlastnictví obce (účet 2310800)</t>
  </si>
  <si>
    <r>
      <t xml:space="preserve">Lokální zásobování teplem </t>
    </r>
    <r>
      <rPr>
        <sz val="10"/>
        <rFont val="Arial CE"/>
        <charset val="238"/>
      </rPr>
      <t xml:space="preserve">(tepelné hospodářství) </t>
    </r>
    <r>
      <rPr>
        <sz val="9"/>
        <rFont val="Arial CE"/>
      </rPr>
      <t>(účet 2310800)</t>
    </r>
  </si>
  <si>
    <r>
      <t xml:space="preserve">Sportovní zařízení ve vlastnictví obce </t>
    </r>
    <r>
      <rPr>
        <sz val="9"/>
        <rFont val="Arial CE"/>
      </rPr>
      <t>(účet 2310800)</t>
    </r>
  </si>
  <si>
    <r>
      <t xml:space="preserve">Veřejné osvětlení </t>
    </r>
    <r>
      <rPr>
        <sz val="10"/>
        <rFont val="Arial CE"/>
        <charset val="238"/>
      </rPr>
      <t>(VO)</t>
    </r>
    <r>
      <rPr>
        <b/>
        <sz val="10"/>
        <rFont val="Arial CE"/>
      </rPr>
      <t xml:space="preserve"> </t>
    </r>
    <r>
      <rPr>
        <sz val="9"/>
        <rFont val="Arial CE"/>
      </rPr>
      <t>(účet 2310800)</t>
    </r>
  </si>
  <si>
    <r>
      <t xml:space="preserve">Výstavba a údržba místních inženýrských sítí </t>
    </r>
    <r>
      <rPr>
        <sz val="10"/>
        <rFont val="Arial CE"/>
        <charset val="238"/>
      </rPr>
      <t>(IS)</t>
    </r>
    <r>
      <rPr>
        <sz val="9"/>
        <rFont val="Arial CE"/>
        <charset val="238"/>
      </rPr>
      <t xml:space="preserve"> </t>
    </r>
    <r>
      <rPr>
        <sz val="9"/>
        <rFont val="Arial CE"/>
      </rPr>
      <t>(účet 2310800)</t>
    </r>
  </si>
  <si>
    <r>
      <t>Dopravní obslužnost</t>
    </r>
    <r>
      <rPr>
        <b/>
        <sz val="10"/>
        <rFont val="Arial CE"/>
        <charset val="238"/>
      </rPr>
      <t xml:space="preserve"> veřejnými službami </t>
    </r>
    <r>
      <rPr>
        <sz val="10"/>
        <rFont val="Arial CE"/>
        <charset val="238"/>
      </rPr>
      <t>- veřejná doprava</t>
    </r>
  </si>
  <si>
    <t>Mateřské školy</t>
  </si>
  <si>
    <r>
      <t>Ostatní sportovní činnost</t>
    </r>
    <r>
      <rPr>
        <sz val="11"/>
        <rFont val="Calibri"/>
        <family val="2"/>
        <charset val="238"/>
        <scheme val="minor"/>
      </rPr>
      <t xml:space="preserve"> </t>
    </r>
  </si>
  <si>
    <t>Pořízení, zachování a obnova hodnot místního kulturního, národního a historického povědomí</t>
  </si>
  <si>
    <r>
      <t xml:space="preserve">Krizová opatření </t>
    </r>
    <r>
      <rPr>
        <sz val="9"/>
        <rFont val="Arial CE"/>
        <family val="2"/>
        <charset val="238"/>
      </rPr>
      <t>(čerpá se jen při živelních pohromách: přikrývky, písek+pytle, respirátory, dezinfekce, zabezpečení chodu evak.středisek, teplo, elektrická energie, PHM, služby: ubytovací,stravovací,dopravní)</t>
    </r>
  </si>
  <si>
    <r>
      <t xml:space="preserve">Využívání a zneškodňování komunálních odpadů </t>
    </r>
    <r>
      <rPr>
        <sz val="10"/>
        <rFont val="Arial CE"/>
        <charset val="238"/>
      </rPr>
      <t>(pořízení 300 ks kompostérů z dotace)</t>
    </r>
  </si>
  <si>
    <r>
      <t>Střední odborné školy (EDUCA) -</t>
    </r>
    <r>
      <rPr>
        <sz val="10"/>
        <rFont val="Arial CE"/>
        <charset val="238"/>
      </rPr>
      <t xml:space="preserve"> běžné opravy 100, zápočet investic a nájmu 303</t>
    </r>
  </si>
  <si>
    <r>
      <t xml:space="preserve">Lokální zásobování teplem </t>
    </r>
    <r>
      <rPr>
        <sz val="10"/>
        <rFont val="Arial CE"/>
        <charset val="238"/>
      </rPr>
      <t>(tepelné hospodářství)</t>
    </r>
  </si>
  <si>
    <r>
      <t xml:space="preserve">Osobní asistence, pečovatelská služba a podpora samostatného bydlení </t>
    </r>
    <r>
      <rPr>
        <sz val="10"/>
        <rFont val="Arial CE"/>
        <charset val="238"/>
      </rPr>
      <t>(DPS-telefony, AÚ 0800)</t>
    </r>
  </si>
  <si>
    <r>
      <t xml:space="preserve">Bezpečnost silničního provozu - </t>
    </r>
    <r>
      <rPr>
        <sz val="10"/>
        <rFont val="Arial CE"/>
        <charset val="238"/>
      </rPr>
      <t>převod příjmů z min.roku na příjmový účet-kód 146 NŘ přestupky dopravní</t>
    </r>
  </si>
  <si>
    <r>
      <t>Základní školy</t>
    </r>
    <r>
      <rPr>
        <sz val="10"/>
        <rFont val="Arial CE"/>
        <charset val="238"/>
      </rPr>
      <t xml:space="preserve"> - finanční vypořádání</t>
    </r>
  </si>
  <si>
    <r>
      <t>Obecné příjmy a výdaje z finančních operací</t>
    </r>
    <r>
      <rPr>
        <b/>
        <sz val="9"/>
        <rFont val="Arial CE"/>
        <charset val="238"/>
      </rPr>
      <t xml:space="preserve"> </t>
    </r>
    <r>
      <rPr>
        <sz val="10"/>
        <rFont val="Arial CE"/>
        <charset val="238"/>
      </rPr>
      <t>(bankovní poplatky za vedení účtů a položky)</t>
    </r>
  </si>
  <si>
    <t>Finanční vypořádání</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</si>
</sst>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K_č_-;\-* #,##0.00\ _K_č_-;_-* &quot;-&quot;??\ _K_č_-;_-@_-"/>
    <numFmt numFmtId="164" formatCode="#,##0.000"/>
    <numFmt numFmtId="165" formatCode="_-* #,##0.00\ _K_č_-;\-* #,##0.00\ _K_č_-;_-* \-??\ _K_č_-;_-@_-"/>
    <numFmt numFmtId="166" formatCode="0.0"/>
    <numFmt numFmtId="167" formatCode="d/m/yyyy;@"/>
  </numFmts>
  <fonts count="110" x14ac:knownFonts="1">
    <font>
      <sz val="10"/>
      <name val="Arial CE"/>
      <charset val="238"/>
    </font>
    <font>
      <sz val="11"/>
      <color theme="1"/>
      <name val="Calibri"/>
      <family val="2"/>
      <charset val="238"/>
      <scheme val="minor"/>
    </font>
    <font>
      <sz val="11"/>
      <color indexed="8"/>
      <name val="Calibri"/>
      <family val="2"/>
      <charset val="238"/>
    </font>
    <font>
      <sz val="10"/>
      <name val="Arial CE"/>
      <family val="2"/>
      <charset val="238"/>
    </font>
    <font>
      <b/>
      <sz val="10"/>
      <name val="Arial CE"/>
      <charset val="238"/>
    </font>
    <font>
      <b/>
      <sz val="12"/>
      <name val="Arial CE"/>
      <family val="2"/>
      <charset val="238"/>
    </font>
    <font>
      <b/>
      <sz val="14"/>
      <name val="Arial CE"/>
      <family val="2"/>
      <charset val="238"/>
    </font>
    <font>
      <b/>
      <sz val="9"/>
      <name val="Arial CE"/>
      <charset val="238"/>
    </font>
    <font>
      <sz val="8"/>
      <name val="Arial CE"/>
      <charset val="238"/>
    </font>
    <font>
      <sz val="11"/>
      <name val="Arial CE"/>
      <charset val="238"/>
    </font>
    <font>
      <b/>
      <sz val="11"/>
      <name val="Arial CE"/>
      <charset val="238"/>
    </font>
    <font>
      <sz val="9"/>
      <name val="Arial CE"/>
      <charset val="238"/>
    </font>
    <font>
      <sz val="14"/>
      <name val="Arial CE"/>
      <family val="2"/>
      <charset val="238"/>
    </font>
    <font>
      <sz val="12"/>
      <name val="Arial CE"/>
      <family val="2"/>
      <charset val="238"/>
    </font>
    <font>
      <b/>
      <i/>
      <sz val="12"/>
      <name val="Arial CE"/>
      <family val="2"/>
      <charset val="238"/>
    </font>
    <font>
      <b/>
      <i/>
      <sz val="12"/>
      <name val="Arial CE"/>
      <charset val="238"/>
    </font>
    <font>
      <sz val="12"/>
      <name val="Arial CE"/>
      <charset val="238"/>
    </font>
    <font>
      <i/>
      <sz val="12"/>
      <name val="Arial CE"/>
      <family val="2"/>
      <charset val="238"/>
    </font>
    <font>
      <b/>
      <sz val="14"/>
      <name val="Arial CE"/>
      <charset val="238"/>
    </font>
    <font>
      <sz val="18"/>
      <name val="Arial CE"/>
      <family val="2"/>
      <charset val="238"/>
    </font>
    <font>
      <b/>
      <sz val="18"/>
      <name val="Arial CE"/>
      <family val="2"/>
      <charset val="238"/>
    </font>
    <font>
      <b/>
      <sz val="16"/>
      <name val="Arial CE"/>
      <family val="2"/>
      <charset val="238"/>
    </font>
    <font>
      <sz val="14"/>
      <name val="Arial CE"/>
      <charset val="238"/>
    </font>
    <font>
      <i/>
      <sz val="12"/>
      <name val="Arial CE"/>
      <charset val="238"/>
    </font>
    <font>
      <b/>
      <sz val="12"/>
      <name val="Arial CE"/>
      <charset val="238"/>
    </font>
    <font>
      <b/>
      <i/>
      <sz val="14"/>
      <name val="Arial CE"/>
      <charset val="238"/>
    </font>
    <font>
      <b/>
      <i/>
      <sz val="14"/>
      <name val="Arial CE"/>
      <family val="2"/>
      <charset val="238"/>
    </font>
    <font>
      <b/>
      <i/>
      <sz val="13"/>
      <name val="Arial CE"/>
      <charset val="238"/>
    </font>
    <font>
      <sz val="16"/>
      <name val="Arial CE"/>
      <family val="2"/>
      <charset val="238"/>
    </font>
    <font>
      <b/>
      <sz val="16"/>
      <name val="Arial CE"/>
      <charset val="238"/>
    </font>
    <font>
      <b/>
      <sz val="10"/>
      <name val="Arial CE"/>
      <family val="2"/>
      <charset val="238"/>
    </font>
    <font>
      <i/>
      <sz val="9"/>
      <name val="Arial CE"/>
      <charset val="238"/>
    </font>
    <font>
      <sz val="9"/>
      <name val="Arial CE"/>
      <family val="2"/>
      <charset val="238"/>
    </font>
    <font>
      <b/>
      <sz val="9"/>
      <name val="Arial CE"/>
      <family val="2"/>
      <charset val="238"/>
    </font>
    <font>
      <sz val="10"/>
      <color indexed="8"/>
      <name val="Arial"/>
      <family val="2"/>
      <charset val="238"/>
    </font>
    <font>
      <b/>
      <i/>
      <sz val="9"/>
      <name val="Arial CE"/>
      <family val="2"/>
      <charset val="238"/>
    </font>
    <font>
      <b/>
      <sz val="20"/>
      <name val="Arial CE"/>
      <family val="2"/>
      <charset val="238"/>
    </font>
    <font>
      <sz val="20"/>
      <name val="Arial CE"/>
      <charset val="238"/>
    </font>
    <font>
      <sz val="8"/>
      <name val="Arial CE"/>
      <family val="2"/>
      <charset val="238"/>
    </font>
    <font>
      <sz val="10"/>
      <color indexed="8"/>
      <name val="Arial CE"/>
      <charset val="238"/>
    </font>
    <font>
      <b/>
      <sz val="12"/>
      <color indexed="8"/>
      <name val="Arial CE"/>
      <charset val="238"/>
    </font>
    <font>
      <sz val="8"/>
      <name val="Arial CE"/>
    </font>
    <font>
      <b/>
      <sz val="16"/>
      <name val="Arial CE"/>
    </font>
    <font>
      <b/>
      <sz val="15"/>
      <name val="Arial CE"/>
    </font>
    <font>
      <b/>
      <sz val="10"/>
      <name val="Arial CE"/>
    </font>
    <font>
      <b/>
      <sz val="12"/>
      <name val="Arial CE"/>
    </font>
    <font>
      <sz val="9"/>
      <name val="Arial CE"/>
    </font>
    <font>
      <sz val="10"/>
      <name val="Arial CE"/>
    </font>
    <font>
      <sz val="9"/>
      <name val="Arial"/>
      <family val="2"/>
      <charset val="238"/>
    </font>
    <font>
      <b/>
      <i/>
      <sz val="10"/>
      <name val="Arial CE"/>
      <charset val="238"/>
    </font>
    <font>
      <sz val="11"/>
      <name val="Calibri"/>
      <family val="2"/>
      <charset val="238"/>
    </font>
    <font>
      <sz val="10"/>
      <color indexed="40"/>
      <name val="Arial CE"/>
      <family val="2"/>
      <charset val="238"/>
    </font>
    <font>
      <sz val="10"/>
      <color indexed="30"/>
      <name val="Arial CE"/>
      <family val="2"/>
      <charset val="238"/>
    </font>
    <font>
      <b/>
      <i/>
      <sz val="10"/>
      <name val="Arial CE"/>
      <family val="2"/>
      <charset val="238"/>
    </font>
    <font>
      <u/>
      <sz val="9"/>
      <name val="Arial CE"/>
      <charset val="238"/>
    </font>
    <font>
      <b/>
      <sz val="10"/>
      <name val="Arial"/>
      <family val="2"/>
      <charset val="238"/>
    </font>
    <font>
      <sz val="10"/>
      <name val="Arial"/>
      <family val="2"/>
      <charset val="238"/>
    </font>
    <font>
      <b/>
      <i/>
      <sz val="10"/>
      <name val="Arial"/>
      <family val="2"/>
      <charset val="238"/>
    </font>
    <font>
      <b/>
      <i/>
      <u/>
      <sz val="10"/>
      <name val="Arial"/>
      <family val="2"/>
      <charset val="238"/>
    </font>
    <font>
      <i/>
      <sz val="10"/>
      <name val="Arial"/>
      <family val="2"/>
      <charset val="238"/>
    </font>
    <font>
      <sz val="8"/>
      <name val="Arial"/>
      <family val="2"/>
      <charset val="238"/>
    </font>
    <font>
      <sz val="10"/>
      <color indexed="10"/>
      <name val="Arial"/>
      <family val="2"/>
      <charset val="238"/>
    </font>
    <font>
      <b/>
      <sz val="10"/>
      <color indexed="10"/>
      <name val="Arial"/>
      <family val="2"/>
      <charset val="238"/>
    </font>
    <font>
      <i/>
      <sz val="11"/>
      <name val="Calibri"/>
      <family val="2"/>
      <charset val="238"/>
    </font>
    <font>
      <i/>
      <sz val="10"/>
      <name val="Arial CE"/>
      <charset val="238"/>
    </font>
    <font>
      <b/>
      <sz val="15"/>
      <name val="Arial CE"/>
      <charset val="238"/>
    </font>
    <font>
      <b/>
      <sz val="9"/>
      <color indexed="8"/>
      <name val="Tahoma"/>
      <family val="2"/>
      <charset val="238"/>
    </font>
    <font>
      <sz val="9"/>
      <color indexed="8"/>
      <name val="Tahoma"/>
      <family val="2"/>
      <charset val="238"/>
    </font>
    <font>
      <b/>
      <sz val="10"/>
      <color indexed="8"/>
      <name val="Arial CE"/>
      <charset val="238"/>
    </font>
    <font>
      <b/>
      <sz val="12"/>
      <name val="Arial"/>
      <family val="2"/>
      <charset val="238"/>
    </font>
    <font>
      <b/>
      <sz val="10"/>
      <color indexed="8"/>
      <name val="Arial CE"/>
      <family val="2"/>
      <charset val="238"/>
    </font>
    <font>
      <i/>
      <sz val="10"/>
      <name val="Arial CE"/>
      <family val="2"/>
      <charset val="238"/>
    </font>
    <font>
      <sz val="10"/>
      <name val="Arial CE"/>
      <charset val="238"/>
    </font>
    <font>
      <sz val="10"/>
      <color rgb="FFFF0000"/>
      <name val="Arial CE"/>
      <charset val="238"/>
    </font>
    <font>
      <sz val="14"/>
      <name val="Arial"/>
      <family val="2"/>
      <charset val="238"/>
    </font>
    <font>
      <b/>
      <sz val="20"/>
      <name val="Arial CE"/>
      <charset val="238"/>
    </font>
    <font>
      <sz val="9"/>
      <color theme="1"/>
      <name val="Arial CE"/>
      <charset val="238"/>
    </font>
    <font>
      <sz val="10"/>
      <color theme="1"/>
      <name val="Arial CE"/>
      <charset val="238"/>
    </font>
    <font>
      <sz val="10"/>
      <color theme="1"/>
      <name val="Arial CE"/>
      <family val="2"/>
      <charset val="238"/>
    </font>
    <font>
      <sz val="8"/>
      <color theme="1"/>
      <name val="Arial CE"/>
      <family val="2"/>
      <charset val="238"/>
    </font>
    <font>
      <sz val="8"/>
      <color theme="1"/>
      <name val="Arial CE"/>
      <charset val="238"/>
    </font>
    <font>
      <sz val="10"/>
      <color rgb="FF0070C0"/>
      <name val="Arial CE"/>
      <charset val="238"/>
    </font>
    <font>
      <sz val="10"/>
      <color theme="9"/>
      <name val="Arial CE"/>
      <charset val="238"/>
    </font>
    <font>
      <sz val="11"/>
      <name val="Calibri"/>
      <family val="2"/>
      <charset val="238"/>
      <scheme val="minor"/>
    </font>
    <font>
      <sz val="10"/>
      <color rgb="FF0000FF"/>
      <name val="Arial CE"/>
      <charset val="238"/>
    </font>
    <font>
      <b/>
      <sz val="14"/>
      <name val="Arial"/>
      <family val="2"/>
      <charset val="238"/>
    </font>
    <font>
      <b/>
      <i/>
      <sz val="9"/>
      <color rgb="FFFF0000"/>
      <name val="Arial CE"/>
      <charset val="238"/>
    </font>
    <font>
      <b/>
      <i/>
      <sz val="9"/>
      <name val="Arial CE"/>
      <charset val="238"/>
    </font>
    <font>
      <sz val="10"/>
      <color rgb="FF000000"/>
      <name val="Arial CE"/>
      <charset val="238"/>
    </font>
    <font>
      <b/>
      <sz val="14"/>
      <color theme="1"/>
      <name val="Arial CE"/>
      <charset val="238"/>
    </font>
    <font>
      <sz val="10"/>
      <name val="Arial"/>
      <family val="2"/>
      <charset val="238"/>
    </font>
    <font>
      <sz val="9"/>
      <name val="Tahoma"/>
      <family val="2"/>
      <charset val="238"/>
    </font>
    <font>
      <sz val="9"/>
      <color theme="4" tint="-0.249977111117893"/>
      <name val="Tahoma"/>
      <family val="2"/>
      <charset val="238"/>
    </font>
    <font>
      <b/>
      <sz val="12"/>
      <name val="Tahoma"/>
      <family val="2"/>
      <charset val="238"/>
    </font>
    <font>
      <sz val="9"/>
      <color indexed="2"/>
      <name val="Tahoma"/>
      <family val="2"/>
      <charset val="238"/>
    </font>
    <font>
      <b/>
      <sz val="8"/>
      <name val="Tahoma"/>
      <family val="2"/>
      <charset val="238"/>
    </font>
    <font>
      <b/>
      <sz val="8"/>
      <color indexed="2"/>
      <name val="Tahoma"/>
      <family val="2"/>
      <charset val="238"/>
    </font>
    <font>
      <sz val="8"/>
      <color indexed="2"/>
      <name val="Tahoma"/>
      <family val="2"/>
      <charset val="238"/>
    </font>
    <font>
      <sz val="8"/>
      <name val="Tahoma"/>
      <family val="2"/>
      <charset val="238"/>
    </font>
    <font>
      <b/>
      <sz val="9"/>
      <color theme="4" tint="-0.249977111117893"/>
      <name val="Tahoma"/>
      <family val="2"/>
      <charset val="238"/>
    </font>
    <font>
      <i/>
      <sz val="12"/>
      <name val="Arial"/>
      <family val="2"/>
      <charset val="238"/>
    </font>
    <font>
      <sz val="12"/>
      <name val="Arial CE"/>
    </font>
    <font>
      <sz val="16"/>
      <name val="Arial CE"/>
      <charset val="238"/>
    </font>
    <font>
      <b/>
      <sz val="14"/>
      <color indexed="8"/>
      <name val="Arial CE"/>
      <charset val="238"/>
    </font>
    <font>
      <sz val="10"/>
      <color indexed="10"/>
      <name val="Arial CE"/>
      <family val="2"/>
      <charset val="238"/>
    </font>
    <font>
      <sz val="9"/>
      <color indexed="81"/>
      <name val="Tahoma"/>
      <family val="2"/>
      <charset val="238"/>
    </font>
    <font>
      <b/>
      <sz val="9"/>
      <color indexed="81"/>
      <name val="Tahoma"/>
      <family val="2"/>
      <charset val="238"/>
    </font>
    <font>
      <sz val="9"/>
      <color indexed="81"/>
      <name val="Tahoma"/>
      <charset val="1"/>
    </font>
    <font>
      <b/>
      <sz val="9"/>
      <color indexed="81"/>
      <name val="Tahoma"/>
      <charset val="1"/>
    </font>
    <font>
      <sz val="14"/>
      <color indexed="8"/>
      <name val="Arial CE"/>
      <charset val="238"/>
    </font>
  </fonts>
  <fills count="9">
    <fill>
      <patternFill patternType="none"/>
    </fill>
    <fill>
      <patternFill patternType="gray125"/>
    </fill>
    <fill>
      <patternFill patternType="solid">
        <fgColor indexed="26"/>
        <bgColor indexed="9"/>
      </patternFill>
    </fill>
    <fill>
      <patternFill patternType="solid">
        <fgColor indexed="9"/>
        <bgColor indexed="26"/>
      </patternFill>
    </fill>
    <fill>
      <patternFill patternType="solid">
        <fgColor indexed="42"/>
        <bgColor indexed="41"/>
      </patternFill>
    </fill>
    <fill>
      <patternFill patternType="solid">
        <fgColor indexed="47"/>
        <bgColor indexed="22"/>
      </patternFill>
    </fill>
    <fill>
      <patternFill patternType="solid">
        <fgColor theme="0"/>
        <bgColor indexed="64"/>
      </patternFill>
    </fill>
    <fill>
      <patternFill patternType="solid">
        <fgColor theme="7" tint="0.59999389629810485"/>
        <bgColor indexed="64"/>
      </patternFill>
    </fill>
    <fill>
      <patternFill patternType="solid">
        <fgColor indexed="47"/>
        <bgColor indexed="47"/>
      </patternFill>
    </fill>
  </fills>
  <borders count="241">
    <border>
      <left/>
      <right/>
      <top/>
      <bottom/>
      <diagonal/>
    </border>
    <border>
      <left style="thin">
        <color indexed="22"/>
      </left>
      <right style="thin">
        <color indexed="22"/>
      </right>
      <top style="thin">
        <color indexed="22"/>
      </top>
      <bottom style="thin">
        <color indexed="22"/>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bottom style="hair">
        <color indexed="8"/>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diagonal/>
    </border>
    <border>
      <left style="medium">
        <color indexed="8"/>
      </left>
      <right style="medium">
        <color indexed="8"/>
      </right>
      <top style="hair">
        <color indexed="8"/>
      </top>
      <bottom style="medium">
        <color indexed="8"/>
      </bottom>
      <diagonal/>
    </border>
    <border>
      <left style="medium">
        <color indexed="8"/>
      </left>
      <right style="medium">
        <color indexed="8"/>
      </right>
      <top/>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style="medium">
        <color indexed="8"/>
      </top>
      <bottom style="hair">
        <color indexed="8"/>
      </bottom>
      <diagonal/>
    </border>
    <border>
      <left style="medium">
        <color indexed="8"/>
      </left>
      <right/>
      <top style="hair">
        <color indexed="8"/>
      </top>
      <bottom style="hair">
        <color indexed="8"/>
      </bottom>
      <diagonal/>
    </border>
    <border>
      <left style="medium">
        <color indexed="8"/>
      </left>
      <right/>
      <top/>
      <bottom style="hair">
        <color indexed="8"/>
      </bottom>
      <diagonal/>
    </border>
    <border>
      <left style="medium">
        <color indexed="8"/>
      </left>
      <right/>
      <top/>
      <bottom style="medium">
        <color indexed="8"/>
      </bottom>
      <diagonal/>
    </border>
    <border>
      <left style="medium">
        <color indexed="8"/>
      </left>
      <right/>
      <top style="hair">
        <color indexed="8"/>
      </top>
      <bottom style="medium">
        <color indexed="8"/>
      </bottom>
      <diagonal/>
    </border>
    <border>
      <left style="medium">
        <color indexed="8"/>
      </left>
      <right/>
      <top style="medium">
        <color indexed="8"/>
      </top>
      <bottom style="medium">
        <color indexed="8"/>
      </bottom>
      <diagonal/>
    </border>
    <border>
      <left/>
      <right style="medium">
        <color indexed="8"/>
      </right>
      <top/>
      <bottom style="hair">
        <color indexed="8"/>
      </bottom>
      <diagonal/>
    </border>
    <border>
      <left/>
      <right/>
      <top style="hair">
        <color indexed="8"/>
      </top>
      <bottom style="hair">
        <color indexed="8"/>
      </bottom>
      <diagonal/>
    </border>
    <border>
      <left style="medium">
        <color indexed="8"/>
      </left>
      <right/>
      <top style="hair">
        <color indexed="8"/>
      </top>
      <bottom/>
      <diagonal/>
    </border>
    <border>
      <left/>
      <right style="medium">
        <color indexed="8"/>
      </right>
      <top style="hair">
        <color indexed="8"/>
      </top>
      <bottom style="hair">
        <color indexed="8"/>
      </bottom>
      <diagonal/>
    </border>
    <border>
      <left/>
      <right style="medium">
        <color indexed="8"/>
      </right>
      <top style="hair">
        <color indexed="8"/>
      </top>
      <bottom/>
      <diagonal/>
    </border>
    <border>
      <left style="medium">
        <color indexed="8"/>
      </left>
      <right/>
      <top/>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hair">
        <color indexed="8"/>
      </bottom>
      <diagonal/>
    </border>
    <border>
      <left style="thin">
        <color indexed="8"/>
      </left>
      <right/>
      <top style="medium">
        <color indexed="8"/>
      </top>
      <bottom style="hair">
        <color indexed="8"/>
      </bottom>
      <diagonal/>
    </border>
    <border>
      <left/>
      <right/>
      <top style="medium">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bottom style="hair">
        <color indexed="8"/>
      </bottom>
      <diagonal/>
    </border>
    <border>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top style="hair">
        <color indexed="8"/>
      </top>
      <bottom style="medium">
        <color indexed="8"/>
      </bottom>
      <diagonal/>
    </border>
    <border>
      <left/>
      <right style="thin">
        <color indexed="8"/>
      </right>
      <top style="hair">
        <color indexed="8"/>
      </top>
      <bottom/>
      <diagonal/>
    </border>
    <border>
      <left style="thin">
        <color indexed="8"/>
      </left>
      <right/>
      <top style="hair">
        <color indexed="8"/>
      </top>
      <bottom/>
      <diagonal/>
    </border>
    <border>
      <left/>
      <right/>
      <top style="hair">
        <color indexed="8"/>
      </top>
      <bottom/>
      <diagonal/>
    </border>
    <border>
      <left style="thin">
        <color indexed="8"/>
      </left>
      <right/>
      <top/>
      <bottom style="hair">
        <color indexed="8"/>
      </bottom>
      <diagonal/>
    </border>
    <border>
      <left/>
      <right/>
      <top/>
      <bottom style="hair">
        <color indexed="8"/>
      </bottom>
      <diagonal/>
    </border>
    <border>
      <left/>
      <right style="medium">
        <color indexed="8"/>
      </right>
      <top/>
      <bottom/>
      <diagonal/>
    </border>
    <border>
      <left/>
      <right style="thin">
        <color indexed="8"/>
      </right>
      <top/>
      <bottom style="thin">
        <color indexed="8"/>
      </bottom>
      <diagonal/>
    </border>
    <border>
      <left style="thin">
        <color indexed="8"/>
      </left>
      <right style="thin">
        <color indexed="8"/>
      </right>
      <top style="medium">
        <color indexed="8"/>
      </top>
      <bottom style="hair">
        <color indexed="8"/>
      </bottom>
      <diagonal/>
    </border>
    <border>
      <left/>
      <right style="thin">
        <color indexed="8"/>
      </right>
      <top style="thin">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hair">
        <color indexed="8"/>
      </right>
      <top style="hair">
        <color indexed="8"/>
      </top>
      <bottom/>
      <diagonal/>
    </border>
    <border>
      <left style="medium">
        <color indexed="8"/>
      </left>
      <right style="medium">
        <color indexed="8"/>
      </right>
      <top/>
      <bottom style="thin">
        <color indexed="8"/>
      </bottom>
      <diagonal/>
    </border>
    <border>
      <left style="hair">
        <color indexed="8"/>
      </left>
      <right style="thin">
        <color indexed="8"/>
      </right>
      <top style="hair">
        <color indexed="8"/>
      </top>
      <bottom style="hair">
        <color indexed="8"/>
      </bottom>
      <diagonal/>
    </border>
    <border>
      <left style="medium">
        <color indexed="8"/>
      </left>
      <right style="medium">
        <color indexed="8"/>
      </right>
      <top style="thin">
        <color indexed="8"/>
      </top>
      <bottom style="hair">
        <color indexed="8"/>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hair">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diagonal/>
    </border>
    <border>
      <left/>
      <right style="medium">
        <color indexed="8"/>
      </right>
      <top style="medium">
        <color indexed="8"/>
      </top>
      <bottom style="medium">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hair">
        <color indexed="8"/>
      </top>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thin">
        <color indexed="8"/>
      </top>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right style="medium">
        <color indexed="64"/>
      </right>
      <top style="hair">
        <color indexed="8"/>
      </top>
      <bottom style="hair">
        <color indexed="8"/>
      </bottom>
      <diagonal/>
    </border>
    <border>
      <left style="medium">
        <color indexed="64"/>
      </left>
      <right style="medium">
        <color indexed="64"/>
      </right>
      <top style="hair">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8"/>
      </left>
      <right style="medium">
        <color indexed="64"/>
      </right>
      <top/>
      <bottom/>
      <diagonal/>
    </border>
    <border>
      <left style="medium">
        <color indexed="8"/>
      </left>
      <right style="medium">
        <color indexed="64"/>
      </right>
      <top/>
      <bottom style="medium">
        <color indexed="8"/>
      </bottom>
      <diagonal/>
    </border>
    <border>
      <left style="medium">
        <color indexed="8"/>
      </left>
      <right style="medium">
        <color indexed="64"/>
      </right>
      <top style="medium">
        <color indexed="8"/>
      </top>
      <bottom style="medium">
        <color indexed="64"/>
      </bottom>
      <diagonal/>
    </border>
    <border>
      <left style="medium">
        <color indexed="64"/>
      </left>
      <right style="medium">
        <color indexed="64"/>
      </right>
      <top/>
      <bottom style="medium">
        <color indexed="8"/>
      </bottom>
      <diagonal/>
    </border>
    <border>
      <left/>
      <right style="medium">
        <color indexed="64"/>
      </right>
      <top/>
      <bottom style="hair">
        <color indexed="8"/>
      </bottom>
      <diagonal/>
    </border>
    <border>
      <left style="medium">
        <color indexed="64"/>
      </left>
      <right style="medium">
        <color indexed="64"/>
      </right>
      <top style="hair">
        <color indexed="8"/>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8"/>
      </top>
      <bottom style="hair">
        <color indexed="8"/>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8"/>
      </left>
      <right style="medium">
        <color indexed="8"/>
      </right>
      <top style="medium">
        <color indexed="8"/>
      </top>
      <bottom/>
      <diagonal/>
    </border>
    <border>
      <left/>
      <right style="medium">
        <color indexed="64"/>
      </right>
      <top/>
      <bottom/>
      <diagonal/>
    </border>
    <border>
      <left/>
      <right style="medium">
        <color indexed="64"/>
      </right>
      <top style="medium">
        <color indexed="64"/>
      </top>
      <bottom style="hair">
        <color indexed="8"/>
      </bottom>
      <diagonal/>
    </border>
    <border>
      <left/>
      <right style="medium">
        <color indexed="64"/>
      </right>
      <top style="hair">
        <color indexed="8"/>
      </top>
      <bottom/>
      <diagonal/>
    </border>
    <border>
      <left/>
      <right style="medium">
        <color indexed="64"/>
      </right>
      <top style="hair">
        <color indexed="8"/>
      </top>
      <bottom style="hair">
        <color indexed="64"/>
      </bottom>
      <diagonal/>
    </border>
    <border>
      <left style="medium">
        <color indexed="64"/>
      </left>
      <right style="medium">
        <color indexed="64"/>
      </right>
      <top/>
      <bottom style="hair">
        <color indexed="8"/>
      </bottom>
      <diagonal/>
    </border>
    <border>
      <left style="medium">
        <color indexed="64"/>
      </left>
      <right style="medium">
        <color indexed="64"/>
      </right>
      <top/>
      <bottom style="hair">
        <color indexed="64"/>
      </bottom>
      <diagonal/>
    </border>
    <border>
      <left style="medium">
        <color indexed="64"/>
      </left>
      <right style="medium">
        <color indexed="64"/>
      </right>
      <top/>
      <bottom style="thin">
        <color indexed="8"/>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8"/>
      </top>
      <bottom/>
      <diagonal/>
    </border>
    <border>
      <left style="medium">
        <color indexed="64"/>
      </left>
      <right style="medium">
        <color indexed="64"/>
      </right>
      <top style="medium">
        <color indexed="64"/>
      </top>
      <bottom style="medium">
        <color indexed="8"/>
      </bottom>
      <diagonal/>
    </border>
    <border>
      <left/>
      <right style="medium">
        <color indexed="64"/>
      </right>
      <top style="medium">
        <color indexed="8"/>
      </top>
      <bottom style="hair">
        <color indexed="8"/>
      </bottom>
      <diagonal/>
    </border>
    <border>
      <left style="medium">
        <color indexed="64"/>
      </left>
      <right style="medium">
        <color indexed="64"/>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64"/>
      </left>
      <right/>
      <top style="medium">
        <color indexed="64"/>
      </top>
      <bottom style="hair">
        <color indexed="8"/>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8"/>
      </bottom>
      <diagonal/>
    </border>
    <border>
      <left/>
      <right style="medium">
        <color indexed="64"/>
      </right>
      <top style="hair">
        <color indexed="8"/>
      </top>
      <bottom style="medium">
        <color indexed="64"/>
      </bottom>
      <diagonal/>
    </border>
    <border>
      <left/>
      <right style="medium">
        <color auto="1"/>
      </right>
      <top style="medium">
        <color auto="1"/>
      </top>
      <bottom style="medium">
        <color auto="1"/>
      </bottom>
      <diagonal/>
    </border>
    <border>
      <left/>
      <right style="medium">
        <color indexed="64"/>
      </right>
      <top style="hair">
        <color indexed="8"/>
      </top>
      <bottom style="medium">
        <color indexed="8"/>
      </bottom>
      <diagonal/>
    </border>
    <border>
      <left/>
      <right style="medium">
        <color indexed="64"/>
      </right>
      <top/>
      <bottom style="medium">
        <color indexed="8"/>
      </bottom>
      <diagonal/>
    </border>
    <border>
      <left/>
      <right style="medium">
        <color indexed="64"/>
      </right>
      <top style="hair">
        <color indexed="64"/>
      </top>
      <bottom style="medium">
        <color indexed="64"/>
      </bottom>
      <diagonal/>
    </border>
    <border>
      <left/>
      <right style="medium">
        <color indexed="64"/>
      </right>
      <top style="medium">
        <color indexed="8"/>
      </top>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style="medium">
        <color auto="1"/>
      </top>
      <bottom style="medium">
        <color auto="1"/>
      </bottom>
      <diagonal/>
    </border>
    <border>
      <left style="medium">
        <color indexed="64"/>
      </left>
      <right/>
      <top style="hair">
        <color indexed="8"/>
      </top>
      <bottom style="hair">
        <color indexed="64"/>
      </bottom>
      <diagonal/>
    </border>
    <border>
      <left style="medium">
        <color indexed="8"/>
      </left>
      <right/>
      <top style="medium">
        <color indexed="8"/>
      </top>
      <bottom style="medium">
        <color indexed="8"/>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8"/>
      </bottom>
      <diagonal/>
    </border>
    <border>
      <left style="medium">
        <color indexed="64"/>
      </left>
      <right style="medium">
        <color indexed="8"/>
      </right>
      <top style="hair">
        <color indexed="64"/>
      </top>
      <bottom style="medium">
        <color indexed="8"/>
      </bottom>
      <diagonal/>
    </border>
    <border>
      <left style="medium">
        <color indexed="64"/>
      </left>
      <right style="medium">
        <color indexed="8"/>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hair">
        <color indexed="8"/>
      </bottom>
      <diagonal/>
    </border>
    <border>
      <left style="medium">
        <color indexed="64"/>
      </left>
      <right style="medium">
        <color indexed="64"/>
      </right>
      <top/>
      <bottom style="hair">
        <color indexed="8"/>
      </bottom>
      <diagonal/>
    </border>
    <border>
      <left style="medium">
        <color indexed="64"/>
      </left>
      <right style="medium">
        <color indexed="64"/>
      </right>
      <top style="hair">
        <color indexed="8"/>
      </top>
      <bottom style="medium">
        <color indexed="64"/>
      </bottom>
      <diagonal/>
    </border>
    <border>
      <left/>
      <right style="medium">
        <color indexed="64"/>
      </right>
      <top/>
      <bottom style="hair">
        <color indexed="8"/>
      </bottom>
      <diagonal/>
    </border>
    <border>
      <left/>
      <right style="medium">
        <color indexed="64"/>
      </right>
      <top style="hair">
        <color indexed="64"/>
      </top>
      <bottom style="hair">
        <color indexed="8"/>
      </bottom>
      <diagonal/>
    </border>
    <border>
      <left/>
      <right style="medium">
        <color indexed="64"/>
      </right>
      <top style="hair">
        <color indexed="64"/>
      </top>
      <bottom style="medium">
        <color indexed="8"/>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8"/>
      </right>
      <top style="hair">
        <color indexed="8"/>
      </top>
      <bottom style="hair">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hair">
        <color indexed="8"/>
      </bottom>
      <diagonal/>
    </border>
    <border>
      <left/>
      <right style="medium">
        <color indexed="64"/>
      </right>
      <top/>
      <bottom style="thin">
        <color indexed="8"/>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style="medium">
        <color auto="1"/>
      </top>
      <bottom style="medium">
        <color auto="1"/>
      </bottom>
      <diagonal/>
    </border>
    <border>
      <left style="medium">
        <color indexed="64"/>
      </left>
      <right style="medium">
        <color indexed="64"/>
      </right>
      <top style="medium">
        <color indexed="8"/>
      </top>
      <bottom/>
      <diagonal/>
    </border>
    <border>
      <left style="medium">
        <color indexed="8"/>
      </left>
      <right style="medium">
        <color indexed="64"/>
      </right>
      <top style="hair">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style="hair">
        <color indexed="64"/>
      </bottom>
      <diagonal/>
    </border>
    <border>
      <left/>
      <right/>
      <top style="medium">
        <color auto="1"/>
      </top>
      <bottom style="medium">
        <color auto="1"/>
      </bottom>
      <diagonal/>
    </border>
    <border>
      <left style="medium">
        <color indexed="64"/>
      </left>
      <right style="medium">
        <color indexed="64"/>
      </right>
      <top style="medium">
        <color indexed="8"/>
      </top>
      <bottom style="hair">
        <color indexed="8"/>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style="medium">
        <color auto="1"/>
      </top>
      <bottom style="medium">
        <color auto="1"/>
      </bottom>
      <diagonal/>
    </border>
    <border>
      <left style="medium">
        <color indexed="64"/>
      </left>
      <right/>
      <top style="medium">
        <color auto="1"/>
      </top>
      <bottom style="medium">
        <color auto="1"/>
      </bottom>
      <diagonal/>
    </border>
    <border>
      <left style="medium">
        <color indexed="8"/>
      </left>
      <right style="medium">
        <color indexed="8"/>
      </right>
      <top style="hair">
        <color indexed="64"/>
      </top>
      <bottom style="hair">
        <color indexed="64"/>
      </bottom>
      <diagonal/>
    </border>
    <border>
      <left/>
      <right style="medium">
        <color indexed="64"/>
      </right>
      <top style="medium">
        <color indexed="8"/>
      </top>
      <bottom style="hair">
        <color indexed="8"/>
      </bottom>
      <diagonal/>
    </border>
    <border>
      <left/>
      <right style="medium">
        <color auto="1"/>
      </right>
      <top style="medium">
        <color auto="1"/>
      </top>
      <bottom style="medium">
        <color auto="1"/>
      </bottom>
      <diagonal/>
    </border>
    <border>
      <left/>
      <right style="medium">
        <color indexed="64"/>
      </right>
      <top style="medium">
        <color indexed="8"/>
      </top>
      <bottom style="medium">
        <color indexed="64"/>
      </bottom>
      <diagonal/>
    </border>
    <border>
      <left/>
      <right style="medium">
        <color indexed="64"/>
      </right>
      <top style="medium">
        <color indexed="8"/>
      </top>
      <bottom style="medium">
        <color indexed="8"/>
      </bottom>
      <diagonal/>
    </border>
    <border>
      <left style="medium">
        <color indexed="64"/>
      </left>
      <right style="medium">
        <color indexed="64"/>
      </right>
      <top style="hair">
        <color indexed="64"/>
      </top>
      <bottom style="medium">
        <color indexed="8"/>
      </bottom>
      <diagonal/>
    </border>
    <border>
      <left style="medium">
        <color indexed="64"/>
      </left>
      <right style="medium">
        <color indexed="64"/>
      </right>
      <top style="hair">
        <color indexed="64"/>
      </top>
      <bottom style="medium">
        <color auto="1"/>
      </bottom>
      <diagonal/>
    </border>
    <border>
      <left style="medium">
        <color indexed="64"/>
      </left>
      <right style="medium">
        <color indexed="64"/>
      </right>
      <top/>
      <bottom style="hair">
        <color indexed="8"/>
      </bottom>
      <diagonal/>
    </border>
    <border>
      <left/>
      <right style="medium">
        <color indexed="64"/>
      </right>
      <top/>
      <bottom style="hair">
        <color indexed="8"/>
      </bottom>
      <diagonal/>
    </border>
    <border>
      <left style="medium">
        <color indexed="64"/>
      </left>
      <right style="medium">
        <color indexed="64"/>
      </right>
      <top style="medium">
        <color indexed="64"/>
      </top>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thin">
        <color indexed="64"/>
      </left>
      <right/>
      <top style="medium">
        <color auto="1"/>
      </top>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style="thin">
        <color indexed="64"/>
      </right>
      <top style="medium">
        <color auto="1"/>
      </top>
      <bottom style="thin">
        <color auto="1"/>
      </bottom>
      <diagonal/>
    </border>
    <border>
      <left style="thin">
        <color indexed="64"/>
      </left>
      <right style="medium">
        <color auto="1"/>
      </right>
      <top style="medium">
        <color auto="1"/>
      </top>
      <bottom/>
      <diagonal/>
    </border>
    <border>
      <left style="medium">
        <color auto="1"/>
      </left>
      <right style="thin">
        <color indexed="64"/>
      </right>
      <top/>
      <bottom style="medium">
        <color auto="1"/>
      </bottom>
      <diagonal/>
    </border>
    <border>
      <left style="thin">
        <color indexed="64"/>
      </left>
      <right style="thin">
        <color indexed="64"/>
      </right>
      <top/>
      <bottom style="medium">
        <color auto="1"/>
      </bottom>
      <diagonal/>
    </border>
    <border>
      <left style="thin">
        <color indexed="64"/>
      </left>
      <right/>
      <top/>
      <bottom style="medium">
        <color auto="1"/>
      </bottom>
      <diagonal/>
    </border>
    <border>
      <left style="thin">
        <color auto="1"/>
      </left>
      <right style="thin">
        <color auto="1"/>
      </right>
      <top style="thin">
        <color auto="1"/>
      </top>
      <bottom style="medium">
        <color auto="1"/>
      </bottom>
      <diagonal/>
    </border>
    <border>
      <left style="thin">
        <color indexed="64"/>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8"/>
      </left>
      <right style="medium">
        <color indexed="8"/>
      </right>
      <top/>
      <bottom style="hair">
        <color indexed="64"/>
      </bottom>
      <diagonal/>
    </border>
    <border>
      <left style="medium">
        <color indexed="64"/>
      </left>
      <right style="medium">
        <color indexed="8"/>
      </right>
      <top style="medium">
        <color indexed="8"/>
      </top>
      <bottom style="medium">
        <color indexed="64"/>
      </bottom>
      <diagonal/>
    </border>
    <border>
      <left style="medium">
        <color indexed="64"/>
      </left>
      <right style="medium">
        <color indexed="64"/>
      </right>
      <top style="medium">
        <color indexed="8"/>
      </top>
      <bottom style="hair">
        <color indexed="64"/>
      </bottom>
      <diagonal/>
    </border>
    <border>
      <left style="medium">
        <color indexed="64"/>
      </left>
      <right style="medium">
        <color indexed="8"/>
      </right>
      <top style="medium">
        <color indexed="8"/>
      </top>
      <bottom style="hair">
        <color indexed="64"/>
      </bottom>
      <diagonal/>
    </border>
    <border>
      <left style="medium">
        <color indexed="8"/>
      </left>
      <right style="medium">
        <color indexed="64"/>
      </right>
      <top style="medium">
        <color indexed="8"/>
      </top>
      <bottom style="hair">
        <color indexed="8"/>
      </bottom>
      <diagonal/>
    </border>
    <border>
      <left style="medium">
        <color indexed="8"/>
      </left>
      <right style="medium">
        <color indexed="64"/>
      </right>
      <top/>
      <bottom style="hair">
        <color indexed="8"/>
      </bottom>
      <diagonal/>
    </border>
    <border>
      <left style="medium">
        <color indexed="8"/>
      </left>
      <right style="medium">
        <color indexed="64"/>
      </right>
      <top style="hair">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8"/>
      </left>
      <right style="medium">
        <color indexed="64"/>
      </right>
      <top style="medium">
        <color indexed="64"/>
      </top>
      <bottom style="medium">
        <color indexed="64"/>
      </bottom>
      <diagonal/>
    </border>
    <border>
      <left style="medium">
        <color indexed="64"/>
      </left>
      <right style="medium">
        <color indexed="8"/>
      </right>
      <top/>
      <bottom style="hair">
        <color indexed="64"/>
      </bottom>
      <diagonal/>
    </border>
    <border>
      <left style="medium">
        <color auto="1"/>
      </left>
      <right style="medium">
        <color auto="1"/>
      </right>
      <top/>
      <bottom style="hair">
        <color auto="1"/>
      </bottom>
      <diagonal/>
    </border>
    <border>
      <left style="medium">
        <color indexed="8"/>
      </left>
      <right style="medium">
        <color indexed="64"/>
      </right>
      <top style="medium">
        <color indexed="8"/>
      </top>
      <bottom style="hair">
        <color indexed="64"/>
      </bottom>
      <diagonal/>
    </border>
    <border>
      <left style="medium">
        <color indexed="8"/>
      </left>
      <right style="medium">
        <color indexed="64"/>
      </right>
      <top style="hair">
        <color indexed="64"/>
      </top>
      <bottom style="hair">
        <color indexed="64"/>
      </bottom>
      <diagonal/>
    </border>
    <border>
      <left style="medium">
        <color indexed="8"/>
      </left>
      <right style="medium">
        <color indexed="64"/>
      </right>
      <top/>
      <bottom style="hair">
        <color indexed="64"/>
      </bottom>
      <diagonal/>
    </border>
    <border>
      <left/>
      <right style="medium">
        <color indexed="64"/>
      </right>
      <top style="medium">
        <color indexed="8"/>
      </top>
      <bottom style="hair">
        <color indexed="64"/>
      </bottom>
      <diagonal/>
    </border>
    <border>
      <left style="medium">
        <color indexed="64"/>
      </left>
      <right style="medium">
        <color indexed="64"/>
      </right>
      <top style="hair">
        <color indexed="64"/>
      </top>
      <bottom style="thin">
        <color indexed="8"/>
      </bottom>
      <diagonal/>
    </border>
    <border>
      <left/>
      <right style="medium">
        <color indexed="64"/>
      </right>
      <top style="hair">
        <color indexed="64"/>
      </top>
      <bottom style="medium">
        <color auto="1"/>
      </bottom>
      <diagonal/>
    </border>
    <border>
      <left/>
      <right style="medium">
        <color indexed="64"/>
      </right>
      <top style="medium">
        <color auto="1"/>
      </top>
      <bottom style="hair">
        <color indexed="64"/>
      </bottom>
      <diagonal/>
    </border>
    <border>
      <left style="medium">
        <color indexed="64"/>
      </left>
      <right style="medium">
        <color indexed="64"/>
      </right>
      <top style="medium">
        <color auto="1"/>
      </top>
      <bottom style="hair">
        <color indexed="64"/>
      </bottom>
      <diagonal/>
    </border>
    <border>
      <left style="medium">
        <color indexed="64"/>
      </left>
      <right style="medium">
        <color indexed="8"/>
      </right>
      <top style="hair">
        <color indexed="64"/>
      </top>
      <bottom/>
      <diagonal/>
    </border>
    <border>
      <left style="medium">
        <color indexed="64"/>
      </left>
      <right style="medium">
        <color indexed="64"/>
      </right>
      <top style="medium">
        <color indexed="8"/>
      </top>
      <bottom style="hair">
        <color indexed="64"/>
      </bottom>
      <diagonal/>
    </border>
    <border>
      <left style="medium">
        <color auto="1"/>
      </left>
      <right style="medium">
        <color auto="1"/>
      </right>
      <top/>
      <bottom style="hair">
        <color auto="1"/>
      </bottom>
      <diagonal/>
    </border>
    <border>
      <left style="medium">
        <color indexed="8"/>
      </left>
      <right style="medium">
        <color indexed="64"/>
      </right>
      <top/>
      <bottom style="hair">
        <color indexed="8"/>
      </bottom>
      <diagonal/>
    </border>
    <border>
      <left/>
      <right style="medium">
        <color indexed="64"/>
      </right>
      <top/>
      <bottom style="hair">
        <color indexed="64"/>
      </bottom>
      <diagonal/>
    </border>
    <border>
      <left style="medium">
        <color indexed="64"/>
      </left>
      <right style="medium">
        <color indexed="64"/>
      </right>
      <top style="medium">
        <color indexed="8"/>
      </top>
      <bottom style="medium">
        <color indexed="8"/>
      </bottom>
      <diagonal/>
    </border>
    <border>
      <left style="medium">
        <color indexed="8"/>
      </left>
      <right style="medium">
        <color indexed="64"/>
      </right>
      <top style="medium">
        <color indexed="8"/>
      </top>
      <bottom/>
      <diagonal/>
    </border>
    <border>
      <left style="medium">
        <color indexed="64"/>
      </left>
      <right style="medium">
        <color indexed="8"/>
      </right>
      <top/>
      <bottom/>
      <diagonal/>
    </border>
    <border>
      <left/>
      <right style="medium">
        <color indexed="64"/>
      </right>
      <top/>
      <bottom style="hair">
        <color indexed="64"/>
      </bottom>
      <diagonal/>
    </border>
    <border>
      <left style="thin">
        <color indexed="64"/>
      </left>
      <right style="thin">
        <color indexed="64"/>
      </right>
      <top style="medium">
        <color indexed="64"/>
      </top>
      <bottom/>
      <diagonal/>
    </border>
    <border>
      <left/>
      <right/>
      <top/>
      <bottom style="hair">
        <color indexed="64"/>
      </bottom>
      <diagonal/>
    </border>
    <border>
      <left/>
      <right/>
      <top/>
      <bottom style="thin">
        <color indexed="64"/>
      </bottom>
      <diagonal/>
    </border>
    <border>
      <left style="medium">
        <color auto="1"/>
      </left>
      <right style="medium">
        <color auto="1"/>
      </right>
      <top style="hair">
        <color auto="1"/>
      </top>
      <bottom style="hair">
        <color auto="1"/>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8"/>
      </left>
      <right style="medium">
        <color indexed="64"/>
      </right>
      <top style="hair">
        <color indexed="64"/>
      </top>
      <bottom style="hair">
        <color indexed="8"/>
      </bottom>
      <diagonal/>
    </border>
    <border>
      <left style="medium">
        <color indexed="64"/>
      </left>
      <right style="medium">
        <color indexed="64"/>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8"/>
      </right>
      <top style="hair">
        <color indexed="64"/>
      </top>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style="hair">
        <color indexed="8"/>
      </top>
      <bottom style="hair">
        <color indexed="64"/>
      </bottom>
      <diagonal/>
    </border>
    <border>
      <left style="medium">
        <color indexed="8"/>
      </left>
      <right style="medium">
        <color indexed="64"/>
      </right>
      <top style="hair">
        <color indexed="64"/>
      </top>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8"/>
      </bottom>
      <diagonal/>
    </border>
    <border>
      <left style="thin">
        <color indexed="64"/>
      </left>
      <right style="thin">
        <color indexed="64"/>
      </right>
      <top/>
      <bottom style="hair">
        <color indexed="64"/>
      </bottom>
      <diagonal/>
    </border>
    <border>
      <left style="medium">
        <color indexed="64"/>
      </left>
      <right style="medium">
        <color indexed="64"/>
      </right>
      <top style="hair">
        <color indexed="8"/>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8"/>
      </top>
      <bottom style="medium">
        <color indexed="64"/>
      </bottom>
      <diagonal/>
    </border>
    <border>
      <left style="medium">
        <color indexed="64"/>
      </left>
      <right style="medium">
        <color indexed="8"/>
      </right>
      <top style="hair">
        <color indexed="64"/>
      </top>
      <bottom style="medium">
        <color indexed="64"/>
      </bottom>
      <diagonal/>
    </border>
    <border>
      <left style="medium">
        <color indexed="8"/>
      </left>
      <right style="medium">
        <color indexed="64"/>
      </right>
      <top/>
      <bottom style="medium">
        <color indexed="64"/>
      </bottom>
      <diagonal/>
    </border>
    <border>
      <left/>
      <right style="medium">
        <color indexed="64"/>
      </right>
      <top/>
      <bottom style="hair">
        <color indexed="64"/>
      </bottom>
      <diagonal/>
    </border>
  </borders>
  <cellStyleXfs count="8">
    <xf numFmtId="0" fontId="0" fillId="0" borderId="0"/>
    <xf numFmtId="165" fontId="72" fillId="0" borderId="0" applyFill="0" applyBorder="0" applyAlignment="0" applyProtection="0"/>
    <xf numFmtId="0" fontId="72" fillId="2" borderId="1" applyNumberFormat="0" applyAlignment="0" applyProtection="0"/>
    <xf numFmtId="0" fontId="72" fillId="0" borderId="0"/>
    <xf numFmtId="0" fontId="2" fillId="0" borderId="0"/>
    <xf numFmtId="43" fontId="1" fillId="0" borderId="0" applyFont="0" applyFill="0" applyBorder="0" applyAlignment="0" applyProtection="0"/>
    <xf numFmtId="0" fontId="90" fillId="0" borderId="0"/>
    <xf numFmtId="0" fontId="47" fillId="0" borderId="0"/>
  </cellStyleXfs>
  <cellXfs count="1692">
    <xf numFmtId="0" fontId="0" fillId="0" borderId="0" xfId="0"/>
    <xf numFmtId="0" fontId="3" fillId="0" borderId="0" xfId="0" applyFont="1"/>
    <xf numFmtId="0" fontId="0" fillId="0" borderId="0" xfId="0" applyFont="1"/>
    <xf numFmtId="0" fontId="4" fillId="0" borderId="0" xfId="0" applyFont="1" applyAlignment="1">
      <alignment horizontal="right"/>
    </xf>
    <xf numFmtId="4" fontId="5" fillId="0" borderId="0" xfId="0" applyNumberFormat="1" applyFont="1" applyBorder="1" applyAlignment="1">
      <alignment horizontal="center" wrapText="1"/>
    </xf>
    <xf numFmtId="4" fontId="0" fillId="0" borderId="0" xfId="0" applyNumberFormat="1" applyFont="1" applyBorder="1" applyAlignment="1">
      <alignment horizontal="center" vertical="center" wrapText="1"/>
    </xf>
    <xf numFmtId="4" fontId="6" fillId="0" borderId="0" xfId="0" applyNumberFormat="1" applyFont="1" applyFill="1" applyBorder="1" applyAlignment="1">
      <alignment horizontal="center" vertical="center" wrapText="1"/>
    </xf>
    <xf numFmtId="0" fontId="3" fillId="0" borderId="0" xfId="0" applyFont="1" applyFill="1" applyAlignment="1">
      <alignment horizontal="center" vertical="center"/>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4" fontId="5" fillId="0" borderId="3" xfId="0" applyNumberFormat="1" applyFont="1" applyBorder="1" applyAlignment="1">
      <alignment horizontal="center" vertical="center" wrapText="1"/>
    </xf>
    <xf numFmtId="4" fontId="5" fillId="0" borderId="2" xfId="0" applyNumberFormat="1" applyFont="1" applyBorder="1" applyAlignment="1">
      <alignment horizontal="center" vertical="center" wrapText="1"/>
    </xf>
    <xf numFmtId="0" fontId="3" fillId="0" borderId="0" xfId="0" applyFont="1" applyFill="1"/>
    <xf numFmtId="0" fontId="12" fillId="3" borderId="4" xfId="0" applyFont="1" applyFill="1" applyBorder="1"/>
    <xf numFmtId="0" fontId="6" fillId="3" borderId="4" xfId="0" applyFont="1" applyFill="1" applyBorder="1"/>
    <xf numFmtId="0" fontId="6" fillId="3" borderId="5" xfId="0" applyFont="1" applyFill="1" applyBorder="1"/>
    <xf numFmtId="4" fontId="5" fillId="0" borderId="5" xfId="0" applyNumberFormat="1" applyFont="1" applyBorder="1" applyAlignment="1">
      <alignment horizontal="center" wrapText="1"/>
    </xf>
    <xf numFmtId="4" fontId="0" fillId="0" borderId="5" xfId="0" applyNumberFormat="1" applyFont="1" applyBorder="1" applyAlignment="1">
      <alignment horizontal="center" vertical="center" wrapText="1"/>
    </xf>
    <xf numFmtId="4" fontId="5" fillId="0" borderId="5" xfId="0" applyNumberFormat="1" applyFont="1" applyFill="1" applyBorder="1" applyAlignment="1">
      <alignment horizontal="center" vertical="center" wrapText="1"/>
    </xf>
    <xf numFmtId="0" fontId="12" fillId="0" borderId="0" xfId="0" applyFont="1" applyFill="1" applyBorder="1" applyAlignment="1"/>
    <xf numFmtId="0" fontId="13" fillId="3" borderId="6" xfId="0" applyFont="1" applyFill="1" applyBorder="1"/>
    <xf numFmtId="0" fontId="14" fillId="3" borderId="6" xfId="0" applyFont="1" applyFill="1" applyBorder="1"/>
    <xf numFmtId="4" fontId="15" fillId="3" borderId="4" xfId="0" applyNumberFormat="1" applyFont="1" applyFill="1" applyBorder="1"/>
    <xf numFmtId="0" fontId="16" fillId="0" borderId="0" xfId="0" applyFont="1" applyFill="1" applyBorder="1" applyAlignment="1">
      <alignment vertical="center"/>
    </xf>
    <xf numFmtId="0" fontId="13" fillId="0" borderId="0" xfId="0" applyFont="1" applyFill="1" applyBorder="1" applyAlignment="1"/>
    <xf numFmtId="0" fontId="17" fillId="3" borderId="6" xfId="0" applyFont="1" applyFill="1" applyBorder="1"/>
    <xf numFmtId="4" fontId="15" fillId="3" borderId="6" xfId="0" applyNumberFormat="1" applyFont="1" applyFill="1" applyBorder="1"/>
    <xf numFmtId="0" fontId="12" fillId="3" borderId="6" xfId="0" applyFont="1" applyFill="1" applyBorder="1"/>
    <xf numFmtId="0" fontId="6" fillId="3" borderId="6" xfId="0" applyFont="1" applyFill="1" applyBorder="1"/>
    <xf numFmtId="4" fontId="18" fillId="3" borderId="6" xfId="0" applyNumberFormat="1" applyFont="1" applyFill="1" applyBorder="1"/>
    <xf numFmtId="4" fontId="3" fillId="0" borderId="0" xfId="0" applyNumberFormat="1" applyFont="1" applyFill="1" applyBorder="1" applyAlignment="1"/>
    <xf numFmtId="0" fontId="14" fillId="3" borderId="7" xfId="0" applyFont="1" applyFill="1" applyBorder="1"/>
    <xf numFmtId="4" fontId="15" fillId="3" borderId="8" xfId="0" applyNumberFormat="1" applyFont="1" applyFill="1" applyBorder="1"/>
    <xf numFmtId="4" fontId="0" fillId="0" borderId="0" xfId="0" applyNumberFormat="1" applyFont="1" applyFill="1" applyBorder="1" applyAlignment="1">
      <alignment vertical="center"/>
    </xf>
    <xf numFmtId="0" fontId="19" fillId="3" borderId="2" xfId="0" applyFont="1" applyFill="1" applyBorder="1"/>
    <xf numFmtId="0" fontId="20" fillId="3" borderId="2" xfId="0" applyFont="1" applyFill="1" applyBorder="1"/>
    <xf numFmtId="4" fontId="21" fillId="3" borderId="2" xfId="0" applyNumberFormat="1" applyFont="1" applyFill="1" applyBorder="1"/>
    <xf numFmtId="4" fontId="19" fillId="0" borderId="0" xfId="0" applyNumberFormat="1" applyFont="1" applyFill="1" applyBorder="1" applyAlignment="1"/>
    <xf numFmtId="0" fontId="19" fillId="0" borderId="0" xfId="0" applyFont="1" applyFill="1" applyBorder="1" applyAlignment="1"/>
    <xf numFmtId="164" fontId="15" fillId="0" borderId="4" xfId="0" applyNumberFormat="1" applyFont="1" applyFill="1" applyBorder="1" applyAlignment="1"/>
    <xf numFmtId="164" fontId="23" fillId="0" borderId="4" xfId="0" applyNumberFormat="1" applyFont="1" applyFill="1" applyBorder="1" applyAlignment="1"/>
    <xf numFmtId="164" fontId="15" fillId="0" borderId="5" xfId="0" applyNumberFormat="1" applyFont="1" applyFill="1" applyBorder="1" applyAlignment="1"/>
    <xf numFmtId="4" fontId="14" fillId="3" borderId="4" xfId="0" applyNumberFormat="1" applyFont="1" applyFill="1" applyBorder="1" applyAlignment="1"/>
    <xf numFmtId="4" fontId="15" fillId="3" borderId="4" xfId="0" applyNumberFormat="1" applyFont="1" applyFill="1" applyBorder="1" applyAlignment="1">
      <alignment vertical="center"/>
    </xf>
    <xf numFmtId="4" fontId="15" fillId="3" borderId="6" xfId="0" applyNumberFormat="1" applyFont="1" applyFill="1" applyBorder="1" applyAlignment="1">
      <alignment vertical="center"/>
    </xf>
    <xf numFmtId="0" fontId="24" fillId="3" borderId="4" xfId="0" applyFont="1" applyFill="1" applyBorder="1"/>
    <xf numFmtId="164" fontId="15" fillId="0" borderId="6" xfId="0" applyNumberFormat="1" applyFont="1" applyFill="1" applyBorder="1" applyAlignment="1"/>
    <xf numFmtId="164" fontId="23" fillId="0" borderId="6" xfId="0" applyNumberFormat="1" applyFont="1" applyFill="1" applyBorder="1" applyAlignment="1"/>
    <xf numFmtId="0" fontId="25" fillId="3" borderId="9" xfId="0" applyFont="1" applyFill="1" applyBorder="1" applyAlignment="1">
      <alignment vertical="center" wrapText="1"/>
    </xf>
    <xf numFmtId="4" fontId="25" fillId="3" borderId="4" xfId="0" applyNumberFormat="1" applyFont="1" applyFill="1" applyBorder="1" applyAlignment="1">
      <alignment vertical="center"/>
    </xf>
    <xf numFmtId="0" fontId="5" fillId="3" borderId="6" xfId="0" applyFont="1" applyFill="1" applyBorder="1"/>
    <xf numFmtId="0" fontId="15" fillId="3" borderId="6" xfId="0" applyFont="1" applyFill="1" applyBorder="1"/>
    <xf numFmtId="0" fontId="14" fillId="3" borderId="4" xfId="0" applyFont="1" applyFill="1" applyBorder="1"/>
    <xf numFmtId="0" fontId="14" fillId="3" borderId="8" xfId="0" applyFont="1" applyFill="1" applyBorder="1"/>
    <xf numFmtId="0" fontId="25" fillId="3" borderId="10" xfId="0" applyFont="1" applyFill="1" applyBorder="1" applyAlignment="1">
      <alignment vertical="center" wrapText="1"/>
    </xf>
    <xf numFmtId="0" fontId="14" fillId="3" borderId="9" xfId="0" applyFont="1" applyFill="1" applyBorder="1"/>
    <xf numFmtId="0" fontId="14" fillId="3" borderId="11" xfId="0" applyFont="1" applyFill="1" applyBorder="1"/>
    <xf numFmtId="4" fontId="15" fillId="3" borderId="11" xfId="0" applyNumberFormat="1" applyFont="1" applyFill="1" applyBorder="1"/>
    <xf numFmtId="0" fontId="14" fillId="3" borderId="2" xfId="0" applyFont="1" applyFill="1" applyBorder="1"/>
    <xf numFmtId="0" fontId="26" fillId="3" borderId="2" xfId="0" applyFont="1" applyFill="1" applyBorder="1"/>
    <xf numFmtId="4" fontId="25" fillId="3" borderId="2" xfId="0" applyNumberFormat="1" applyFont="1" applyFill="1" applyBorder="1"/>
    <xf numFmtId="0" fontId="26" fillId="3" borderId="8" xfId="0" applyFont="1" applyFill="1" applyBorder="1"/>
    <xf numFmtId="4" fontId="25" fillId="3" borderId="8" xfId="0" applyNumberFormat="1" applyFont="1" applyFill="1" applyBorder="1"/>
    <xf numFmtId="0" fontId="13" fillId="3" borderId="0" xfId="0" applyFont="1" applyFill="1" applyBorder="1" applyAlignment="1"/>
    <xf numFmtId="0" fontId="26" fillId="3" borderId="9" xfId="0" applyFont="1" applyFill="1" applyBorder="1"/>
    <xf numFmtId="4" fontId="25" fillId="3" borderId="9" xfId="0" applyNumberFormat="1" applyFont="1" applyFill="1" applyBorder="1"/>
    <xf numFmtId="0" fontId="5" fillId="0" borderId="2" xfId="0" applyFont="1" applyFill="1" applyBorder="1"/>
    <xf numFmtId="0" fontId="26" fillId="0" borderId="2" xfId="0" applyFont="1" applyFill="1" applyBorder="1" applyAlignment="1">
      <alignment vertical="center" wrapText="1"/>
    </xf>
    <xf numFmtId="4" fontId="26" fillId="0" borderId="2" xfId="0" applyNumberFormat="1" applyFont="1" applyFill="1" applyBorder="1" applyAlignment="1">
      <alignment vertical="center"/>
    </xf>
    <xf numFmtId="0" fontId="13" fillId="4" borderId="0" xfId="0" applyFont="1" applyFill="1" applyBorder="1" applyAlignment="1"/>
    <xf numFmtId="0" fontId="5" fillId="3" borderId="4" xfId="0" applyFont="1" applyFill="1" applyBorder="1"/>
    <xf numFmtId="0" fontId="25" fillId="3" borderId="4" xfId="0" applyFont="1" applyFill="1" applyBorder="1"/>
    <xf numFmtId="4" fontId="27" fillId="3" borderId="4" xfId="0" applyNumberFormat="1" applyFont="1" applyFill="1" applyBorder="1"/>
    <xf numFmtId="4" fontId="25" fillId="3" borderId="4" xfId="0" applyNumberFormat="1" applyFont="1" applyFill="1" applyBorder="1"/>
    <xf numFmtId="0" fontId="26" fillId="3" borderId="11" xfId="0" applyFont="1" applyFill="1" applyBorder="1"/>
    <xf numFmtId="4" fontId="25" fillId="3" borderId="11" xfId="0" applyNumberFormat="1" applyFont="1" applyFill="1" applyBorder="1"/>
    <xf numFmtId="0" fontId="26" fillId="3" borderId="11" xfId="0" applyFont="1" applyFill="1" applyBorder="1" applyAlignment="1">
      <alignment vertical="center" wrapText="1"/>
    </xf>
    <xf numFmtId="4" fontId="27" fillId="3" borderId="2" xfId="0" applyNumberFormat="1" applyFont="1" applyFill="1" applyBorder="1" applyAlignment="1">
      <alignment vertical="center"/>
    </xf>
    <xf numFmtId="4" fontId="25" fillId="3" borderId="2" xfId="0" applyNumberFormat="1" applyFont="1" applyFill="1" applyBorder="1" applyAlignment="1">
      <alignment vertical="center"/>
    </xf>
    <xf numFmtId="0" fontId="14" fillId="3" borderId="5" xfId="0" applyFont="1" applyFill="1" applyBorder="1"/>
    <xf numFmtId="0" fontId="14" fillId="0" borderId="6" xfId="0" applyFont="1" applyFill="1" applyBorder="1"/>
    <xf numFmtId="0" fontId="26" fillId="3" borderId="12" xfId="0" applyFont="1" applyFill="1" applyBorder="1"/>
    <xf numFmtId="4" fontId="25" fillId="3" borderId="5" xfId="0" applyNumberFormat="1" applyFont="1" applyFill="1" applyBorder="1"/>
    <xf numFmtId="0" fontId="14" fillId="3" borderId="13" xfId="0" applyFont="1" applyFill="1" applyBorder="1"/>
    <xf numFmtId="4" fontId="25" fillId="3" borderId="6" xfId="0" applyNumberFormat="1" applyFont="1" applyFill="1" applyBorder="1"/>
    <xf numFmtId="0" fontId="14" fillId="3" borderId="14" xfId="0" applyFont="1" applyFill="1" applyBorder="1"/>
    <xf numFmtId="0" fontId="14" fillId="3" borderId="15" xfId="0" applyFont="1" applyFill="1" applyBorder="1"/>
    <xf numFmtId="0" fontId="17" fillId="3" borderId="2" xfId="0" applyFont="1" applyFill="1" applyBorder="1"/>
    <xf numFmtId="4" fontId="27" fillId="3" borderId="2" xfId="0" applyNumberFormat="1" applyFont="1" applyFill="1" applyBorder="1"/>
    <xf numFmtId="0" fontId="28" fillId="0" borderId="0" xfId="0" applyFont="1" applyFill="1" applyBorder="1" applyAlignment="1"/>
    <xf numFmtId="0" fontId="26" fillId="3" borderId="5" xfId="0" applyFont="1" applyFill="1" applyBorder="1"/>
    <xf numFmtId="0" fontId="14" fillId="3" borderId="11" xfId="0" applyFont="1" applyFill="1" applyBorder="1" applyAlignment="1">
      <alignment vertical="center"/>
    </xf>
    <xf numFmtId="4" fontId="0" fillId="0" borderId="0" xfId="0" applyNumberFormat="1" applyFont="1" applyFill="1"/>
    <xf numFmtId="0" fontId="12" fillId="3" borderId="2" xfId="0" applyFont="1" applyFill="1" applyBorder="1"/>
    <xf numFmtId="0" fontId="21" fillId="3" borderId="2" xfId="0" applyFont="1" applyFill="1" applyBorder="1"/>
    <xf numFmtId="4" fontId="29" fillId="3" borderId="2" xfId="0" applyNumberFormat="1" applyFont="1" applyFill="1" applyBorder="1"/>
    <xf numFmtId="4" fontId="0" fillId="0" borderId="0" xfId="0" applyNumberFormat="1" applyFont="1"/>
    <xf numFmtId="4" fontId="18" fillId="3" borderId="2" xfId="0" applyNumberFormat="1" applyFont="1" applyFill="1" applyBorder="1"/>
    <xf numFmtId="0" fontId="3" fillId="0" borderId="2" xfId="0" applyFont="1" applyBorder="1"/>
    <xf numFmtId="0" fontId="21" fillId="0" borderId="2" xfId="0" applyFont="1" applyBorder="1"/>
    <xf numFmtId="0" fontId="18" fillId="0" borderId="2" xfId="0" applyFont="1" applyFill="1" applyBorder="1" applyAlignment="1">
      <alignment horizontal="center"/>
    </xf>
    <xf numFmtId="4" fontId="4" fillId="0" borderId="2" xfId="0" applyNumberFormat="1" applyFont="1" applyBorder="1" applyAlignment="1">
      <alignment vertical="center" shrinkToFit="1"/>
    </xf>
    <xf numFmtId="4" fontId="0" fillId="0" borderId="2" xfId="0" applyNumberFormat="1" applyFont="1" applyBorder="1" applyAlignment="1">
      <alignment vertical="center" shrinkToFit="1"/>
    </xf>
    <xf numFmtId="4" fontId="4" fillId="0" borderId="2" xfId="0" applyNumberFormat="1" applyFont="1" applyBorder="1" applyAlignment="1">
      <alignment vertical="center"/>
    </xf>
    <xf numFmtId="0" fontId="6" fillId="0" borderId="2" xfId="0" applyFont="1" applyBorder="1"/>
    <xf numFmtId="0" fontId="5" fillId="0" borderId="2" xfId="0" applyFont="1" applyBorder="1" applyAlignment="1">
      <alignment vertical="center" wrapText="1"/>
    </xf>
    <xf numFmtId="4" fontId="24" fillId="0" borderId="2" xfId="0" applyNumberFormat="1" applyFont="1" applyBorder="1" applyAlignment="1">
      <alignment shrinkToFit="1"/>
    </xf>
    <xf numFmtId="0" fontId="30" fillId="0" borderId="0" xfId="0" applyFont="1" applyFill="1"/>
    <xf numFmtId="0" fontId="30" fillId="0" borderId="14" xfId="0" applyFont="1" applyBorder="1" applyAlignment="1">
      <alignment vertical="center"/>
    </xf>
    <xf numFmtId="0" fontId="30" fillId="0" borderId="4" xfId="0" applyFont="1" applyBorder="1" applyAlignment="1">
      <alignment vertical="center"/>
    </xf>
    <xf numFmtId="4" fontId="4" fillId="0" borderId="4" xfId="0" applyNumberFormat="1" applyFont="1" applyBorder="1" applyAlignment="1">
      <alignment vertical="center" shrinkToFit="1"/>
    </xf>
    <xf numFmtId="4" fontId="4" fillId="0" borderId="4" xfId="0" applyNumberFormat="1" applyFont="1" applyBorder="1" applyAlignment="1">
      <alignment vertical="center"/>
    </xf>
    <xf numFmtId="0" fontId="30" fillId="0" borderId="13" xfId="0" applyFont="1" applyBorder="1" applyAlignment="1">
      <alignment vertical="center"/>
    </xf>
    <xf numFmtId="0" fontId="30" fillId="0" borderId="6" xfId="0" applyFont="1" applyBorder="1" applyAlignment="1">
      <alignment vertical="center"/>
    </xf>
    <xf numFmtId="4" fontId="4" fillId="0" borderId="6" xfId="0" applyNumberFormat="1" applyFont="1" applyBorder="1" applyAlignment="1">
      <alignment vertical="center" shrinkToFit="1"/>
    </xf>
    <xf numFmtId="4" fontId="4" fillId="0" borderId="6" xfId="0" applyNumberFormat="1" applyFont="1" applyBorder="1" applyAlignment="1">
      <alignment vertical="center"/>
    </xf>
    <xf numFmtId="0" fontId="30" fillId="0" borderId="0" xfId="0" applyFont="1"/>
    <xf numFmtId="0" fontId="30" fillId="0" borderId="6" xfId="0" applyFont="1" applyBorder="1" applyAlignment="1">
      <alignment vertical="center" wrapText="1"/>
    </xf>
    <xf numFmtId="4" fontId="0" fillId="0" borderId="0" xfId="0" applyNumberFormat="1" applyFont="1" applyAlignment="1">
      <alignment vertical="center"/>
    </xf>
    <xf numFmtId="0" fontId="3" fillId="0" borderId="13" xfId="0" applyFont="1" applyBorder="1" applyAlignment="1">
      <alignment vertical="center"/>
    </xf>
    <xf numFmtId="0" fontId="3" fillId="0" borderId="6" xfId="0" applyFont="1" applyBorder="1" applyAlignment="1">
      <alignment vertical="center"/>
    </xf>
    <xf numFmtId="4" fontId="0" fillId="0" borderId="6" xfId="0" applyNumberFormat="1" applyFont="1" applyBorder="1" applyAlignment="1">
      <alignment vertical="center"/>
    </xf>
    <xf numFmtId="4" fontId="0" fillId="0" borderId="4" xfId="0" applyNumberFormat="1" applyFont="1" applyBorder="1" applyAlignment="1">
      <alignment vertical="center"/>
    </xf>
    <xf numFmtId="0" fontId="30" fillId="0" borderId="13" xfId="0" applyFont="1" applyFill="1" applyBorder="1" applyAlignment="1">
      <alignment vertical="center"/>
    </xf>
    <xf numFmtId="0" fontId="30" fillId="0" borderId="6" xfId="0" applyFont="1" applyFill="1" applyBorder="1" applyAlignment="1">
      <alignment vertical="center" wrapText="1"/>
    </xf>
    <xf numFmtId="0" fontId="0" fillId="0" borderId="13" xfId="0" applyFont="1" applyFill="1" applyBorder="1" applyAlignment="1">
      <alignment vertical="center"/>
    </xf>
    <xf numFmtId="0" fontId="0" fillId="0" borderId="6" xfId="0" applyFont="1" applyFill="1" applyBorder="1" applyAlignment="1">
      <alignment vertical="center" wrapText="1"/>
    </xf>
    <xf numFmtId="4" fontId="0" fillId="0" borderId="6" xfId="0" applyNumberFormat="1" applyFont="1" applyFill="1" applyBorder="1" applyAlignment="1">
      <alignment vertical="center"/>
    </xf>
    <xf numFmtId="4" fontId="0" fillId="0" borderId="6" xfId="0" applyNumberFormat="1" applyFont="1" applyBorder="1" applyAlignment="1">
      <alignment vertical="center" shrinkToFit="1"/>
    </xf>
    <xf numFmtId="0" fontId="0" fillId="0" borderId="0" xfId="0" applyFont="1" applyFill="1"/>
    <xf numFmtId="0" fontId="0" fillId="3" borderId="13" xfId="0" applyFont="1" applyFill="1" applyBorder="1" applyAlignment="1">
      <alignment vertical="center"/>
    </xf>
    <xf numFmtId="0" fontId="0" fillId="3" borderId="6" xfId="0" applyFont="1" applyFill="1" applyBorder="1" applyAlignment="1">
      <alignment vertical="center" wrapText="1"/>
    </xf>
    <xf numFmtId="4" fontId="0" fillId="3" borderId="6" xfId="0" applyNumberFormat="1" applyFont="1" applyFill="1" applyBorder="1" applyAlignment="1">
      <alignment vertical="center"/>
    </xf>
    <xf numFmtId="4" fontId="0" fillId="3" borderId="6" xfId="0" applyNumberFormat="1" applyFont="1" applyFill="1" applyBorder="1" applyAlignment="1">
      <alignment vertical="center" shrinkToFit="1"/>
    </xf>
    <xf numFmtId="4" fontId="0" fillId="3" borderId="4" xfId="0" applyNumberFormat="1" applyFont="1" applyFill="1" applyBorder="1" applyAlignment="1">
      <alignment vertical="center"/>
    </xf>
    <xf numFmtId="4" fontId="0" fillId="3" borderId="0" xfId="0" applyNumberFormat="1" applyFont="1" applyFill="1" applyAlignment="1">
      <alignment vertical="center"/>
    </xf>
    <xf numFmtId="0" fontId="0" fillId="3" borderId="0" xfId="0" applyFont="1" applyFill="1"/>
    <xf numFmtId="0" fontId="30" fillId="0" borderId="6" xfId="0" applyFont="1" applyFill="1" applyBorder="1" applyAlignment="1">
      <alignment vertical="center"/>
    </xf>
    <xf numFmtId="4" fontId="4" fillId="0" borderId="6" xfId="0" applyNumberFormat="1" applyFont="1" applyFill="1" applyBorder="1" applyAlignment="1">
      <alignment vertical="center"/>
    </xf>
    <xf numFmtId="0" fontId="3" fillId="0" borderId="13" xfId="0" applyFont="1" applyFill="1" applyBorder="1" applyAlignment="1">
      <alignment vertical="center"/>
    </xf>
    <xf numFmtId="0" fontId="3" fillId="0" borderId="6" xfId="0" applyFont="1" applyFill="1" applyBorder="1" applyAlignment="1">
      <alignment vertical="center"/>
    </xf>
    <xf numFmtId="0" fontId="3" fillId="0" borderId="6" xfId="0" applyFont="1" applyBorder="1" applyAlignment="1">
      <alignment vertical="center" wrapText="1"/>
    </xf>
    <xf numFmtId="0" fontId="3" fillId="3" borderId="13" xfId="0" applyFont="1" applyFill="1" applyBorder="1" applyAlignment="1">
      <alignment vertical="center"/>
    </xf>
    <xf numFmtId="0" fontId="3" fillId="3" borderId="6" xfId="0" applyFont="1" applyFill="1" applyBorder="1" applyAlignment="1">
      <alignment vertical="center"/>
    </xf>
    <xf numFmtId="4" fontId="0" fillId="3" borderId="0" xfId="0" applyNumberFormat="1" applyFont="1" applyFill="1"/>
    <xf numFmtId="0" fontId="3" fillId="3" borderId="0" xfId="0" applyFont="1" applyFill="1"/>
    <xf numFmtId="0" fontId="3" fillId="4" borderId="0" xfId="0" applyFont="1" applyFill="1"/>
    <xf numFmtId="0" fontId="4" fillId="0" borderId="13" xfId="0" applyFont="1" applyBorder="1" applyAlignment="1">
      <alignment vertical="center"/>
    </xf>
    <xf numFmtId="0" fontId="4" fillId="0" borderId="6" xfId="0" applyFont="1" applyBorder="1" applyAlignment="1">
      <alignment vertical="center"/>
    </xf>
    <xf numFmtId="0" fontId="30" fillId="0" borderId="16" xfId="0" applyFont="1" applyBorder="1" applyAlignment="1">
      <alignment vertical="center"/>
    </xf>
    <xf numFmtId="0" fontId="30" fillId="0" borderId="8" xfId="0" applyFont="1" applyBorder="1" applyAlignment="1">
      <alignment vertical="center"/>
    </xf>
    <xf numFmtId="4" fontId="30" fillId="0" borderId="11" xfId="0" applyNumberFormat="1" applyFont="1" applyBorder="1"/>
    <xf numFmtId="4" fontId="4" fillId="0" borderId="11" xfId="0" applyNumberFormat="1" applyFont="1" applyBorder="1"/>
    <xf numFmtId="4" fontId="0" fillId="0" borderId="11" xfId="0" applyNumberFormat="1" applyFont="1" applyBorder="1"/>
    <xf numFmtId="4" fontId="4" fillId="0" borderId="11" xfId="0" applyNumberFormat="1" applyFont="1" applyBorder="1" applyAlignment="1">
      <alignment vertical="center"/>
    </xf>
    <xf numFmtId="0" fontId="30" fillId="0" borderId="17" xfId="0" applyFont="1" applyBorder="1"/>
    <xf numFmtId="0" fontId="5" fillId="0" borderId="2" xfId="0" applyFont="1" applyBorder="1"/>
    <xf numFmtId="4" fontId="24" fillId="0" borderId="2" xfId="0" applyNumberFormat="1" applyFont="1" applyBorder="1"/>
    <xf numFmtId="0" fontId="30" fillId="3" borderId="14" xfId="0" applyFont="1" applyFill="1" applyBorder="1" applyAlignment="1">
      <alignment vertical="center"/>
    </xf>
    <xf numFmtId="0" fontId="30" fillId="3" borderId="4" xfId="0" applyFont="1" applyFill="1" applyBorder="1" applyAlignment="1">
      <alignment vertical="center"/>
    </xf>
    <xf numFmtId="4" fontId="4" fillId="3" borderId="5" xfId="0" applyNumberFormat="1" applyFont="1" applyFill="1" applyBorder="1" applyAlignment="1">
      <alignment vertical="center"/>
    </xf>
    <xf numFmtId="0" fontId="30" fillId="3" borderId="13" xfId="0" applyFont="1" applyFill="1" applyBorder="1" applyAlignment="1">
      <alignment vertical="center"/>
    </xf>
    <xf numFmtId="4" fontId="0" fillId="0" borderId="4" xfId="0" applyNumberFormat="1" applyFont="1" applyFill="1" applyBorder="1" applyAlignment="1">
      <alignment vertical="center"/>
    </xf>
    <xf numFmtId="4" fontId="34" fillId="0" borderId="9" xfId="0" applyNumberFormat="1" applyFont="1" applyBorder="1"/>
    <xf numFmtId="4" fontId="0" fillId="0" borderId="9" xfId="0" applyNumberFormat="1" applyFont="1" applyFill="1" applyBorder="1" applyAlignment="1">
      <alignment vertical="center"/>
    </xf>
    <xf numFmtId="0" fontId="30" fillId="3" borderId="6" xfId="0" applyFont="1" applyFill="1" applyBorder="1" applyAlignment="1">
      <alignment vertical="center"/>
    </xf>
    <xf numFmtId="4" fontId="4" fillId="3" borderId="6" xfId="0" applyNumberFormat="1" applyFont="1" applyFill="1" applyBorder="1" applyAlignment="1">
      <alignment vertical="center"/>
    </xf>
    <xf numFmtId="0" fontId="30" fillId="3" borderId="6" xfId="0" applyFont="1" applyFill="1" applyBorder="1" applyAlignment="1">
      <alignment vertical="center" wrapText="1"/>
    </xf>
    <xf numFmtId="0" fontId="3" fillId="3" borderId="6" xfId="0" applyFont="1" applyFill="1" applyBorder="1" applyAlignment="1">
      <alignment vertical="center" wrapText="1"/>
    </xf>
    <xf numFmtId="4" fontId="0" fillId="0" borderId="18" xfId="0" applyNumberFormat="1" applyFont="1" applyBorder="1" applyAlignment="1">
      <alignment vertical="center"/>
    </xf>
    <xf numFmtId="4" fontId="0" fillId="0" borderId="6" xfId="0" applyNumberFormat="1" applyFont="1" applyFill="1" applyBorder="1" applyAlignment="1">
      <alignment horizontal="right" vertical="center"/>
    </xf>
    <xf numFmtId="4" fontId="30" fillId="0" borderId="6" xfId="0" applyNumberFormat="1" applyFont="1" applyFill="1" applyBorder="1" applyAlignment="1">
      <alignment vertical="center"/>
    </xf>
    <xf numFmtId="4" fontId="0" fillId="0" borderId="0" xfId="0" applyNumberFormat="1" applyFont="1" applyFill="1" applyBorder="1"/>
    <xf numFmtId="0" fontId="29" fillId="0" borderId="0" xfId="0" applyFont="1" applyFill="1" applyAlignment="1">
      <alignment vertical="center"/>
    </xf>
    <xf numFmtId="4" fontId="3" fillId="0" borderId="6" xfId="0" applyNumberFormat="1" applyFont="1" applyFill="1" applyBorder="1" applyAlignment="1">
      <alignment shrinkToFit="1"/>
    </xf>
    <xf numFmtId="4" fontId="0" fillId="0" borderId="6" xfId="0" applyNumberFormat="1" applyFont="1" applyFill="1" applyBorder="1" applyAlignment="1">
      <alignment shrinkToFit="1"/>
    </xf>
    <xf numFmtId="4" fontId="3" fillId="0" borderId="6" xfId="0" applyNumberFormat="1" applyFont="1" applyBorder="1" applyAlignment="1">
      <alignment shrinkToFit="1"/>
    </xf>
    <xf numFmtId="4" fontId="0" fillId="0" borderId="6" xfId="0" applyNumberFormat="1" applyFont="1" applyBorder="1" applyAlignment="1">
      <alignment shrinkToFit="1"/>
    </xf>
    <xf numFmtId="4" fontId="0" fillId="0" borderId="0" xfId="0" applyNumberFormat="1" applyFont="1" applyBorder="1"/>
    <xf numFmtId="0" fontId="29" fillId="0" borderId="0" xfId="0" applyFont="1" applyAlignment="1">
      <alignment vertical="center"/>
    </xf>
    <xf numFmtId="4" fontId="4" fillId="0" borderId="19" xfId="0" applyNumberFormat="1" applyFont="1" applyBorder="1" applyAlignment="1">
      <alignment vertical="center"/>
    </xf>
    <xf numFmtId="4" fontId="7" fillId="3" borderId="6" xfId="0" applyNumberFormat="1" applyFont="1" applyFill="1" applyBorder="1" applyAlignment="1">
      <alignment vertical="center"/>
    </xf>
    <xf numFmtId="0" fontId="0" fillId="3" borderId="6" xfId="0" applyFont="1" applyFill="1" applyBorder="1" applyAlignment="1">
      <alignment vertical="center"/>
    </xf>
    <xf numFmtId="4" fontId="0" fillId="0" borderId="6" xfId="0" applyNumberFormat="1" applyFont="1" applyBorder="1" applyAlignment="1">
      <alignment horizontal="right" vertical="center"/>
    </xf>
    <xf numFmtId="0" fontId="3" fillId="3" borderId="13" xfId="0" applyFont="1" applyFill="1" applyBorder="1"/>
    <xf numFmtId="0" fontId="3" fillId="3" borderId="6" xfId="0" applyFont="1" applyFill="1" applyBorder="1" applyAlignment="1">
      <alignment wrapText="1"/>
    </xf>
    <xf numFmtId="0" fontId="3" fillId="0" borderId="0" xfId="0" applyFont="1" applyAlignment="1">
      <alignment vertical="center"/>
    </xf>
    <xf numFmtId="0" fontId="0" fillId="0" borderId="6" xfId="0" applyFont="1" applyBorder="1" applyAlignment="1">
      <alignment vertical="center"/>
    </xf>
    <xf numFmtId="4" fontId="3" fillId="0" borderId="6" xfId="0" applyNumberFormat="1" applyFont="1" applyBorder="1" applyAlignment="1">
      <alignment vertical="center"/>
    </xf>
    <xf numFmtId="0" fontId="30" fillId="3" borderId="20" xfId="0" applyFont="1" applyFill="1" applyBorder="1"/>
    <xf numFmtId="0" fontId="30" fillId="3" borderId="7" xfId="0" applyFont="1" applyFill="1" applyBorder="1"/>
    <xf numFmtId="4" fontId="4" fillId="3" borderId="8" xfId="0" applyNumberFormat="1" applyFont="1" applyFill="1" applyBorder="1"/>
    <xf numFmtId="4" fontId="3" fillId="0" borderId="7" xfId="0" applyNumberFormat="1" applyFont="1" applyBorder="1" applyAlignment="1">
      <alignment shrinkToFit="1"/>
    </xf>
    <xf numFmtId="4" fontId="0" fillId="0" borderId="7" xfId="0" applyNumberFormat="1" applyFont="1" applyBorder="1" applyAlignment="1">
      <alignment shrinkToFit="1"/>
    </xf>
    <xf numFmtId="4" fontId="0" fillId="0" borderId="11" xfId="0" applyNumberFormat="1" applyFont="1" applyBorder="1" applyAlignment="1">
      <alignment vertical="center"/>
    </xf>
    <xf numFmtId="0" fontId="30" fillId="3" borderId="17" xfId="0" applyFont="1" applyFill="1" applyBorder="1"/>
    <xf numFmtId="0" fontId="5" fillId="3" borderId="2" xfId="0" applyFont="1" applyFill="1" applyBorder="1"/>
    <xf numFmtId="4" fontId="24" fillId="3" borderId="2" xfId="0" applyNumberFormat="1" applyFont="1" applyFill="1" applyBorder="1"/>
    <xf numFmtId="0" fontId="30" fillId="3" borderId="14" xfId="0" applyFont="1" applyFill="1" applyBorder="1" applyAlignment="1">
      <alignment vertical="center" wrapText="1"/>
    </xf>
    <xf numFmtId="4" fontId="4" fillId="0" borderId="18" xfId="0" applyNumberFormat="1" applyFont="1" applyBorder="1" applyAlignment="1">
      <alignment vertical="center"/>
    </xf>
    <xf numFmtId="4" fontId="4" fillId="0" borderId="14" xfId="0" applyNumberFormat="1" applyFont="1" applyBorder="1" applyAlignment="1">
      <alignment vertical="center"/>
    </xf>
    <xf numFmtId="4" fontId="4" fillId="0" borderId="5" xfId="0" applyNumberFormat="1" applyFont="1" applyBorder="1" applyAlignment="1">
      <alignment vertical="center"/>
    </xf>
    <xf numFmtId="4" fontId="4" fillId="3" borderId="21" xfId="0" applyNumberFormat="1" applyFont="1" applyFill="1" applyBorder="1" applyAlignment="1">
      <alignment vertical="center"/>
    </xf>
    <xf numFmtId="4" fontId="4" fillId="3" borderId="13" xfId="0" applyNumberFormat="1" applyFont="1" applyFill="1" applyBorder="1" applyAlignment="1">
      <alignment vertical="center"/>
    </xf>
    <xf numFmtId="0" fontId="3" fillId="3" borderId="20" xfId="0" applyFont="1" applyFill="1" applyBorder="1" applyAlignment="1">
      <alignment vertical="center"/>
    </xf>
    <xf numFmtId="4" fontId="0" fillId="0" borderId="21" xfId="0" applyNumberFormat="1" applyFont="1" applyBorder="1" applyAlignment="1">
      <alignment vertical="center"/>
    </xf>
    <xf numFmtId="4" fontId="0" fillId="0" borderId="13" xfId="0" applyNumberFormat="1" applyFont="1" applyBorder="1" applyAlignment="1">
      <alignment vertical="center"/>
    </xf>
    <xf numFmtId="4" fontId="3" fillId="0" borderId="6" xfId="0" applyNumberFormat="1" applyFont="1" applyFill="1" applyBorder="1" applyAlignment="1">
      <alignment vertical="center"/>
    </xf>
    <xf numFmtId="4" fontId="3" fillId="3" borderId="6" xfId="0" applyNumberFormat="1" applyFont="1" applyFill="1" applyBorder="1" applyAlignment="1">
      <alignment vertical="center"/>
    </xf>
    <xf numFmtId="4" fontId="4" fillId="0" borderId="21" xfId="0" applyNumberFormat="1" applyFont="1" applyBorder="1" applyAlignment="1">
      <alignment vertical="center"/>
    </xf>
    <xf numFmtId="4" fontId="4" fillId="0" borderId="13" xfId="0" applyNumberFormat="1" applyFont="1" applyBorder="1" applyAlignment="1">
      <alignment vertical="center"/>
    </xf>
    <xf numFmtId="0" fontId="30" fillId="3" borderId="13" xfId="0" applyFont="1" applyFill="1" applyBorder="1" applyAlignment="1">
      <alignment vertical="center" wrapText="1"/>
    </xf>
    <xf numFmtId="0" fontId="30" fillId="3" borderId="20" xfId="0" applyFont="1" applyFill="1" applyBorder="1" applyAlignment="1">
      <alignment vertical="center"/>
    </xf>
    <xf numFmtId="4" fontId="0" fillId="0" borderId="22" xfId="0" applyNumberFormat="1" applyFont="1" applyBorder="1" applyAlignment="1">
      <alignment vertical="center"/>
    </xf>
    <xf numFmtId="4" fontId="0" fillId="0" borderId="20" xfId="0" applyNumberFormat="1" applyFont="1" applyBorder="1" applyAlignment="1">
      <alignment vertical="center"/>
    </xf>
    <xf numFmtId="0" fontId="30" fillId="3" borderId="7" xfId="0" applyFont="1" applyFill="1" applyBorder="1" applyAlignment="1">
      <alignment vertical="center"/>
    </xf>
    <xf numFmtId="4" fontId="4" fillId="3" borderId="11" xfId="0" applyNumberFormat="1" applyFont="1" applyFill="1" applyBorder="1" applyAlignment="1">
      <alignment vertical="center"/>
    </xf>
    <xf numFmtId="0" fontId="30" fillId="3" borderId="2" xfId="0" applyFont="1" applyFill="1" applyBorder="1"/>
    <xf numFmtId="4" fontId="24" fillId="3" borderId="17" xfId="0" applyNumberFormat="1" applyFont="1" applyFill="1" applyBorder="1"/>
    <xf numFmtId="0" fontId="30" fillId="3" borderId="4" xfId="0" applyFont="1" applyFill="1" applyBorder="1"/>
    <xf numFmtId="4" fontId="4" fillId="3" borderId="4" xfId="0" applyNumberFormat="1" applyFont="1" applyFill="1" applyBorder="1"/>
    <xf numFmtId="4" fontId="4" fillId="3" borderId="14" xfId="0" applyNumberFormat="1" applyFont="1" applyFill="1" applyBorder="1"/>
    <xf numFmtId="0" fontId="0" fillId="3" borderId="4" xfId="0" applyFont="1" applyFill="1" applyBorder="1"/>
    <xf numFmtId="4" fontId="0" fillId="3" borderId="4" xfId="0" applyNumberFormat="1" applyFont="1" applyFill="1" applyBorder="1"/>
    <xf numFmtId="4" fontId="0" fillId="3" borderId="14" xfId="0" applyNumberFormat="1" applyFont="1" applyFill="1" applyBorder="1"/>
    <xf numFmtId="0" fontId="30" fillId="3" borderId="4" xfId="0" applyFont="1" applyFill="1" applyBorder="1" applyAlignment="1">
      <alignment vertical="center" wrapText="1"/>
    </xf>
    <xf numFmtId="4" fontId="4" fillId="3" borderId="4" xfId="0" applyNumberFormat="1" applyFont="1" applyFill="1" applyBorder="1" applyAlignment="1">
      <alignment vertical="center"/>
    </xf>
    <xf numFmtId="4" fontId="4" fillId="0" borderId="4" xfId="0" applyNumberFormat="1" applyFont="1" applyFill="1" applyBorder="1" applyAlignment="1">
      <alignment vertical="center"/>
    </xf>
    <xf numFmtId="4" fontId="0" fillId="0" borderId="13" xfId="0" applyNumberFormat="1" applyFont="1" applyFill="1" applyBorder="1" applyAlignment="1">
      <alignment vertical="center"/>
    </xf>
    <xf numFmtId="4" fontId="0" fillId="3" borderId="13" xfId="0" applyNumberFormat="1" applyFont="1" applyFill="1" applyBorder="1" applyAlignment="1">
      <alignment vertical="center"/>
    </xf>
    <xf numFmtId="0" fontId="3" fillId="0" borderId="7" xfId="0" applyFont="1" applyBorder="1" applyAlignment="1">
      <alignment vertical="center"/>
    </xf>
    <xf numFmtId="4" fontId="0" fillId="3" borderId="7" xfId="0" applyNumberFormat="1" applyFont="1" applyFill="1" applyBorder="1" applyAlignment="1">
      <alignment vertical="center"/>
    </xf>
    <xf numFmtId="4" fontId="0" fillId="3" borderId="20" xfId="0" applyNumberFormat="1" applyFont="1" applyFill="1" applyBorder="1" applyAlignment="1">
      <alignment vertical="center"/>
    </xf>
    <xf numFmtId="0" fontId="30" fillId="0" borderId="7" xfId="0" applyFont="1" applyBorder="1" applyAlignment="1">
      <alignment vertical="center"/>
    </xf>
    <xf numFmtId="4" fontId="3" fillId="0" borderId="7" xfId="0" applyNumberFormat="1" applyFont="1" applyBorder="1" applyAlignment="1">
      <alignment vertical="center"/>
    </xf>
    <xf numFmtId="4" fontId="3" fillId="0" borderId="20" xfId="0" applyNumberFormat="1" applyFont="1" applyBorder="1" applyAlignment="1">
      <alignment vertical="center"/>
    </xf>
    <xf numFmtId="4" fontId="3" fillId="0" borderId="13" xfId="0" applyNumberFormat="1" applyFont="1" applyBorder="1" applyAlignment="1">
      <alignment vertical="center"/>
    </xf>
    <xf numFmtId="0" fontId="4" fillId="0" borderId="6" xfId="0" applyFont="1" applyBorder="1" applyAlignment="1">
      <alignment vertical="center" wrapText="1"/>
    </xf>
    <xf numFmtId="0" fontId="11" fillId="3" borderId="6" xfId="0" applyFont="1" applyFill="1" applyBorder="1" applyAlignment="1">
      <alignment horizontal="right" vertical="center"/>
    </xf>
    <xf numFmtId="4" fontId="4" fillId="0" borderId="13" xfId="0" applyNumberFormat="1" applyFont="1" applyBorder="1"/>
    <xf numFmtId="4" fontId="0" fillId="0" borderId="13" xfId="0" applyNumberFormat="1" applyFont="1" applyBorder="1"/>
    <xf numFmtId="0" fontId="30" fillId="0" borderId="13" xfId="0" applyFont="1" applyBorder="1" applyAlignment="1">
      <alignment vertical="center" wrapText="1"/>
    </xf>
    <xf numFmtId="4" fontId="4" fillId="0" borderId="6" xfId="2" applyNumberFormat="1" applyFont="1" applyFill="1" applyBorder="1" applyAlignment="1" applyProtection="1">
      <alignment vertical="center"/>
    </xf>
    <xf numFmtId="4" fontId="4" fillId="0" borderId="13" xfId="2" applyNumberFormat="1" applyFont="1" applyFill="1" applyBorder="1" applyAlignment="1" applyProtection="1">
      <alignment vertical="center"/>
    </xf>
    <xf numFmtId="0" fontId="3" fillId="0" borderId="7" xfId="0" applyFont="1" applyFill="1" applyBorder="1" applyAlignment="1">
      <alignment vertical="center"/>
    </xf>
    <xf numFmtId="4" fontId="0" fillId="3" borderId="7" xfId="0" applyNumberFormat="1" applyFont="1" applyFill="1" applyBorder="1"/>
    <xf numFmtId="0" fontId="3" fillId="3" borderId="7" xfId="0" applyFont="1" applyFill="1" applyBorder="1" applyAlignment="1">
      <alignment vertical="center"/>
    </xf>
    <xf numFmtId="4" fontId="3" fillId="3" borderId="7" xfId="0" applyNumberFormat="1" applyFont="1" applyFill="1" applyBorder="1" applyAlignment="1">
      <alignment vertical="center"/>
    </xf>
    <xf numFmtId="4" fontId="3" fillId="3" borderId="20" xfId="0" applyNumberFormat="1" applyFont="1" applyFill="1" applyBorder="1" applyAlignment="1">
      <alignment vertical="center"/>
    </xf>
    <xf numFmtId="4" fontId="4" fillId="3" borderId="6" xfId="2" applyNumberFormat="1" applyFont="1" applyFill="1" applyBorder="1" applyAlignment="1" applyProtection="1">
      <alignment vertical="center"/>
    </xf>
    <xf numFmtId="4" fontId="4" fillId="3" borderId="13" xfId="2" applyNumberFormat="1" applyFont="1" applyFill="1" applyBorder="1" applyAlignment="1" applyProtection="1">
      <alignment vertical="center"/>
    </xf>
    <xf numFmtId="0" fontId="0" fillId="3" borderId="7" xfId="0" applyFont="1" applyFill="1" applyBorder="1" applyAlignment="1">
      <alignment vertical="center"/>
    </xf>
    <xf numFmtId="0" fontId="0" fillId="3" borderId="7" xfId="0" applyFont="1" applyFill="1" applyBorder="1" applyAlignment="1">
      <alignment vertical="center" wrapText="1"/>
    </xf>
    <xf numFmtId="4" fontId="0" fillId="3" borderId="6" xfId="0" applyNumberFormat="1" applyFont="1" applyFill="1" applyBorder="1"/>
    <xf numFmtId="0" fontId="30" fillId="3" borderId="8" xfId="0" applyFont="1" applyFill="1" applyBorder="1" applyAlignment="1">
      <alignment vertical="center"/>
    </xf>
    <xf numFmtId="0" fontId="3" fillId="3" borderId="7" xfId="0" applyFont="1" applyFill="1" applyBorder="1" applyAlignment="1">
      <alignment vertical="center" wrapText="1"/>
    </xf>
    <xf numFmtId="4" fontId="30" fillId="3" borderId="8" xfId="0" applyNumberFormat="1" applyFont="1" applyFill="1" applyBorder="1"/>
    <xf numFmtId="4" fontId="4" fillId="0" borderId="8" xfId="0" applyNumberFormat="1" applyFont="1" applyBorder="1" applyAlignment="1">
      <alignment vertical="center"/>
    </xf>
    <xf numFmtId="4" fontId="0" fillId="0" borderId="16" xfId="0" applyNumberFormat="1" applyFont="1" applyBorder="1" applyAlignment="1">
      <alignment vertical="center"/>
    </xf>
    <xf numFmtId="0" fontId="21" fillId="3" borderId="17" xfId="0" applyFont="1" applyFill="1" applyBorder="1"/>
    <xf numFmtId="4" fontId="6" fillId="3" borderId="2" xfId="0" applyNumberFormat="1" applyFont="1" applyFill="1" applyBorder="1" applyAlignment="1">
      <alignment vertical="center" shrinkToFit="1"/>
    </xf>
    <xf numFmtId="0" fontId="30" fillId="3" borderId="23" xfId="0" applyFont="1" applyFill="1" applyBorder="1"/>
    <xf numFmtId="0" fontId="5" fillId="3" borderId="9" xfId="0" applyFont="1" applyFill="1" applyBorder="1"/>
    <xf numFmtId="4" fontId="3" fillId="3" borderId="2" xfId="0" applyNumberFormat="1" applyFont="1" applyFill="1" applyBorder="1" applyAlignment="1">
      <alignment vertical="center"/>
    </xf>
    <xf numFmtId="4" fontId="0" fillId="3" borderId="2" xfId="0" applyNumberFormat="1" applyFont="1" applyFill="1" applyBorder="1" applyAlignment="1">
      <alignment vertical="center"/>
    </xf>
    <xf numFmtId="4" fontId="0" fillId="0" borderId="2" xfId="0" applyNumberFormat="1" applyFont="1" applyBorder="1" applyAlignment="1">
      <alignment vertical="center"/>
    </xf>
    <xf numFmtId="4" fontId="5" fillId="3" borderId="2" xfId="0" applyNumberFormat="1" applyFont="1" applyFill="1" applyBorder="1" applyAlignment="1">
      <alignment shrinkToFit="1"/>
    </xf>
    <xf numFmtId="0" fontId="30" fillId="3" borderId="12" xfId="0" applyFont="1" applyFill="1" applyBorder="1" applyAlignment="1">
      <alignment horizontal="left" vertical="center" wrapText="1"/>
    </xf>
    <xf numFmtId="4" fontId="30" fillId="3" borderId="5" xfId="0" applyNumberFormat="1" applyFont="1" applyFill="1" applyBorder="1" applyAlignment="1">
      <alignment vertical="center"/>
    </xf>
    <xf numFmtId="0" fontId="30" fillId="0" borderId="14" xfId="0" applyFont="1" applyFill="1" applyBorder="1" applyAlignment="1">
      <alignment vertical="center"/>
    </xf>
    <xf numFmtId="0" fontId="30" fillId="0" borderId="14" xfId="0" applyFont="1" applyFill="1" applyBorder="1" applyAlignment="1">
      <alignment horizontal="left" vertical="center" wrapText="1"/>
    </xf>
    <xf numFmtId="4" fontId="30" fillId="3" borderId="4" xfId="0" applyNumberFormat="1" applyFont="1" applyFill="1" applyBorder="1" applyAlignment="1">
      <alignment vertical="center"/>
    </xf>
    <xf numFmtId="0" fontId="4" fillId="3" borderId="13" xfId="0" applyFont="1" applyFill="1" applyBorder="1" applyAlignment="1">
      <alignment vertical="center"/>
    </xf>
    <xf numFmtId="0" fontId="4" fillId="3" borderId="13" xfId="0" applyFont="1" applyFill="1" applyBorder="1" applyAlignment="1">
      <alignment vertical="center" wrapText="1"/>
    </xf>
    <xf numFmtId="0" fontId="36" fillId="0" borderId="0" xfId="0" applyFont="1" applyBorder="1"/>
    <xf numFmtId="0" fontId="0" fillId="3" borderId="13" xfId="0" applyFont="1" applyFill="1" applyBorder="1" applyAlignment="1">
      <alignment vertical="center" wrapText="1"/>
    </xf>
    <xf numFmtId="0" fontId="37" fillId="0" borderId="0" xfId="0" applyFont="1" applyBorder="1"/>
    <xf numFmtId="0" fontId="3" fillId="3" borderId="23" xfId="0" applyFont="1" applyFill="1" applyBorder="1" applyAlignment="1">
      <alignment vertical="center"/>
    </xf>
    <xf numFmtId="164" fontId="3" fillId="3" borderId="9" xfId="0" applyNumberFormat="1" applyFont="1" applyFill="1" applyBorder="1" applyAlignment="1">
      <alignment vertical="center"/>
    </xf>
    <xf numFmtId="4" fontId="0" fillId="3" borderId="8" xfId="0" applyNumberFormat="1" applyFont="1" applyFill="1" applyBorder="1" applyAlignment="1">
      <alignment vertical="center"/>
    </xf>
    <xf numFmtId="4" fontId="0" fillId="0" borderId="8" xfId="0" applyNumberFormat="1" applyFont="1" applyBorder="1" applyAlignment="1">
      <alignment vertical="center"/>
    </xf>
    <xf numFmtId="0" fontId="36" fillId="3" borderId="17" xfId="0" applyFont="1" applyFill="1" applyBorder="1"/>
    <xf numFmtId="4" fontId="21" fillId="3" borderId="2" xfId="0" applyNumberFormat="1" applyFont="1" applyFill="1" applyBorder="1" applyAlignment="1">
      <alignment shrinkToFit="1"/>
    </xf>
    <xf numFmtId="0" fontId="28" fillId="0" borderId="0" xfId="0" applyFont="1"/>
    <xf numFmtId="0" fontId="36" fillId="3" borderId="3" xfId="0" applyFont="1" applyFill="1" applyBorder="1"/>
    <xf numFmtId="0" fontId="20" fillId="3" borderId="3" xfId="0" applyFont="1" applyFill="1" applyBorder="1"/>
    <xf numFmtId="164" fontId="20" fillId="3" borderId="3" xfId="0" applyNumberFormat="1" applyFont="1" applyFill="1" applyBorder="1" applyAlignment="1">
      <alignment shrinkToFit="1"/>
    </xf>
    <xf numFmtId="4" fontId="0" fillId="3" borderId="3" xfId="0" applyNumberFormat="1" applyFont="1" applyFill="1" applyBorder="1" applyAlignment="1">
      <alignment vertical="center"/>
    </xf>
    <xf numFmtId="4" fontId="0" fillId="0" borderId="3" xfId="0" applyNumberFormat="1" applyFont="1" applyBorder="1" applyAlignment="1">
      <alignment vertical="center"/>
    </xf>
    <xf numFmtId="0" fontId="5" fillId="0" borderId="0" xfId="0" applyFont="1"/>
    <xf numFmtId="0" fontId="3" fillId="3" borderId="17" xfId="0" applyFont="1" applyFill="1" applyBorder="1"/>
    <xf numFmtId="0" fontId="28" fillId="3" borderId="17" xfId="0" applyFont="1" applyFill="1" applyBorder="1"/>
    <xf numFmtId="4" fontId="6" fillId="3" borderId="2" xfId="0" applyNumberFormat="1" applyFont="1" applyFill="1" applyBorder="1"/>
    <xf numFmtId="0" fontId="5" fillId="3" borderId="2" xfId="0" applyFont="1" applyFill="1" applyBorder="1" applyAlignment="1">
      <alignment vertical="center"/>
    </xf>
    <xf numFmtId="4" fontId="5" fillId="3" borderId="2" xfId="0" applyNumberFormat="1" applyFont="1" applyFill="1" applyBorder="1" applyAlignment="1">
      <alignment vertical="center"/>
    </xf>
    <xf numFmtId="0" fontId="30" fillId="3" borderId="5" xfId="0" applyFont="1" applyFill="1" applyBorder="1" applyAlignment="1">
      <alignment vertical="center"/>
    </xf>
    <xf numFmtId="4" fontId="4" fillId="3" borderId="10" xfId="0" applyNumberFormat="1" applyFont="1" applyFill="1" applyBorder="1" applyAlignment="1">
      <alignment vertical="center"/>
    </xf>
    <xf numFmtId="0" fontId="38" fillId="3" borderId="6" xfId="0" applyFont="1" applyFill="1" applyBorder="1" applyAlignment="1">
      <alignment vertical="center"/>
    </xf>
    <xf numFmtId="4" fontId="0" fillId="3" borderId="6" xfId="0" applyNumberFormat="1" applyFont="1" applyFill="1" applyBorder="1" applyAlignment="1">
      <alignment horizontal="right" vertical="center"/>
    </xf>
    <xf numFmtId="4" fontId="24" fillId="3" borderId="2" xfId="0" applyNumberFormat="1" applyFont="1" applyFill="1" applyBorder="1" applyAlignment="1">
      <alignment vertical="center"/>
    </xf>
    <xf numFmtId="0" fontId="30" fillId="3" borderId="9" xfId="0" applyFont="1" applyFill="1" applyBorder="1" applyAlignment="1">
      <alignment vertical="center"/>
    </xf>
    <xf numFmtId="0" fontId="30" fillId="3" borderId="12" xfId="0" applyFont="1" applyFill="1" applyBorder="1" applyAlignment="1">
      <alignment vertical="center"/>
    </xf>
    <xf numFmtId="0" fontId="0" fillId="3" borderId="14" xfId="0" applyFont="1" applyFill="1" applyBorder="1" applyAlignment="1">
      <alignment vertical="center"/>
    </xf>
    <xf numFmtId="0" fontId="3" fillId="3" borderId="14" xfId="0" applyFont="1" applyFill="1" applyBorder="1" applyAlignment="1">
      <alignment vertical="center"/>
    </xf>
    <xf numFmtId="0" fontId="30" fillId="3" borderId="23" xfId="0" applyFont="1" applyFill="1" applyBorder="1" applyAlignment="1">
      <alignment vertical="center"/>
    </xf>
    <xf numFmtId="0" fontId="8" fillId="3" borderId="6" xfId="0" applyFont="1" applyFill="1" applyBorder="1" applyAlignment="1">
      <alignment vertical="center"/>
    </xf>
    <xf numFmtId="0" fontId="8" fillId="3" borderId="11" xfId="0" applyFont="1" applyFill="1" applyBorder="1" applyAlignment="1">
      <alignment vertical="center"/>
    </xf>
    <xf numFmtId="0" fontId="3" fillId="3" borderId="15" xfId="0" applyFont="1" applyFill="1" applyBorder="1" applyAlignment="1">
      <alignment vertical="center"/>
    </xf>
    <xf numFmtId="4" fontId="0" fillId="3" borderId="11" xfId="0" applyNumberFormat="1" applyFont="1" applyFill="1" applyBorder="1" applyAlignment="1">
      <alignment vertical="center"/>
    </xf>
    <xf numFmtId="4" fontId="0" fillId="0" borderId="7" xfId="0" applyNumberFormat="1" applyFont="1" applyBorder="1" applyAlignment="1">
      <alignment vertical="center"/>
    </xf>
    <xf numFmtId="4" fontId="39" fillId="0" borderId="4" xfId="0" applyNumberFormat="1" applyFont="1" applyBorder="1" applyAlignment="1">
      <alignment vertical="center"/>
    </xf>
    <xf numFmtId="0" fontId="8" fillId="3" borderId="9" xfId="0" applyFont="1" applyFill="1" applyBorder="1" applyAlignment="1">
      <alignment vertical="center"/>
    </xf>
    <xf numFmtId="0" fontId="8" fillId="3" borderId="7" xfId="0" applyFont="1" applyFill="1" applyBorder="1" applyAlignment="1">
      <alignment vertical="center"/>
    </xf>
    <xf numFmtId="4" fontId="40" fillId="3" borderId="2" xfId="0" applyNumberFormat="1" applyFont="1" applyFill="1" applyBorder="1"/>
    <xf numFmtId="0" fontId="0" fillId="3" borderId="6" xfId="0" applyFont="1" applyFill="1" applyBorder="1" applyAlignment="1">
      <alignment horizontal="left" vertical="center"/>
    </xf>
    <xf numFmtId="0" fontId="0" fillId="3" borderId="4" xfId="0" applyFont="1" applyFill="1" applyBorder="1" applyAlignment="1">
      <alignment horizontal="left" vertical="center"/>
    </xf>
    <xf numFmtId="0" fontId="8" fillId="3" borderId="4" xfId="0" applyFont="1" applyFill="1" applyBorder="1" applyAlignment="1">
      <alignment vertical="center"/>
    </xf>
    <xf numFmtId="0" fontId="3" fillId="3" borderId="4" xfId="0" applyFont="1" applyFill="1" applyBorder="1" applyAlignment="1">
      <alignment vertical="center"/>
    </xf>
    <xf numFmtId="0" fontId="4" fillId="3" borderId="6" xfId="0" applyFont="1" applyFill="1" applyBorder="1" applyAlignment="1">
      <alignment vertical="center"/>
    </xf>
    <xf numFmtId="4" fontId="0" fillId="3" borderId="21" xfId="0" applyNumberFormat="1" applyFont="1" applyFill="1" applyBorder="1" applyAlignment="1">
      <alignment vertical="center"/>
    </xf>
    <xf numFmtId="4" fontId="0" fillId="0" borderId="21" xfId="0" applyNumberFormat="1" applyFont="1" applyFill="1" applyBorder="1" applyAlignment="1">
      <alignment vertical="center"/>
    </xf>
    <xf numFmtId="0" fontId="3" fillId="3" borderId="9" xfId="0" applyFont="1" applyFill="1" applyBorder="1" applyAlignment="1">
      <alignment vertical="center"/>
    </xf>
    <xf numFmtId="4" fontId="0" fillId="0" borderId="22" xfId="0" applyNumberFormat="1" applyFont="1" applyFill="1" applyBorder="1" applyAlignment="1">
      <alignment vertical="center"/>
    </xf>
    <xf numFmtId="0" fontId="41" fillId="0" borderId="17" xfId="0" applyFont="1" applyBorder="1" applyAlignment="1">
      <alignment vertical="center"/>
    </xf>
    <xf numFmtId="0" fontId="42" fillId="0" borderId="2" xfId="0" applyFont="1" applyBorder="1" applyAlignment="1">
      <alignment vertical="center"/>
    </xf>
    <xf numFmtId="4" fontId="42" fillId="0" borderId="3" xfId="0" applyNumberFormat="1" applyFont="1" applyBorder="1" applyAlignment="1">
      <alignment vertical="center"/>
    </xf>
    <xf numFmtId="4" fontId="42" fillId="0" borderId="17" xfId="0" applyNumberFormat="1" applyFont="1" applyBorder="1" applyAlignment="1">
      <alignment vertical="center"/>
    </xf>
    <xf numFmtId="4" fontId="42" fillId="0" borderId="2" xfId="0" applyNumberFormat="1" applyFont="1" applyBorder="1" applyAlignment="1">
      <alignment vertical="center"/>
    </xf>
    <xf numFmtId="4" fontId="43" fillId="0" borderId="2" xfId="0" applyNumberFormat="1" applyFont="1" applyBorder="1" applyAlignment="1">
      <alignment vertical="center"/>
    </xf>
    <xf numFmtId="0" fontId="44" fillId="0" borderId="17" xfId="0" applyFont="1" applyBorder="1" applyAlignment="1">
      <alignment vertical="center"/>
    </xf>
    <xf numFmtId="0" fontId="45" fillId="0" borderId="2" xfId="0" applyFont="1" applyBorder="1" applyAlignment="1">
      <alignment vertical="center"/>
    </xf>
    <xf numFmtId="4" fontId="45" fillId="0" borderId="24" xfId="0" applyNumberFormat="1" applyFont="1" applyBorder="1" applyAlignment="1">
      <alignment vertical="center"/>
    </xf>
    <xf numFmtId="4" fontId="45" fillId="0" borderId="25" xfId="0" applyNumberFormat="1" applyFont="1" applyBorder="1" applyAlignment="1">
      <alignment vertical="center"/>
    </xf>
    <xf numFmtId="4" fontId="45" fillId="0" borderId="2" xfId="0" applyNumberFormat="1" applyFont="1" applyBorder="1" applyAlignment="1">
      <alignment vertical="center"/>
    </xf>
    <xf numFmtId="4" fontId="45" fillId="0" borderId="3" xfId="0" applyNumberFormat="1" applyFont="1" applyBorder="1" applyAlignment="1">
      <alignment vertical="center"/>
    </xf>
    <xf numFmtId="0" fontId="44" fillId="0" borderId="12" xfId="0" applyFont="1" applyBorder="1" applyAlignment="1">
      <alignment vertical="center"/>
    </xf>
    <xf numFmtId="0" fontId="44" fillId="0" borderId="5" xfId="0" applyFont="1" applyBorder="1" applyAlignment="1">
      <alignment vertical="center"/>
    </xf>
    <xf numFmtId="4" fontId="44" fillId="0" borderId="26" xfId="0" applyNumberFormat="1" applyFont="1" applyBorder="1" applyAlignment="1">
      <alignment vertical="center"/>
    </xf>
    <xf numFmtId="4" fontId="44" fillId="0" borderId="27" xfId="0" applyNumberFormat="1" applyFont="1" applyBorder="1" applyAlignment="1">
      <alignment vertical="center"/>
    </xf>
    <xf numFmtId="4" fontId="44" fillId="0" borderId="5" xfId="0" applyNumberFormat="1" applyFont="1" applyBorder="1" applyAlignment="1">
      <alignment vertical="center"/>
    </xf>
    <xf numFmtId="4" fontId="44" fillId="0" borderId="28" xfId="0" applyNumberFormat="1" applyFont="1" applyBorder="1" applyAlignment="1">
      <alignment vertical="center"/>
    </xf>
    <xf numFmtId="0" fontId="41" fillId="0" borderId="13" xfId="0" applyFont="1" applyBorder="1" applyAlignment="1">
      <alignment vertical="center"/>
    </xf>
    <xf numFmtId="4" fontId="0" fillId="0" borderId="29" xfId="0" applyNumberFormat="1" applyBorder="1" applyAlignment="1">
      <alignment vertical="center"/>
    </xf>
    <xf numFmtId="4" fontId="0" fillId="0" borderId="30" xfId="0" applyNumberFormat="1" applyBorder="1" applyAlignment="1">
      <alignment vertical="center"/>
    </xf>
    <xf numFmtId="4" fontId="0" fillId="0" borderId="6" xfId="0" applyNumberFormat="1" applyBorder="1" applyAlignment="1">
      <alignment vertical="center"/>
    </xf>
    <xf numFmtId="4" fontId="0" fillId="0" borderId="19" xfId="0" applyNumberFormat="1" applyBorder="1" applyAlignment="1">
      <alignment vertical="center"/>
    </xf>
    <xf numFmtId="4" fontId="0" fillId="0" borderId="31" xfId="0" applyNumberFormat="1" applyBorder="1" applyAlignment="1">
      <alignment vertical="center"/>
    </xf>
    <xf numFmtId="4" fontId="0" fillId="0" borderId="32" xfId="0" applyNumberFormat="1" applyBorder="1" applyAlignment="1">
      <alignment vertical="center"/>
    </xf>
    <xf numFmtId="0" fontId="44" fillId="0" borderId="13" xfId="0" applyFont="1" applyBorder="1" applyAlignment="1">
      <alignment vertical="center"/>
    </xf>
    <xf numFmtId="0" fontId="44" fillId="0" borderId="6" xfId="0" applyFont="1" applyBorder="1" applyAlignment="1">
      <alignment vertical="center"/>
    </xf>
    <xf numFmtId="4" fontId="44" fillId="0" borderId="29" xfId="0" applyNumberFormat="1" applyFont="1" applyBorder="1" applyAlignment="1">
      <alignment vertical="center"/>
    </xf>
    <xf numFmtId="4" fontId="44" fillId="0" borderId="33" xfId="0" applyNumberFormat="1" applyFont="1" applyBorder="1" applyAlignment="1">
      <alignment vertical="center"/>
    </xf>
    <xf numFmtId="4" fontId="44" fillId="0" borderId="6" xfId="0" applyNumberFormat="1" applyFont="1" applyBorder="1" applyAlignment="1">
      <alignment vertical="center"/>
    </xf>
    <xf numFmtId="4" fontId="44" fillId="0" borderId="34" xfId="0" applyNumberFormat="1" applyFont="1" applyBorder="1" applyAlignment="1">
      <alignment vertical="center"/>
    </xf>
    <xf numFmtId="4" fontId="44" fillId="0" borderId="4" xfId="0" applyNumberFormat="1" applyFont="1" applyBorder="1" applyAlignment="1">
      <alignment vertical="center"/>
    </xf>
    <xf numFmtId="4" fontId="0" fillId="0" borderId="35" xfId="0" applyNumberFormat="1" applyBorder="1" applyAlignment="1">
      <alignment vertical="center"/>
    </xf>
    <xf numFmtId="4" fontId="0" fillId="0" borderId="33" xfId="0" applyNumberFormat="1" applyBorder="1" applyAlignment="1">
      <alignment vertical="center"/>
    </xf>
    <xf numFmtId="4" fontId="0" fillId="0" borderId="34" xfId="0" applyNumberFormat="1" applyBorder="1" applyAlignment="1">
      <alignment vertical="center"/>
    </xf>
    <xf numFmtId="0" fontId="0" fillId="0" borderId="4" xfId="0" applyFont="1" applyBorder="1" applyAlignment="1">
      <alignment vertical="center"/>
    </xf>
    <xf numFmtId="4" fontId="0" fillId="0" borderId="4" xfId="0" applyNumberFormat="1" applyBorder="1" applyAlignment="1">
      <alignment vertical="center"/>
    </xf>
    <xf numFmtId="0" fontId="41" fillId="0" borderId="20" xfId="0" applyFont="1" applyBorder="1" applyAlignment="1">
      <alignment vertical="center"/>
    </xf>
    <xf numFmtId="0" fontId="0" fillId="0" borderId="9" xfId="0" applyFont="1" applyBorder="1" applyAlignment="1">
      <alignment vertical="center"/>
    </xf>
    <xf numFmtId="4" fontId="0" fillId="0" borderId="36" xfId="0" applyNumberFormat="1" applyBorder="1" applyAlignment="1">
      <alignment vertical="center"/>
    </xf>
    <xf numFmtId="4" fontId="0" fillId="0" borderId="37" xfId="0" applyNumberFormat="1" applyBorder="1" applyAlignment="1">
      <alignment vertical="center"/>
    </xf>
    <xf numFmtId="4" fontId="0" fillId="0" borderId="9" xfId="0" applyNumberFormat="1" applyBorder="1" applyAlignment="1">
      <alignment vertical="center"/>
    </xf>
    <xf numFmtId="4" fontId="0" fillId="0" borderId="38" xfId="0" applyNumberFormat="1" applyBorder="1" applyAlignment="1">
      <alignment vertical="center"/>
    </xf>
    <xf numFmtId="0" fontId="45" fillId="0" borderId="17" xfId="0" applyFont="1" applyBorder="1"/>
    <xf numFmtId="0" fontId="45" fillId="0" borderId="2" xfId="0" applyFont="1" applyBorder="1"/>
    <xf numFmtId="4" fontId="0" fillId="0" borderId="6" xfId="0" applyNumberFormat="1" applyFill="1" applyBorder="1" applyAlignment="1">
      <alignment vertical="center"/>
    </xf>
    <xf numFmtId="4" fontId="44" fillId="0" borderId="30" xfId="0" applyNumberFormat="1" applyFont="1" applyBorder="1" applyAlignment="1">
      <alignment vertical="center"/>
    </xf>
    <xf numFmtId="4" fontId="44" fillId="0" borderId="19" xfId="0" applyNumberFormat="1" applyFont="1" applyBorder="1" applyAlignment="1">
      <alignment vertical="center"/>
    </xf>
    <xf numFmtId="0" fontId="41" fillId="0" borderId="13" xfId="0" applyFont="1" applyFill="1" applyBorder="1" applyAlignment="1">
      <alignment vertical="center"/>
    </xf>
    <xf numFmtId="0" fontId="0" fillId="0" borderId="6" xfId="0" applyFont="1" applyFill="1" applyBorder="1" applyAlignment="1">
      <alignment vertical="center"/>
    </xf>
    <xf numFmtId="0" fontId="0" fillId="0" borderId="8" xfId="0" applyFont="1" applyBorder="1" applyAlignment="1">
      <alignment vertical="center"/>
    </xf>
    <xf numFmtId="4" fontId="0" fillId="0" borderId="39" xfId="0" applyNumberFormat="1" applyBorder="1" applyAlignment="1">
      <alignment vertical="center"/>
    </xf>
    <xf numFmtId="4" fontId="0" fillId="0" borderId="40" xfId="0" applyNumberFormat="1" applyBorder="1" applyAlignment="1">
      <alignment vertical="center"/>
    </xf>
    <xf numFmtId="4" fontId="0" fillId="0" borderId="8" xfId="0" applyNumberFormat="1" applyBorder="1" applyAlignment="1">
      <alignment vertical="center"/>
    </xf>
    <xf numFmtId="4" fontId="0" fillId="0" borderId="41" xfId="0" applyNumberFormat="1" applyBorder="1" applyAlignment="1">
      <alignment vertical="center"/>
    </xf>
    <xf numFmtId="0" fontId="11" fillId="0" borderId="6" xfId="0" applyFont="1" applyBorder="1" applyAlignment="1">
      <alignment vertical="center" wrapText="1"/>
    </xf>
    <xf numFmtId="4" fontId="45" fillId="0" borderId="24" xfId="0" applyNumberFormat="1" applyFont="1" applyBorder="1"/>
    <xf numFmtId="4" fontId="45" fillId="0" borderId="25" xfId="0" applyNumberFormat="1" applyFont="1" applyBorder="1"/>
    <xf numFmtId="4" fontId="45" fillId="0" borderId="2" xfId="0" applyNumberFormat="1" applyFont="1" applyBorder="1"/>
    <xf numFmtId="4" fontId="45" fillId="0" borderId="3" xfId="0" applyNumberFormat="1" applyFont="1" applyBorder="1"/>
    <xf numFmtId="0" fontId="0" fillId="0" borderId="7" xfId="0" applyFont="1" applyBorder="1" applyAlignment="1">
      <alignment vertical="center"/>
    </xf>
    <xf numFmtId="4" fontId="0" fillId="0" borderId="42" xfId="0" applyNumberFormat="1" applyBorder="1" applyAlignment="1">
      <alignment vertical="center"/>
    </xf>
    <xf numFmtId="4" fontId="0" fillId="0" borderId="43" xfId="0" applyNumberFormat="1" applyBorder="1" applyAlignment="1">
      <alignment vertical="center"/>
    </xf>
    <xf numFmtId="4" fontId="0" fillId="0" borderId="7" xfId="0" applyNumberFormat="1" applyBorder="1" applyAlignment="1">
      <alignment vertical="center"/>
    </xf>
    <xf numFmtId="4" fontId="0" fillId="0" borderId="44" xfId="0" applyNumberFormat="1" applyBorder="1" applyAlignment="1">
      <alignment vertical="center"/>
    </xf>
    <xf numFmtId="0" fontId="41" fillId="0" borderId="14" xfId="0" applyFont="1" applyBorder="1" applyAlignment="1">
      <alignment vertical="center"/>
    </xf>
    <xf numFmtId="4" fontId="0" fillId="0" borderId="45" xfId="0" applyNumberFormat="1" applyBorder="1" applyAlignment="1">
      <alignment vertical="center"/>
    </xf>
    <xf numFmtId="4" fontId="0" fillId="0" borderId="46" xfId="0" applyNumberFormat="1" applyBorder="1" applyAlignment="1">
      <alignment vertical="center"/>
    </xf>
    <xf numFmtId="0" fontId="41" fillId="0" borderId="16" xfId="0" applyFont="1" applyBorder="1" applyAlignment="1">
      <alignment vertical="center"/>
    </xf>
    <xf numFmtId="0" fontId="30" fillId="3" borderId="2" xfId="0" applyFont="1" applyFill="1" applyBorder="1" applyAlignment="1">
      <alignment vertical="center"/>
    </xf>
    <xf numFmtId="0" fontId="21" fillId="3" borderId="2" xfId="0" applyFont="1" applyFill="1" applyBorder="1" applyAlignment="1">
      <alignment vertical="center"/>
    </xf>
    <xf numFmtId="4" fontId="18" fillId="3" borderId="2" xfId="0" applyNumberFormat="1" applyFont="1" applyFill="1" applyBorder="1" applyAlignment="1">
      <alignment vertical="center"/>
    </xf>
    <xf numFmtId="4" fontId="4" fillId="3" borderId="4" xfId="0" applyNumberFormat="1" applyFont="1" applyFill="1" applyBorder="1" applyAlignment="1">
      <alignment vertical="center" wrapText="1"/>
    </xf>
    <xf numFmtId="4" fontId="4" fillId="0" borderId="0" xfId="0" applyNumberFormat="1" applyFont="1" applyBorder="1" applyAlignment="1">
      <alignment horizontal="right" vertical="center"/>
    </xf>
    <xf numFmtId="4" fontId="4" fillId="0" borderId="23" xfId="0" applyNumberFormat="1" applyFont="1" applyBorder="1" applyAlignment="1">
      <alignment horizontal="right" vertical="center"/>
    </xf>
    <xf numFmtId="4" fontId="4" fillId="0" borderId="19" xfId="0" applyNumberFormat="1" applyFont="1" applyBorder="1" applyAlignment="1">
      <alignment horizontal="right" vertical="center"/>
    </xf>
    <xf numFmtId="4" fontId="4" fillId="0" borderId="13" xfId="0" applyNumberFormat="1" applyFont="1" applyBorder="1" applyAlignment="1">
      <alignment horizontal="right" vertical="center"/>
    </xf>
    <xf numFmtId="0" fontId="30" fillId="3" borderId="13" xfId="0" applyFont="1" applyFill="1" applyBorder="1"/>
    <xf numFmtId="4" fontId="4" fillId="3" borderId="0" xfId="0" applyNumberFormat="1" applyFont="1" applyFill="1" applyBorder="1" applyAlignment="1">
      <alignment vertical="center"/>
    </xf>
    <xf numFmtId="4" fontId="0" fillId="3" borderId="23" xfId="0" applyNumberFormat="1" applyFont="1" applyFill="1" applyBorder="1" applyAlignment="1">
      <alignment vertical="center"/>
    </xf>
    <xf numFmtId="0" fontId="5" fillId="0" borderId="15" xfId="0" applyFont="1" applyBorder="1"/>
    <xf numFmtId="0" fontId="30" fillId="3" borderId="6" xfId="0" applyFont="1" applyFill="1" applyBorder="1"/>
    <xf numFmtId="0" fontId="4" fillId="3" borderId="6" xfId="0" applyFont="1" applyFill="1" applyBorder="1"/>
    <xf numFmtId="4" fontId="0" fillId="0" borderId="44" xfId="0" applyNumberFormat="1" applyFont="1" applyFill="1" applyBorder="1" applyAlignment="1">
      <alignment vertical="center"/>
    </xf>
    <xf numFmtId="4" fontId="0" fillId="0" borderId="20" xfId="0" applyNumberFormat="1" applyFont="1" applyFill="1" applyBorder="1" applyAlignment="1">
      <alignment vertical="center"/>
    </xf>
    <xf numFmtId="0" fontId="5" fillId="3" borderId="17" xfId="0" applyFont="1" applyFill="1" applyBorder="1"/>
    <xf numFmtId="4" fontId="29" fillId="3" borderId="2" xfId="0" applyNumberFormat="1" applyFont="1" applyFill="1" applyBorder="1" applyAlignment="1">
      <alignment vertical="center"/>
    </xf>
    <xf numFmtId="4" fontId="29" fillId="3" borderId="17" xfId="0" applyNumberFormat="1" applyFont="1" applyFill="1" applyBorder="1" applyAlignment="1">
      <alignment vertical="center"/>
    </xf>
    <xf numFmtId="0" fontId="30" fillId="3" borderId="0" xfId="0" applyFont="1" applyFill="1"/>
    <xf numFmtId="4" fontId="4" fillId="3" borderId="46" xfId="0" applyNumberFormat="1" applyFont="1" applyFill="1" applyBorder="1" applyAlignment="1">
      <alignment vertical="center"/>
    </xf>
    <xf numFmtId="4" fontId="4" fillId="3" borderId="14" xfId="0" applyNumberFormat="1" applyFont="1" applyFill="1" applyBorder="1" applyAlignment="1">
      <alignment vertical="center"/>
    </xf>
    <xf numFmtId="0" fontId="4" fillId="3" borderId="6" xfId="0" applyFont="1" applyFill="1" applyBorder="1" applyAlignment="1">
      <alignment vertical="center" wrapText="1"/>
    </xf>
    <xf numFmtId="4" fontId="4" fillId="3" borderId="19" xfId="0" applyNumberFormat="1" applyFont="1" applyFill="1" applyBorder="1" applyAlignment="1">
      <alignment vertical="center"/>
    </xf>
    <xf numFmtId="0" fontId="30" fillId="3" borderId="16" xfId="0" applyFont="1" applyFill="1" applyBorder="1"/>
    <xf numFmtId="0" fontId="30" fillId="3" borderId="8" xfId="0" applyFont="1" applyFill="1" applyBorder="1"/>
    <xf numFmtId="4" fontId="30" fillId="3" borderId="11" xfId="0" applyNumberFormat="1" applyFont="1" applyFill="1" applyBorder="1"/>
    <xf numFmtId="4" fontId="0" fillId="0" borderId="7" xfId="0" applyNumberFormat="1" applyFont="1" applyFill="1" applyBorder="1" applyAlignment="1">
      <alignment vertical="center"/>
    </xf>
    <xf numFmtId="0" fontId="5" fillId="3" borderId="17" xfId="0" applyFont="1" applyFill="1" applyBorder="1" applyAlignment="1">
      <alignment vertical="center"/>
    </xf>
    <xf numFmtId="4" fontId="29" fillId="0" borderId="2" xfId="0" applyNumberFormat="1" applyFont="1" applyFill="1" applyBorder="1" applyAlignment="1">
      <alignment vertical="center"/>
    </xf>
    <xf numFmtId="4" fontId="4" fillId="0" borderId="18" xfId="0" applyNumberFormat="1" applyFont="1" applyFill="1" applyBorder="1" applyAlignment="1">
      <alignment vertical="center"/>
    </xf>
    <xf numFmtId="0" fontId="32" fillId="3" borderId="13" xfId="0" applyFont="1" applyFill="1" applyBorder="1" applyAlignment="1">
      <alignment vertical="center"/>
    </xf>
    <xf numFmtId="4" fontId="4" fillId="0" borderId="21" xfId="0" applyNumberFormat="1" applyFont="1" applyFill="1" applyBorder="1" applyAlignment="1">
      <alignment vertical="center"/>
    </xf>
    <xf numFmtId="0" fontId="3" fillId="3" borderId="13" xfId="0" applyFont="1" applyFill="1" applyBorder="1" applyAlignment="1">
      <alignment vertical="center" wrapText="1"/>
    </xf>
    <xf numFmtId="0" fontId="4" fillId="0" borderId="0" xfId="0" applyFont="1"/>
    <xf numFmtId="0" fontId="32" fillId="3" borderId="13" xfId="0" applyFont="1" applyFill="1" applyBorder="1"/>
    <xf numFmtId="0" fontId="32" fillId="3" borderId="23" xfId="0" applyFont="1" applyFill="1" applyBorder="1"/>
    <xf numFmtId="4" fontId="0" fillId="3" borderId="11" xfId="0" applyNumberFormat="1" applyFont="1" applyFill="1" applyBorder="1"/>
    <xf numFmtId="4" fontId="0" fillId="0" borderId="47" xfId="0" applyNumberFormat="1" applyFont="1" applyFill="1" applyBorder="1" applyAlignment="1">
      <alignment vertical="center"/>
    </xf>
    <xf numFmtId="4" fontId="0" fillId="0" borderId="9" xfId="0" applyNumberFormat="1" applyFont="1" applyBorder="1" applyAlignment="1">
      <alignment vertical="center"/>
    </xf>
    <xf numFmtId="0" fontId="30" fillId="3" borderId="15" xfId="0" applyFont="1" applyFill="1" applyBorder="1" applyAlignment="1">
      <alignment vertical="center"/>
    </xf>
    <xf numFmtId="0" fontId="4" fillId="3" borderId="11" xfId="0" applyFont="1" applyFill="1" applyBorder="1" applyAlignment="1">
      <alignment vertical="center"/>
    </xf>
    <xf numFmtId="0" fontId="21" fillId="0" borderId="2" xfId="0" applyFont="1" applyFill="1" applyBorder="1"/>
    <xf numFmtId="4" fontId="18" fillId="0" borderId="11" xfId="0" applyNumberFormat="1" applyFont="1" applyFill="1" applyBorder="1"/>
    <xf numFmtId="4" fontId="18" fillId="0" borderId="2" xfId="0" applyNumberFormat="1" applyFont="1" applyFill="1" applyBorder="1"/>
    <xf numFmtId="4" fontId="18" fillId="0" borderId="17" xfId="0" applyNumberFormat="1" applyFont="1" applyFill="1" applyBorder="1"/>
    <xf numFmtId="4" fontId="4" fillId="0" borderId="14" xfId="0" applyNumberFormat="1" applyFont="1" applyFill="1" applyBorder="1" applyAlignment="1">
      <alignment vertical="center"/>
    </xf>
    <xf numFmtId="4" fontId="4" fillId="0" borderId="13" xfId="0" applyNumberFormat="1" applyFont="1" applyFill="1" applyBorder="1" applyAlignment="1">
      <alignment vertical="center"/>
    </xf>
    <xf numFmtId="0" fontId="30" fillId="3" borderId="11" xfId="0" applyFont="1" applyFill="1" applyBorder="1" applyAlignment="1">
      <alignment vertical="center"/>
    </xf>
    <xf numFmtId="0" fontId="30" fillId="0" borderId="9" xfId="0" applyFont="1" applyFill="1" applyBorder="1" applyAlignment="1">
      <alignment vertical="center"/>
    </xf>
    <xf numFmtId="4" fontId="4" fillId="0" borderId="9" xfId="0" applyNumberFormat="1" applyFont="1" applyFill="1" applyBorder="1" applyAlignment="1">
      <alignment vertical="center"/>
    </xf>
    <xf numFmtId="4" fontId="4" fillId="0" borderId="23" xfId="0" applyNumberFormat="1" applyFont="1" applyFill="1" applyBorder="1" applyAlignment="1">
      <alignment vertical="center"/>
    </xf>
    <xf numFmtId="4" fontId="4" fillId="0" borderId="11" xfId="0" applyNumberFormat="1" applyFont="1" applyFill="1" applyBorder="1" applyAlignment="1">
      <alignment vertical="center"/>
    </xf>
    <xf numFmtId="0" fontId="30" fillId="0" borderId="17" xfId="0" applyFont="1" applyBorder="1" applyAlignment="1">
      <alignment vertical="center"/>
    </xf>
    <xf numFmtId="0" fontId="21" fillId="0" borderId="2" xfId="0" applyFont="1" applyBorder="1" applyAlignment="1">
      <alignment wrapText="1"/>
    </xf>
    <xf numFmtId="0" fontId="5" fillId="0" borderId="17" xfId="0" applyFont="1" applyBorder="1"/>
    <xf numFmtId="0" fontId="5" fillId="0" borderId="2" xfId="0" applyFont="1" applyBorder="1" applyAlignment="1">
      <alignment wrapText="1"/>
    </xf>
    <xf numFmtId="4" fontId="24" fillId="0" borderId="2" xfId="0" applyNumberFormat="1" applyFont="1" applyFill="1" applyBorder="1"/>
    <xf numFmtId="0" fontId="30" fillId="0" borderId="4" xfId="0" applyFont="1" applyBorder="1" applyAlignment="1">
      <alignment vertical="center" wrapText="1"/>
    </xf>
    <xf numFmtId="4" fontId="4" fillId="0" borderId="5" xfId="0" applyNumberFormat="1" applyFont="1" applyFill="1" applyBorder="1" applyAlignment="1">
      <alignment vertical="center"/>
    </xf>
    <xf numFmtId="0" fontId="48" fillId="0" borderId="6" xfId="0" applyFont="1" applyBorder="1" applyAlignment="1">
      <alignment vertical="center" wrapText="1"/>
    </xf>
    <xf numFmtId="4" fontId="48" fillId="3" borderId="6" xfId="0" applyNumberFormat="1" applyFont="1" applyFill="1" applyBorder="1" applyAlignment="1">
      <alignment vertical="center"/>
    </xf>
    <xf numFmtId="4" fontId="48" fillId="0" borderId="6" xfId="0" applyNumberFormat="1" applyFont="1" applyFill="1" applyBorder="1" applyAlignment="1">
      <alignment vertical="center"/>
    </xf>
    <xf numFmtId="4" fontId="50" fillId="0" borderId="6" xfId="0" applyNumberFormat="1" applyFont="1" applyBorder="1" applyAlignment="1">
      <alignment vertical="center"/>
    </xf>
    <xf numFmtId="4" fontId="50" fillId="0" borderId="6" xfId="0" applyNumberFormat="1" applyFont="1" applyFill="1" applyBorder="1" applyAlignment="1">
      <alignment vertical="center"/>
    </xf>
    <xf numFmtId="4" fontId="0" fillId="0" borderId="19" xfId="0" applyNumberFormat="1" applyFont="1" applyFill="1" applyBorder="1" applyAlignment="1">
      <alignment vertical="center"/>
    </xf>
    <xf numFmtId="0" fontId="51" fillId="0" borderId="13" xfId="0" applyFont="1" applyBorder="1" applyAlignment="1">
      <alignment vertical="center"/>
    </xf>
    <xf numFmtId="0" fontId="52" fillId="0" borderId="6" xfId="0" applyFont="1" applyBorder="1" applyAlignment="1">
      <alignment vertical="center" wrapText="1"/>
    </xf>
    <xf numFmtId="4" fontId="3" fillId="0" borderId="6" xfId="0" applyNumberFormat="1" applyFont="1" applyBorder="1" applyAlignment="1">
      <alignment vertical="center" wrapText="1"/>
    </xf>
    <xf numFmtId="4" fontId="3" fillId="0" borderId="6" xfId="0" applyNumberFormat="1" applyFont="1" applyFill="1" applyBorder="1" applyAlignment="1">
      <alignment vertical="center" wrapText="1"/>
    </xf>
    <xf numFmtId="0" fontId="49" fillId="0" borderId="6" xfId="0" applyFont="1" applyBorder="1" applyAlignment="1">
      <alignment vertical="center" wrapText="1"/>
    </xf>
    <xf numFmtId="0" fontId="51" fillId="0" borderId="0" xfId="0" applyFont="1"/>
    <xf numFmtId="4" fontId="50" fillId="0" borderId="7" xfId="0" applyNumberFormat="1" applyFont="1" applyBorder="1" applyAlignment="1">
      <alignment vertical="center" wrapText="1"/>
    </xf>
    <xf numFmtId="4" fontId="50" fillId="0" borderId="7" xfId="0" applyNumberFormat="1" applyFont="1" applyFill="1" applyBorder="1" applyAlignment="1">
      <alignment vertical="center" wrapText="1"/>
    </xf>
    <xf numFmtId="4" fontId="4" fillId="3" borderId="7" xfId="0" applyNumberFormat="1" applyFont="1" applyFill="1" applyBorder="1" applyAlignment="1">
      <alignment vertical="center"/>
    </xf>
    <xf numFmtId="4" fontId="4" fillId="0" borderId="7" xfId="0" applyNumberFormat="1" applyFont="1" applyFill="1" applyBorder="1" applyAlignment="1">
      <alignment vertical="center"/>
    </xf>
    <xf numFmtId="4" fontId="50" fillId="0" borderId="6" xfId="0" applyNumberFormat="1" applyFont="1" applyBorder="1" applyAlignment="1">
      <alignment vertical="center" wrapText="1"/>
    </xf>
    <xf numFmtId="4" fontId="50" fillId="0" borderId="6" xfId="0" applyNumberFormat="1" applyFont="1" applyFill="1" applyBorder="1" applyAlignment="1">
      <alignment vertical="center" wrapText="1"/>
    </xf>
    <xf numFmtId="4" fontId="0" fillId="0" borderId="14" xfId="0" applyNumberFormat="1" applyFont="1" applyBorder="1" applyAlignment="1">
      <alignment vertical="center"/>
    </xf>
    <xf numFmtId="4" fontId="50" fillId="3" borderId="6" xfId="0" applyNumberFormat="1" applyFont="1" applyFill="1" applyBorder="1" applyAlignment="1">
      <alignment vertical="center"/>
    </xf>
    <xf numFmtId="4" fontId="0" fillId="0" borderId="23" xfId="0" applyNumberFormat="1" applyFont="1" applyBorder="1"/>
    <xf numFmtId="4" fontId="30" fillId="3" borderId="6" xfId="0" applyNumberFormat="1" applyFont="1" applyFill="1" applyBorder="1" applyAlignment="1">
      <alignment vertical="center"/>
    </xf>
    <xf numFmtId="4" fontId="0" fillId="0" borderId="23" xfId="0" applyNumberFormat="1" applyFont="1" applyBorder="1" applyAlignment="1">
      <alignment vertical="center"/>
    </xf>
    <xf numFmtId="4" fontId="0" fillId="0" borderId="6" xfId="0" applyNumberFormat="1" applyFont="1" applyBorder="1"/>
    <xf numFmtId="4" fontId="0" fillId="0" borderId="6" xfId="0" applyNumberFormat="1" applyFont="1" applyFill="1" applyBorder="1"/>
    <xf numFmtId="4" fontId="4" fillId="0" borderId="7" xfId="0" applyNumberFormat="1" applyFont="1" applyBorder="1" applyAlignment="1">
      <alignment vertical="center"/>
    </xf>
    <xf numFmtId="49" fontId="30" fillId="0" borderId="14" xfId="0" applyNumberFormat="1" applyFont="1" applyBorder="1" applyAlignment="1">
      <alignment horizontal="right" vertical="center"/>
    </xf>
    <xf numFmtId="2" fontId="30" fillId="0" borderId="4" xfId="0" applyNumberFormat="1" applyFont="1" applyBorder="1" applyAlignment="1">
      <alignment vertical="center" wrapText="1"/>
    </xf>
    <xf numFmtId="49" fontId="3" fillId="0" borderId="13" xfId="0" applyNumberFormat="1" applyFont="1" applyBorder="1" applyAlignment="1">
      <alignment horizontal="right" vertical="center"/>
    </xf>
    <xf numFmtId="2" fontId="3" fillId="0" borderId="6" xfId="0" applyNumberFormat="1" applyFont="1" applyBorder="1" applyAlignment="1">
      <alignment vertical="center" wrapText="1"/>
    </xf>
    <xf numFmtId="2" fontId="3" fillId="0" borderId="6" xfId="0" applyNumberFormat="1" applyFont="1" applyFill="1" applyBorder="1" applyAlignment="1">
      <alignment vertical="center" wrapText="1"/>
    </xf>
    <xf numFmtId="4" fontId="50" fillId="0" borderId="4" xfId="0" applyNumberFormat="1" applyFont="1" applyBorder="1" applyAlignment="1">
      <alignment vertical="center"/>
    </xf>
    <xf numFmtId="4" fontId="50" fillId="0" borderId="4" xfId="0" applyNumberFormat="1" applyFont="1" applyFill="1" applyBorder="1" applyAlignment="1">
      <alignment vertical="center"/>
    </xf>
    <xf numFmtId="49" fontId="30" fillId="0" borderId="13" xfId="0" applyNumberFormat="1" applyFont="1" applyBorder="1" applyAlignment="1">
      <alignment horizontal="right" vertical="center"/>
    </xf>
    <xf numFmtId="2" fontId="30" fillId="3" borderId="6" xfId="0" applyNumberFormat="1" applyFont="1" applyFill="1" applyBorder="1" applyAlignment="1">
      <alignment vertical="center" wrapText="1"/>
    </xf>
    <xf numFmtId="2" fontId="3" fillId="3" borderId="6" xfId="0" applyNumberFormat="1" applyFont="1" applyFill="1" applyBorder="1" applyAlignment="1">
      <alignment vertical="center" wrapText="1"/>
    </xf>
    <xf numFmtId="2" fontId="32" fillId="3" borderId="6" xfId="0" applyNumberFormat="1" applyFont="1" applyFill="1" applyBorder="1" applyAlignment="1">
      <alignment vertical="center" wrapText="1"/>
    </xf>
    <xf numFmtId="2" fontId="30" fillId="0" borderId="6" xfId="0" applyNumberFormat="1" applyFont="1" applyBorder="1" applyAlignment="1">
      <alignment vertical="center" wrapText="1"/>
    </xf>
    <xf numFmtId="4" fontId="50" fillId="0" borderId="8" xfId="0" applyNumberFormat="1" applyFont="1" applyBorder="1" applyAlignment="1">
      <alignment vertical="center"/>
    </xf>
    <xf numFmtId="4" fontId="50" fillId="0" borderId="8" xfId="0" applyNumberFormat="1" applyFont="1" applyFill="1" applyBorder="1" applyAlignment="1">
      <alignment vertical="center"/>
    </xf>
    <xf numFmtId="4" fontId="24" fillId="0" borderId="2" xfId="0" applyNumberFormat="1" applyFont="1" applyBorder="1" applyAlignment="1">
      <alignment vertical="center" shrinkToFit="1"/>
    </xf>
    <xf numFmtId="4" fontId="24" fillId="0" borderId="2" xfId="0" applyNumberFormat="1" applyFont="1" applyFill="1" applyBorder="1" applyAlignment="1">
      <alignment vertical="center" shrinkToFit="1"/>
    </xf>
    <xf numFmtId="4" fontId="4" fillId="0" borderId="4" xfId="0" applyNumberFormat="1" applyFont="1" applyFill="1" applyBorder="1" applyAlignment="1">
      <alignment vertical="center" shrinkToFit="1"/>
    </xf>
    <xf numFmtId="4" fontId="18" fillId="3" borderId="2" xfId="1" applyNumberFormat="1" applyFont="1" applyFill="1" applyBorder="1" applyAlignment="1" applyProtection="1">
      <alignment horizontal="right"/>
    </xf>
    <xf numFmtId="4" fontId="29" fillId="3" borderId="2" xfId="1" applyNumberFormat="1" applyFont="1" applyFill="1" applyBorder="1" applyAlignment="1" applyProtection="1">
      <alignment horizontal="right"/>
    </xf>
    <xf numFmtId="4" fontId="29" fillId="0" borderId="2" xfId="0" applyNumberFormat="1" applyFont="1" applyBorder="1" applyAlignment="1">
      <alignment vertical="center"/>
    </xf>
    <xf numFmtId="4" fontId="4" fillId="3" borderId="4" xfId="1" applyNumberFormat="1" applyFont="1" applyFill="1" applyBorder="1" applyAlignment="1" applyProtection="1">
      <alignment vertical="center"/>
    </xf>
    <xf numFmtId="4" fontId="0" fillId="3" borderId="6" xfId="1" applyNumberFormat="1" applyFont="1" applyFill="1" applyBorder="1" applyAlignment="1" applyProtection="1">
      <alignment vertical="center"/>
    </xf>
    <xf numFmtId="0" fontId="30" fillId="0" borderId="15" xfId="0" applyFont="1" applyBorder="1" applyAlignment="1">
      <alignment vertical="center"/>
    </xf>
    <xf numFmtId="0" fontId="3" fillId="3" borderId="15" xfId="0" applyFont="1" applyFill="1" applyBorder="1" applyAlignment="1">
      <alignment vertical="center" wrapText="1"/>
    </xf>
    <xf numFmtId="4" fontId="11" fillId="3" borderId="11" xfId="0" applyNumberFormat="1" applyFont="1" applyFill="1" applyBorder="1" applyAlignment="1">
      <alignment horizontal="right"/>
    </xf>
    <xf numFmtId="0" fontId="11" fillId="3" borderId="6" xfId="0" applyFont="1" applyFill="1" applyBorder="1" applyAlignment="1">
      <alignment vertical="center" wrapText="1"/>
    </xf>
    <xf numFmtId="0" fontId="32" fillId="3" borderId="6" xfId="0" applyFont="1" applyFill="1" applyBorder="1" applyAlignment="1">
      <alignment vertical="center" wrapText="1"/>
    </xf>
    <xf numFmtId="0" fontId="54" fillId="3" borderId="6" xfId="0" applyFont="1" applyFill="1" applyBorder="1" applyAlignment="1">
      <alignment vertical="center" wrapText="1"/>
    </xf>
    <xf numFmtId="4" fontId="0" fillId="0" borderId="0" xfId="0" applyNumberFormat="1" applyFont="1" applyAlignment="1">
      <alignment horizontal="right" vertical="center"/>
    </xf>
    <xf numFmtId="0" fontId="30" fillId="0" borderId="16" xfId="0" applyFont="1" applyBorder="1"/>
    <xf numFmtId="4" fontId="18" fillId="3" borderId="2" xfId="0" applyNumberFormat="1" applyFont="1" applyFill="1" applyBorder="1" applyAlignment="1">
      <alignment shrinkToFit="1"/>
    </xf>
    <xf numFmtId="0" fontId="11" fillId="3" borderId="4" xfId="0" applyFont="1" applyFill="1" applyBorder="1" applyAlignment="1">
      <alignment vertical="center" wrapText="1"/>
    </xf>
    <xf numFmtId="0" fontId="5" fillId="0" borderId="14" xfId="0" applyFont="1" applyBorder="1"/>
    <xf numFmtId="4" fontId="0" fillId="3" borderId="4" xfId="0" applyNumberFormat="1" applyFont="1" applyFill="1" applyBorder="1" applyAlignment="1">
      <alignment vertical="center" shrinkToFit="1"/>
    </xf>
    <xf numFmtId="0" fontId="30" fillId="0" borderId="15" xfId="0" applyFont="1" applyBorder="1"/>
    <xf numFmtId="0" fontId="30" fillId="3" borderId="11" xfId="0" applyFont="1" applyFill="1" applyBorder="1"/>
    <xf numFmtId="4" fontId="4" fillId="3" borderId="11" xfId="0" applyNumberFormat="1" applyFont="1" applyFill="1" applyBorder="1"/>
    <xf numFmtId="4" fontId="24" fillId="3" borderId="2" xfId="0" applyNumberFormat="1" applyFont="1" applyFill="1" applyBorder="1" applyAlignment="1">
      <alignment shrinkToFit="1"/>
    </xf>
    <xf numFmtId="166" fontId="30" fillId="3" borderId="6" xfId="0" applyNumberFormat="1" applyFont="1" applyFill="1" applyBorder="1" applyAlignment="1">
      <alignment vertical="center"/>
    </xf>
    <xf numFmtId="166" fontId="30" fillId="0" borderId="0" xfId="0" applyNumberFormat="1" applyFont="1"/>
    <xf numFmtId="0" fontId="4" fillId="3" borderId="8" xfId="0" applyFont="1" applyFill="1" applyBorder="1" applyAlignment="1">
      <alignment vertical="center"/>
    </xf>
    <xf numFmtId="4" fontId="4" fillId="3" borderId="8" xfId="0" applyNumberFormat="1" applyFont="1" applyFill="1" applyBorder="1" applyAlignment="1">
      <alignment vertical="center"/>
    </xf>
    <xf numFmtId="0" fontId="30" fillId="0" borderId="20" xfId="0" applyFont="1" applyBorder="1" applyAlignment="1">
      <alignment vertical="center"/>
    </xf>
    <xf numFmtId="0" fontId="3" fillId="3" borderId="8" xfId="0" applyFont="1" applyFill="1" applyBorder="1" applyAlignment="1">
      <alignment vertical="center"/>
    </xf>
    <xf numFmtId="0" fontId="29" fillId="3" borderId="11" xfId="0" applyFont="1" applyFill="1" applyBorder="1" applyAlignment="1">
      <alignment vertical="center"/>
    </xf>
    <xf numFmtId="0" fontId="30" fillId="0" borderId="23" xfId="0" applyFont="1" applyBorder="1" applyAlignment="1">
      <alignment vertical="center"/>
    </xf>
    <xf numFmtId="0" fontId="4" fillId="3" borderId="4" xfId="0" applyFont="1" applyFill="1" applyBorder="1" applyAlignment="1">
      <alignment vertical="center"/>
    </xf>
    <xf numFmtId="4" fontId="4" fillId="3" borderId="5" xfId="0" applyNumberFormat="1" applyFont="1" applyFill="1" applyBorder="1" applyAlignment="1">
      <alignment horizontal="right" vertical="center"/>
    </xf>
    <xf numFmtId="4" fontId="0" fillId="3" borderId="4" xfId="0" applyNumberFormat="1" applyFont="1" applyFill="1" applyBorder="1" applyAlignment="1">
      <alignment horizontal="right" vertical="center"/>
    </xf>
    <xf numFmtId="0" fontId="3" fillId="3" borderId="11" xfId="0" applyFont="1" applyFill="1" applyBorder="1" applyAlignment="1">
      <alignment vertical="center"/>
    </xf>
    <xf numFmtId="4" fontId="44" fillId="5" borderId="4" xfId="0" applyNumberFormat="1" applyFont="1" applyFill="1" applyBorder="1" applyAlignment="1">
      <alignment vertical="center"/>
    </xf>
    <xf numFmtId="4" fontId="44" fillId="5" borderId="6" xfId="0" applyNumberFormat="1" applyFont="1" applyFill="1" applyBorder="1" applyAlignment="1">
      <alignment vertical="center"/>
    </xf>
    <xf numFmtId="4" fontId="0" fillId="5" borderId="6" xfId="0" applyNumberFormat="1" applyFill="1" applyBorder="1" applyAlignment="1">
      <alignment vertical="center"/>
    </xf>
    <xf numFmtId="4" fontId="0" fillId="5" borderId="7" xfId="0" applyNumberFormat="1" applyFill="1" applyBorder="1" applyAlignment="1">
      <alignment vertical="center"/>
    </xf>
    <xf numFmtId="4" fontId="4" fillId="0" borderId="6" xfId="0" applyNumberFormat="1" applyFont="1" applyBorder="1"/>
    <xf numFmtId="4" fontId="0" fillId="5" borderId="6" xfId="0" applyNumberFormat="1" applyFill="1" applyBorder="1"/>
    <xf numFmtId="4" fontId="0" fillId="5" borderId="4" xfId="0" applyNumberFormat="1" applyFill="1" applyBorder="1" applyAlignment="1">
      <alignment vertical="center"/>
    </xf>
    <xf numFmtId="4" fontId="4" fillId="5" borderId="6" xfId="0" applyNumberFormat="1" applyFont="1" applyFill="1" applyBorder="1" applyAlignment="1">
      <alignment vertical="center"/>
    </xf>
    <xf numFmtId="4" fontId="0" fillId="5" borderId="6" xfId="0" applyNumberFormat="1" applyFont="1" applyFill="1" applyBorder="1" applyAlignment="1">
      <alignment vertical="center"/>
    </xf>
    <xf numFmtId="4" fontId="44" fillId="5" borderId="7" xfId="0" applyNumberFormat="1" applyFont="1" applyFill="1" applyBorder="1" applyAlignment="1">
      <alignment vertical="center"/>
    </xf>
    <xf numFmtId="4" fontId="0" fillId="5" borderId="4" xfId="0" applyNumberFormat="1" applyFont="1" applyFill="1" applyBorder="1" applyAlignment="1">
      <alignment vertical="center"/>
    </xf>
    <xf numFmtId="4" fontId="0" fillId="0" borderId="0" xfId="0" applyNumberFormat="1" applyFont="1" applyFill="1" applyAlignment="1">
      <alignment vertical="center"/>
    </xf>
    <xf numFmtId="4" fontId="4" fillId="3" borderId="9" xfId="0" applyNumberFormat="1" applyFont="1" applyFill="1" applyBorder="1" applyAlignment="1">
      <alignment vertical="center"/>
    </xf>
    <xf numFmtId="0" fontId="6" fillId="0" borderId="17" xfId="0" applyFont="1" applyFill="1" applyBorder="1" applyAlignment="1">
      <alignment horizontal="center" vertical="center"/>
    </xf>
    <xf numFmtId="0" fontId="21" fillId="0" borderId="2" xfId="0" applyFont="1" applyFill="1" applyBorder="1" applyAlignment="1">
      <alignment vertical="center"/>
    </xf>
    <xf numFmtId="4" fontId="21" fillId="0" borderId="2" xfId="0" applyNumberFormat="1" applyFont="1" applyFill="1" applyBorder="1" applyAlignment="1">
      <alignment vertical="center"/>
    </xf>
    <xf numFmtId="4" fontId="21" fillId="0" borderId="17" xfId="0" applyNumberFormat="1" applyFont="1" applyFill="1" applyBorder="1" applyAlignment="1">
      <alignment vertical="center"/>
    </xf>
    <xf numFmtId="0" fontId="55" fillId="0" borderId="10" xfId="0" applyFont="1" applyFill="1" applyBorder="1" applyAlignment="1">
      <alignment horizontal="right" vertical="center"/>
    </xf>
    <xf numFmtId="49" fontId="55" fillId="0" borderId="5" xfId="0" applyNumberFormat="1" applyFont="1" applyFill="1" applyBorder="1" applyAlignment="1">
      <alignment vertical="center" wrapText="1"/>
    </xf>
    <xf numFmtId="4" fontId="55" fillId="0" borderId="5" xfId="0" applyNumberFormat="1" applyFont="1" applyFill="1" applyBorder="1" applyAlignment="1">
      <alignment vertical="center"/>
    </xf>
    <xf numFmtId="4" fontId="55" fillId="0" borderId="48" xfId="0" applyNumberFormat="1" applyFont="1" applyFill="1" applyBorder="1" applyAlignment="1">
      <alignment vertical="center"/>
    </xf>
    <xf numFmtId="4" fontId="55" fillId="0" borderId="49" xfId="0" applyNumberFormat="1" applyFont="1" applyFill="1" applyBorder="1" applyAlignment="1">
      <alignment vertical="center"/>
    </xf>
    <xf numFmtId="4" fontId="4" fillId="0" borderId="27" xfId="0" applyNumberFormat="1" applyFont="1" applyFill="1" applyBorder="1" applyAlignment="1">
      <alignment vertical="center"/>
    </xf>
    <xf numFmtId="0" fontId="55" fillId="0" borderId="6" xfId="0" applyFont="1" applyFill="1" applyBorder="1" applyAlignment="1">
      <alignment horizontal="right" vertical="center"/>
    </xf>
    <xf numFmtId="0" fontId="55" fillId="0" borderId="6" xfId="0" applyFont="1" applyFill="1" applyBorder="1" applyAlignment="1">
      <alignment vertical="center"/>
    </xf>
    <xf numFmtId="4" fontId="55" fillId="0" borderId="4" xfId="0" applyNumberFormat="1" applyFont="1" applyFill="1" applyBorder="1" applyAlignment="1">
      <alignment vertical="center"/>
    </xf>
    <xf numFmtId="4" fontId="55" fillId="0" borderId="30" xfId="0" applyNumberFormat="1" applyFont="1" applyFill="1" applyBorder="1" applyAlignment="1">
      <alignment vertical="center"/>
    </xf>
    <xf numFmtId="4" fontId="55" fillId="0" borderId="6" xfId="0" applyNumberFormat="1" applyFont="1" applyFill="1" applyBorder="1" applyAlignment="1">
      <alignment vertical="center"/>
    </xf>
    <xf numFmtId="0" fontId="57" fillId="0" borderId="6" xfId="0" applyFont="1" applyFill="1" applyBorder="1" applyAlignment="1">
      <alignment vertical="center" wrapText="1"/>
    </xf>
    <xf numFmtId="0" fontId="56" fillId="0" borderId="6" xfId="0" applyFont="1" applyFill="1" applyBorder="1" applyAlignment="1">
      <alignment vertical="center"/>
    </xf>
    <xf numFmtId="4" fontId="56" fillId="0" borderId="4" xfId="0" applyNumberFormat="1" applyFont="1" applyFill="1" applyBorder="1" applyAlignment="1">
      <alignment vertical="center"/>
    </xf>
    <xf numFmtId="4" fontId="56" fillId="0" borderId="30" xfId="0" applyNumberFormat="1" applyFont="1" applyFill="1" applyBorder="1" applyAlignment="1">
      <alignment vertical="center"/>
    </xf>
    <xf numFmtId="4" fontId="56" fillId="0" borderId="6" xfId="0" applyNumberFormat="1" applyFont="1" applyFill="1" applyBorder="1" applyAlignment="1">
      <alignment vertical="center"/>
    </xf>
    <xf numFmtId="0" fontId="56" fillId="0" borderId="6" xfId="0" applyFont="1" applyFill="1" applyBorder="1" applyAlignment="1">
      <alignment vertical="center" wrapText="1"/>
    </xf>
    <xf numFmtId="4" fontId="56" fillId="0" borderId="50" xfId="0" applyNumberFormat="1" applyFont="1" applyFill="1" applyBorder="1" applyAlignment="1">
      <alignment vertical="center"/>
    </xf>
    <xf numFmtId="4" fontId="0" fillId="0" borderId="30" xfId="0" applyNumberFormat="1" applyFont="1" applyFill="1" applyBorder="1" applyAlignment="1">
      <alignment vertical="center"/>
    </xf>
    <xf numFmtId="4" fontId="56" fillId="0" borderId="51" xfId="0" applyNumberFormat="1" applyFont="1" applyFill="1" applyBorder="1" applyAlignment="1">
      <alignment vertical="center"/>
    </xf>
    <xf numFmtId="49" fontId="56" fillId="0" borderId="6" xfId="0" applyNumberFormat="1" applyFont="1" applyFill="1" applyBorder="1" applyAlignment="1">
      <alignment vertical="center" wrapText="1"/>
    </xf>
    <xf numFmtId="4" fontId="56" fillId="0" borderId="52" xfId="0" applyNumberFormat="1" applyFont="1" applyFill="1" applyBorder="1" applyAlignment="1">
      <alignment vertical="center"/>
    </xf>
    <xf numFmtId="4" fontId="0" fillId="0" borderId="0" xfId="0" applyNumberFormat="1" applyFont="1" applyFill="1" applyBorder="1" applyAlignment="1">
      <alignment horizontal="right" vertical="center"/>
    </xf>
    <xf numFmtId="4" fontId="0" fillId="0" borderId="9" xfId="0" applyNumberFormat="1" applyFont="1" applyFill="1" applyBorder="1" applyAlignment="1">
      <alignment horizontal="right" vertical="center"/>
    </xf>
    <xf numFmtId="4" fontId="56" fillId="0" borderId="53" xfId="0" applyNumberFormat="1" applyFont="1" applyFill="1" applyBorder="1" applyAlignment="1">
      <alignment vertical="center"/>
    </xf>
    <xf numFmtId="4" fontId="56" fillId="0" borderId="34" xfId="0" applyNumberFormat="1" applyFont="1" applyFill="1" applyBorder="1" applyAlignment="1">
      <alignment vertical="center"/>
    </xf>
    <xf numFmtId="4" fontId="56" fillId="0" borderId="54" xfId="0" applyNumberFormat="1" applyFont="1" applyFill="1" applyBorder="1" applyAlignment="1">
      <alignment vertical="center"/>
    </xf>
    <xf numFmtId="4" fontId="0" fillId="0" borderId="30" xfId="0" applyNumberFormat="1" applyFont="1" applyFill="1" applyBorder="1" applyAlignment="1">
      <alignment horizontal="right" vertical="center"/>
    </xf>
    <xf numFmtId="4" fontId="55" fillId="0" borderId="55" xfId="0" applyNumberFormat="1" applyFont="1" applyFill="1" applyBorder="1" applyAlignment="1">
      <alignment vertical="center"/>
    </xf>
    <xf numFmtId="4" fontId="55" fillId="0" borderId="34" xfId="0" applyNumberFormat="1" applyFont="1" applyFill="1" applyBorder="1" applyAlignment="1">
      <alignment vertical="center"/>
    </xf>
    <xf numFmtId="4" fontId="56" fillId="0" borderId="56" xfId="0" applyNumberFormat="1" applyFont="1" applyFill="1" applyBorder="1" applyAlignment="1">
      <alignment vertical="center"/>
    </xf>
    <xf numFmtId="4" fontId="0" fillId="0" borderId="57" xfId="0" applyNumberFormat="1" applyFont="1" applyFill="1" applyBorder="1" applyAlignment="1">
      <alignment vertical="center"/>
    </xf>
    <xf numFmtId="4" fontId="0" fillId="0" borderId="31" xfId="0" applyNumberFormat="1" applyFont="1" applyFill="1" applyBorder="1" applyAlignment="1">
      <alignment vertical="center"/>
    </xf>
    <xf numFmtId="0" fontId="56" fillId="0" borderId="4" xfId="0" applyFont="1" applyFill="1" applyBorder="1" applyAlignment="1">
      <alignment vertical="center" wrapText="1"/>
    </xf>
    <xf numFmtId="4" fontId="56" fillId="0" borderId="58" xfId="0" applyNumberFormat="1" applyFont="1" applyFill="1" applyBorder="1" applyAlignment="1">
      <alignment vertical="center"/>
    </xf>
    <xf numFmtId="4" fontId="0" fillId="0" borderId="33" xfId="0" applyNumberFormat="1" applyFont="1" applyFill="1" applyBorder="1" applyAlignment="1">
      <alignment vertical="center"/>
    </xf>
    <xf numFmtId="4" fontId="55" fillId="0" borderId="50" xfId="0" applyNumberFormat="1" applyFont="1" applyFill="1" applyBorder="1" applyAlignment="1">
      <alignment vertical="center"/>
    </xf>
    <xf numFmtId="4" fontId="55" fillId="0" borderId="33" xfId="0" applyNumberFormat="1" applyFont="1" applyFill="1" applyBorder="1" applyAlignment="1">
      <alignment vertical="center"/>
    </xf>
    <xf numFmtId="0" fontId="56" fillId="0" borderId="6" xfId="0" applyFont="1" applyFill="1" applyBorder="1" applyAlignment="1">
      <alignment horizontal="right" vertical="center"/>
    </xf>
    <xf numFmtId="0" fontId="56" fillId="0" borderId="4" xfId="0" applyFont="1" applyFill="1" applyBorder="1" applyAlignment="1">
      <alignment vertical="center"/>
    </xf>
    <xf numFmtId="0" fontId="57" fillId="0" borderId="6" xfId="0" applyFont="1" applyFill="1" applyBorder="1" applyAlignment="1">
      <alignment vertical="center"/>
    </xf>
    <xf numFmtId="49" fontId="56" fillId="0" borderId="4" xfId="0" applyNumberFormat="1" applyFont="1" applyFill="1" applyBorder="1" applyAlignment="1">
      <alignment vertical="center"/>
    </xf>
    <xf numFmtId="0" fontId="61" fillId="0" borderId="6" xfId="0" applyFont="1" applyFill="1" applyBorder="1" applyAlignment="1">
      <alignment horizontal="right" vertical="center"/>
    </xf>
    <xf numFmtId="0" fontId="0" fillId="0" borderId="0" xfId="0" applyFill="1"/>
    <xf numFmtId="4" fontId="0" fillId="0" borderId="33" xfId="0" applyNumberFormat="1" applyFont="1" applyFill="1" applyBorder="1"/>
    <xf numFmtId="4" fontId="0" fillId="0" borderId="4" xfId="0" applyNumberFormat="1" applyFont="1" applyFill="1" applyBorder="1"/>
    <xf numFmtId="4" fontId="34" fillId="0" borderId="50" xfId="0" applyNumberFormat="1" applyFont="1" applyFill="1" applyBorder="1" applyAlignment="1">
      <alignment vertical="center"/>
    </xf>
    <xf numFmtId="4" fontId="34" fillId="0" borderId="51" xfId="0" applyNumberFormat="1" applyFont="1" applyFill="1" applyBorder="1" applyAlignment="1">
      <alignment vertical="center"/>
    </xf>
    <xf numFmtId="4" fontId="34" fillId="0" borderId="58" xfId="0" applyNumberFormat="1" applyFont="1" applyFill="1" applyBorder="1" applyAlignment="1">
      <alignment vertical="center"/>
    </xf>
    <xf numFmtId="0" fontId="62" fillId="0" borderId="6" xfId="0" applyFont="1" applyFill="1" applyBorder="1" applyAlignment="1">
      <alignment horizontal="right" vertical="center"/>
    </xf>
    <xf numFmtId="4" fontId="61" fillId="0" borderId="50" xfId="0" applyNumberFormat="1" applyFont="1" applyFill="1" applyBorder="1" applyAlignment="1">
      <alignment vertical="center"/>
    </xf>
    <xf numFmtId="4" fontId="61" fillId="0" borderId="58" xfId="0" applyNumberFormat="1" applyFont="1" applyFill="1" applyBorder="1" applyAlignment="1">
      <alignment vertical="center"/>
    </xf>
    <xf numFmtId="4" fontId="56" fillId="0" borderId="33" xfId="0" applyNumberFormat="1" applyFont="1" applyFill="1" applyBorder="1"/>
    <xf numFmtId="4" fontId="56" fillId="0" borderId="6" xfId="0" applyNumberFormat="1" applyFont="1" applyFill="1" applyBorder="1"/>
    <xf numFmtId="4" fontId="61" fillId="0" borderId="51" xfId="0" applyNumberFormat="1" applyFont="1" applyFill="1" applyBorder="1" applyAlignment="1">
      <alignment vertical="center"/>
    </xf>
    <xf numFmtId="4" fontId="56" fillId="0" borderId="4" xfId="0" applyNumberFormat="1" applyFont="1" applyFill="1" applyBorder="1"/>
    <xf numFmtId="0" fontId="59" fillId="0" borderId="6" xfId="0" applyFont="1" applyFill="1" applyBorder="1" applyAlignment="1">
      <alignment horizontal="right" vertical="center"/>
    </xf>
    <xf numFmtId="4" fontId="59" fillId="0" borderId="4" xfId="0" applyNumberFormat="1" applyFont="1" applyFill="1" applyBorder="1" applyAlignment="1">
      <alignment vertical="center"/>
    </xf>
    <xf numFmtId="4" fontId="59" fillId="0" borderId="50" xfId="0" applyNumberFormat="1" applyFont="1" applyFill="1" applyBorder="1" applyAlignment="1">
      <alignment vertical="center"/>
    </xf>
    <xf numFmtId="4" fontId="59" fillId="0" borderId="51" xfId="0" applyNumberFormat="1" applyFont="1" applyFill="1" applyBorder="1" applyAlignment="1">
      <alignment vertical="center"/>
    </xf>
    <xf numFmtId="4" fontId="63" fillId="0" borderId="33" xfId="0" applyNumberFormat="1" applyFont="1" applyFill="1" applyBorder="1" applyAlignment="1">
      <alignment horizontal="right" vertical="center"/>
    </xf>
    <xf numFmtId="4" fontId="50" fillId="0" borderId="4" xfId="0" applyNumberFormat="1" applyFont="1" applyFill="1" applyBorder="1" applyAlignment="1">
      <alignment horizontal="right" vertical="center"/>
    </xf>
    <xf numFmtId="0" fontId="64" fillId="0" borderId="0" xfId="0" applyFont="1"/>
    <xf numFmtId="4" fontId="0" fillId="0" borderId="50" xfId="0" applyNumberFormat="1" applyFont="1" applyFill="1" applyBorder="1" applyAlignment="1">
      <alignment vertical="center"/>
    </xf>
    <xf numFmtId="4" fontId="59" fillId="0" borderId="33" xfId="0" applyNumberFormat="1" applyFont="1" applyFill="1" applyBorder="1" applyAlignment="1">
      <alignment vertical="center"/>
    </xf>
    <xf numFmtId="4" fontId="59" fillId="0" borderId="6" xfId="0" applyNumberFormat="1" applyFont="1" applyFill="1" applyBorder="1" applyAlignment="1">
      <alignment vertical="center"/>
    </xf>
    <xf numFmtId="4" fontId="56" fillId="0" borderId="33" xfId="0" applyNumberFormat="1" applyFont="1" applyFill="1" applyBorder="1" applyAlignment="1">
      <alignment vertical="center"/>
    </xf>
    <xf numFmtId="49" fontId="56" fillId="0" borderId="4" xfId="0" applyNumberFormat="1" applyFont="1" applyFill="1" applyBorder="1" applyAlignment="1">
      <alignment vertical="center" wrapText="1"/>
    </xf>
    <xf numFmtId="4" fontId="59" fillId="0" borderId="58" xfId="0" applyNumberFormat="1" applyFont="1" applyFill="1" applyBorder="1" applyAlignment="1">
      <alignment vertical="center"/>
    </xf>
    <xf numFmtId="4" fontId="63" fillId="0" borderId="33" xfId="0" applyNumberFormat="1" applyFont="1" applyFill="1" applyBorder="1" applyAlignment="1">
      <alignment vertical="center"/>
    </xf>
    <xf numFmtId="4" fontId="63" fillId="0" borderId="6" xfId="0" applyNumberFormat="1" applyFont="1" applyFill="1" applyBorder="1" applyAlignment="1">
      <alignment vertical="center"/>
    </xf>
    <xf numFmtId="4" fontId="50" fillId="0" borderId="33" xfId="0" applyNumberFormat="1" applyFont="1" applyFill="1" applyBorder="1" applyAlignment="1">
      <alignment horizontal="right" vertical="center"/>
    </xf>
    <xf numFmtId="4" fontId="50" fillId="0" borderId="6" xfId="0" applyNumberFormat="1" applyFont="1" applyFill="1" applyBorder="1" applyAlignment="1">
      <alignment horizontal="right" vertical="center"/>
    </xf>
    <xf numFmtId="0" fontId="56" fillId="0" borderId="32" xfId="0" applyFont="1" applyFill="1" applyBorder="1" applyAlignment="1">
      <alignment vertical="center"/>
    </xf>
    <xf numFmtId="4" fontId="34" fillId="0" borderId="59" xfId="0" applyNumberFormat="1" applyFont="1" applyFill="1" applyBorder="1" applyAlignment="1">
      <alignment vertical="center"/>
    </xf>
    <xf numFmtId="4" fontId="0" fillId="0" borderId="53" xfId="0" applyNumberFormat="1" applyFont="1" applyFill="1" applyBorder="1" applyAlignment="1">
      <alignment vertical="center"/>
    </xf>
    <xf numFmtId="0" fontId="56" fillId="0" borderId="55" xfId="0" applyFont="1" applyFill="1" applyBorder="1" applyAlignment="1">
      <alignment vertical="center"/>
    </xf>
    <xf numFmtId="4" fontId="56" fillId="0" borderId="55" xfId="0" applyNumberFormat="1" applyFont="1" applyFill="1" applyBorder="1" applyAlignment="1">
      <alignment vertical="center"/>
    </xf>
    <xf numFmtId="4" fontId="50" fillId="0" borderId="33" xfId="0" applyNumberFormat="1" applyFont="1" applyFill="1" applyBorder="1" applyAlignment="1">
      <alignment vertical="center"/>
    </xf>
    <xf numFmtId="49" fontId="56" fillId="0" borderId="6" xfId="0" applyNumberFormat="1" applyFont="1" applyFill="1" applyBorder="1" applyAlignment="1">
      <alignment vertical="center"/>
    </xf>
    <xf numFmtId="4" fontId="64" fillId="0" borderId="33" xfId="0" applyNumberFormat="1" applyFont="1" applyFill="1" applyBorder="1" applyAlignment="1">
      <alignment vertical="center"/>
    </xf>
    <xf numFmtId="4" fontId="64" fillId="0" borderId="4" xfId="0" applyNumberFormat="1" applyFont="1" applyFill="1" applyBorder="1" applyAlignment="1">
      <alignment vertical="center"/>
    </xf>
    <xf numFmtId="0" fontId="56" fillId="0" borderId="6" xfId="3" applyFont="1" applyFill="1" applyBorder="1" applyAlignment="1">
      <alignment vertical="center"/>
    </xf>
    <xf numFmtId="0" fontId="56" fillId="0" borderId="6" xfId="3" applyFont="1" applyFill="1" applyBorder="1" applyAlignment="1">
      <alignment vertical="center" wrapText="1"/>
    </xf>
    <xf numFmtId="0" fontId="56" fillId="0" borderId="4" xfId="3" applyFont="1" applyFill="1" applyBorder="1" applyAlignment="1">
      <alignment vertical="center" wrapText="1"/>
    </xf>
    <xf numFmtId="49" fontId="56" fillId="0" borderId="6" xfId="3" applyNumberFormat="1" applyFont="1" applyFill="1" applyBorder="1" applyAlignment="1">
      <alignment vertical="center" wrapText="1"/>
    </xf>
    <xf numFmtId="0" fontId="56" fillId="0" borderId="4" xfId="0" applyFont="1" applyFill="1" applyBorder="1" applyAlignment="1">
      <alignment horizontal="right" vertical="center"/>
    </xf>
    <xf numFmtId="0" fontId="55" fillId="0" borderId="4" xfId="0" applyFont="1" applyFill="1" applyBorder="1" applyAlignment="1">
      <alignment horizontal="right" vertical="center"/>
    </xf>
    <xf numFmtId="4" fontId="4" fillId="0" borderId="33" xfId="0" applyNumberFormat="1" applyFont="1" applyFill="1" applyBorder="1" applyAlignment="1">
      <alignment vertical="center"/>
    </xf>
    <xf numFmtId="0" fontId="57" fillId="0" borderId="6" xfId="0" applyFont="1" applyFill="1" applyBorder="1" applyAlignment="1">
      <alignment horizontal="right" vertical="center"/>
    </xf>
    <xf numFmtId="4" fontId="57" fillId="0" borderId="33" xfId="0" applyNumberFormat="1" applyFont="1" applyFill="1" applyBorder="1" applyAlignment="1">
      <alignment vertical="center"/>
    </xf>
    <xf numFmtId="4" fontId="56" fillId="0" borderId="33" xfId="0" applyNumberFormat="1" applyFont="1" applyFill="1" applyBorder="1" applyAlignment="1">
      <alignment horizontal="right" vertical="center"/>
    </xf>
    <xf numFmtId="4" fontId="56" fillId="0" borderId="6" xfId="0" applyNumberFormat="1" applyFont="1" applyFill="1" applyBorder="1" applyAlignment="1">
      <alignment horizontal="right" vertical="center"/>
    </xf>
    <xf numFmtId="2" fontId="56" fillId="0" borderId="6" xfId="0" applyNumberFormat="1" applyFont="1" applyFill="1" applyBorder="1" applyAlignment="1">
      <alignment vertical="center" wrapText="1"/>
    </xf>
    <xf numFmtId="0" fontId="56" fillId="0" borderId="6" xfId="4" applyFont="1" applyFill="1" applyBorder="1" applyAlignment="1">
      <alignment vertical="center" wrapText="1"/>
    </xf>
    <xf numFmtId="0" fontId="59" fillId="0" borderId="6" xfId="0" applyFont="1" applyFill="1" applyBorder="1" applyAlignment="1">
      <alignment vertical="center"/>
    </xf>
    <xf numFmtId="2" fontId="56" fillId="0" borderId="32" xfId="0" applyNumberFormat="1" applyFont="1" applyFill="1" applyBorder="1" applyAlignment="1">
      <alignment vertical="center" wrapText="1"/>
    </xf>
    <xf numFmtId="4" fontId="56" fillId="0" borderId="59" xfId="0" applyNumberFormat="1" applyFont="1" applyFill="1" applyBorder="1" applyAlignment="1">
      <alignment vertical="center"/>
    </xf>
    <xf numFmtId="4" fontId="56" fillId="0" borderId="60" xfId="0" applyNumberFormat="1" applyFont="1" applyFill="1" applyBorder="1" applyAlignment="1">
      <alignment vertical="center"/>
    </xf>
    <xf numFmtId="4" fontId="64" fillId="0" borderId="6" xfId="0" applyNumberFormat="1" applyFont="1" applyFill="1" applyBorder="1" applyAlignment="1">
      <alignment vertical="center"/>
    </xf>
    <xf numFmtId="4" fontId="64" fillId="0" borderId="50" xfId="0" applyNumberFormat="1" applyFont="1" applyFill="1" applyBorder="1" applyAlignment="1">
      <alignment vertical="center"/>
    </xf>
    <xf numFmtId="49" fontId="56" fillId="0" borderId="4" xfId="3" applyNumberFormat="1" applyFont="1" applyFill="1" applyBorder="1" applyAlignment="1">
      <alignment vertical="center" wrapText="1"/>
    </xf>
    <xf numFmtId="4" fontId="0" fillId="0" borderId="33" xfId="0" applyNumberFormat="1" applyFont="1" applyFill="1" applyBorder="1" applyAlignment="1">
      <alignment horizontal="right" vertical="center"/>
    </xf>
    <xf numFmtId="0" fontId="57" fillId="0" borderId="6" xfId="3" applyFont="1" applyFill="1" applyBorder="1" applyAlignment="1">
      <alignment vertical="center"/>
    </xf>
    <xf numFmtId="4" fontId="56" fillId="0" borderId="61" xfId="0" applyNumberFormat="1" applyFont="1" applyFill="1" applyBorder="1" applyAlignment="1">
      <alignment vertical="center"/>
    </xf>
    <xf numFmtId="4" fontId="56" fillId="0" borderId="37" xfId="0" applyNumberFormat="1" applyFont="1" applyFill="1" applyBorder="1" applyAlignment="1">
      <alignment vertical="center"/>
    </xf>
    <xf numFmtId="0" fontId="55" fillId="0" borderId="4" xfId="0" applyFont="1" applyFill="1" applyBorder="1" applyAlignment="1">
      <alignment vertical="center"/>
    </xf>
    <xf numFmtId="0" fontId="0" fillId="0" borderId="0" xfId="0" applyBorder="1"/>
    <xf numFmtId="0" fontId="0" fillId="0" borderId="34" xfId="0" applyBorder="1"/>
    <xf numFmtId="49" fontId="56" fillId="0" borderId="6" xfId="4" applyNumberFormat="1" applyFont="1" applyFill="1" applyBorder="1" applyAlignment="1">
      <alignment vertical="center" wrapText="1"/>
    </xf>
    <xf numFmtId="49" fontId="56" fillId="0" borderId="4" xfId="4" applyNumberFormat="1" applyFont="1" applyFill="1" applyBorder="1" applyAlignment="1">
      <alignment vertical="center" wrapText="1"/>
    </xf>
    <xf numFmtId="0" fontId="56" fillId="0" borderId="4" xfId="4" applyFont="1" applyFill="1" applyBorder="1" applyAlignment="1">
      <alignment vertical="center" wrapText="1"/>
    </xf>
    <xf numFmtId="0" fontId="56" fillId="0" borderId="7" xfId="0" applyFont="1" applyFill="1" applyBorder="1" applyAlignment="1">
      <alignment horizontal="right" vertical="center"/>
    </xf>
    <xf numFmtId="49" fontId="56" fillId="0" borderId="4" xfId="3" applyNumberFormat="1" applyFont="1" applyFill="1" applyBorder="1" applyAlignment="1">
      <alignment vertical="center"/>
    </xf>
    <xf numFmtId="0" fontId="56" fillId="0" borderId="11" xfId="0" applyFont="1" applyFill="1" applyBorder="1" applyAlignment="1">
      <alignment horizontal="right" vertical="center"/>
    </xf>
    <xf numFmtId="4" fontId="0" fillId="0" borderId="11" xfId="0" applyNumberFormat="1" applyFont="1" applyFill="1" applyBorder="1" applyAlignment="1">
      <alignment vertical="center"/>
    </xf>
    <xf numFmtId="0" fontId="29" fillId="0" borderId="3" xfId="0" applyFont="1" applyFill="1" applyBorder="1"/>
    <xf numFmtId="4" fontId="29" fillId="0" borderId="62" xfId="0" applyNumberFormat="1" applyFont="1" applyFill="1" applyBorder="1" applyAlignment="1">
      <alignment vertical="center"/>
    </xf>
    <xf numFmtId="4" fontId="29" fillId="0" borderId="17" xfId="0" applyNumberFormat="1" applyFont="1" applyFill="1" applyBorder="1" applyAlignment="1">
      <alignment vertical="center"/>
    </xf>
    <xf numFmtId="0" fontId="56" fillId="0" borderId="0" xfId="0" applyFont="1" applyAlignment="1">
      <alignment vertical="center"/>
    </xf>
    <xf numFmtId="0" fontId="30" fillId="0" borderId="4" xfId="0" applyFont="1" applyFill="1" applyBorder="1" applyAlignment="1">
      <alignment vertical="center"/>
    </xf>
    <xf numFmtId="0" fontId="0" fillId="0" borderId="4" xfId="0" applyFont="1" applyFill="1" applyBorder="1" applyAlignment="1">
      <alignment vertical="center"/>
    </xf>
    <xf numFmtId="0" fontId="3" fillId="0" borderId="20" xfId="0" applyFont="1" applyFill="1" applyBorder="1" applyAlignment="1">
      <alignment vertical="center"/>
    </xf>
    <xf numFmtId="0" fontId="3" fillId="0" borderId="17" xfId="0" applyFont="1" applyFill="1" applyBorder="1" applyAlignment="1">
      <alignment vertical="center"/>
    </xf>
    <xf numFmtId="4" fontId="24" fillId="0" borderId="2" xfId="0" applyNumberFormat="1" applyFont="1" applyFill="1" applyBorder="1" applyAlignment="1">
      <alignment vertical="center"/>
    </xf>
    <xf numFmtId="4" fontId="0" fillId="0" borderId="2" xfId="0" applyNumberFormat="1" applyFont="1" applyFill="1" applyBorder="1" applyAlignment="1">
      <alignment vertical="center"/>
    </xf>
    <xf numFmtId="0" fontId="4" fillId="0" borderId="23" xfId="0" applyFont="1" applyFill="1" applyBorder="1" applyAlignment="1">
      <alignment vertical="center"/>
    </xf>
    <xf numFmtId="0" fontId="4" fillId="0" borderId="20" xfId="0" applyFont="1" applyFill="1" applyBorder="1" applyAlignment="1">
      <alignment vertical="center"/>
    </xf>
    <xf numFmtId="0" fontId="4" fillId="0" borderId="6" xfId="0" applyFont="1" applyFill="1" applyBorder="1" applyAlignment="1">
      <alignment vertical="center"/>
    </xf>
    <xf numFmtId="0" fontId="55" fillId="0" borderId="0" xfId="0" applyFont="1" applyAlignment="1">
      <alignment vertical="center"/>
    </xf>
    <xf numFmtId="0" fontId="5" fillId="0" borderId="17" xfId="0" applyFont="1" applyFill="1" applyBorder="1"/>
    <xf numFmtId="0" fontId="29" fillId="0" borderId="2" xfId="0" applyFont="1" applyFill="1" applyBorder="1"/>
    <xf numFmtId="4" fontId="29" fillId="0" borderId="2" xfId="0" applyNumberFormat="1" applyFont="1" applyFill="1" applyBorder="1"/>
    <xf numFmtId="4" fontId="65" fillId="0" borderId="2" xfId="0" applyNumberFormat="1" applyFont="1" applyFill="1" applyBorder="1"/>
    <xf numFmtId="0" fontId="11" fillId="0" borderId="14" xfId="0" applyFont="1" applyFill="1" applyBorder="1" applyAlignment="1">
      <alignment horizontal="right" vertical="center"/>
    </xf>
    <xf numFmtId="2" fontId="30" fillId="0" borderId="4" xfId="0" applyNumberFormat="1" applyFont="1" applyFill="1" applyBorder="1" applyAlignment="1">
      <alignment vertical="center" wrapText="1"/>
    </xf>
    <xf numFmtId="4" fontId="30" fillId="0" borderId="4" xfId="0" applyNumberFormat="1" applyFont="1" applyFill="1" applyBorder="1" applyAlignment="1">
      <alignment vertical="center" wrapText="1"/>
    </xf>
    <xf numFmtId="0" fontId="5" fillId="0" borderId="0" xfId="0" applyFont="1" applyAlignment="1">
      <alignment vertical="center"/>
    </xf>
    <xf numFmtId="0" fontId="11" fillId="0" borderId="14" xfId="0" applyFont="1" applyFill="1" applyBorder="1" applyAlignment="1">
      <alignment horizontal="right" vertical="center" wrapText="1"/>
    </xf>
    <xf numFmtId="0" fontId="30" fillId="0" borderId="4" xfId="0" applyFont="1" applyFill="1" applyBorder="1" applyAlignment="1">
      <alignment vertical="center" wrapText="1"/>
    </xf>
    <xf numFmtId="0" fontId="29" fillId="0" borderId="0" xfId="0" applyFont="1" applyAlignment="1">
      <alignment wrapText="1"/>
    </xf>
    <xf numFmtId="0" fontId="29" fillId="0" borderId="0" xfId="0" applyFont="1" applyAlignment="1"/>
    <xf numFmtId="0" fontId="30" fillId="0" borderId="4" xfId="0" applyFont="1" applyFill="1" applyBorder="1" applyAlignment="1">
      <alignment vertical="top" wrapText="1"/>
    </xf>
    <xf numFmtId="0" fontId="3" fillId="0" borderId="16" xfId="0" applyFont="1" applyFill="1" applyBorder="1" applyAlignment="1">
      <alignment vertical="center"/>
    </xf>
    <xf numFmtId="0" fontId="3" fillId="0" borderId="8" xfId="0" applyFont="1" applyFill="1" applyBorder="1" applyAlignment="1">
      <alignment vertical="center" wrapText="1"/>
    </xf>
    <xf numFmtId="4" fontId="0" fillId="0" borderId="8" xfId="0" applyNumberFormat="1" applyFont="1" applyFill="1" applyBorder="1" applyAlignment="1">
      <alignment vertical="center"/>
    </xf>
    <xf numFmtId="0" fontId="20" fillId="0" borderId="17" xfId="0" applyFont="1" applyFill="1" applyBorder="1"/>
    <xf numFmtId="0" fontId="20" fillId="0" borderId="2" xfId="0" applyFont="1" applyFill="1" applyBorder="1"/>
    <xf numFmtId="4" fontId="6" fillId="0" borderId="2" xfId="0" applyNumberFormat="1" applyFont="1" applyFill="1" applyBorder="1"/>
    <xf numFmtId="0" fontId="56" fillId="0" borderId="0" xfId="0" applyFont="1" applyAlignment="1">
      <alignment horizontal="left"/>
    </xf>
    <xf numFmtId="0" fontId="3" fillId="0" borderId="0" xfId="0" applyFont="1" applyFill="1" applyBorder="1"/>
    <xf numFmtId="0" fontId="68" fillId="0" borderId="0" xfId="0" applyFont="1"/>
    <xf numFmtId="0" fontId="70" fillId="0" borderId="0" xfId="0" applyFont="1"/>
    <xf numFmtId="0" fontId="71" fillId="0" borderId="0" xfId="0" applyFont="1"/>
    <xf numFmtId="4" fontId="0" fillId="0" borderId="63" xfId="0" applyNumberFormat="1" applyFont="1" applyFill="1" applyBorder="1"/>
    <xf numFmtId="0" fontId="30" fillId="0" borderId="63" xfId="0" applyFont="1" applyFill="1" applyBorder="1"/>
    <xf numFmtId="4" fontId="4" fillId="0" borderId="63" xfId="0" applyNumberFormat="1" applyFont="1" applyFill="1" applyBorder="1" applyAlignment="1">
      <alignment vertical="center"/>
    </xf>
    <xf numFmtId="4" fontId="4" fillId="0" borderId="63" xfId="2" applyNumberFormat="1" applyFont="1" applyFill="1" applyBorder="1" applyAlignment="1" applyProtection="1">
      <alignment vertical="center"/>
    </xf>
    <xf numFmtId="4" fontId="18" fillId="0" borderId="64" xfId="0" applyNumberFormat="1" applyFont="1" applyFill="1" applyBorder="1"/>
    <xf numFmtId="0" fontId="30" fillId="0" borderId="66" xfId="0" applyFont="1" applyFill="1" applyBorder="1"/>
    <xf numFmtId="0" fontId="56" fillId="0" borderId="0" xfId="0" applyFont="1" applyFill="1" applyAlignment="1">
      <alignment horizontal="left"/>
    </xf>
    <xf numFmtId="4" fontId="4" fillId="0" borderId="65" xfId="0" applyNumberFormat="1" applyFont="1" applyFill="1" applyBorder="1" applyAlignment="1">
      <alignment vertical="center"/>
    </xf>
    <xf numFmtId="4" fontId="0" fillId="0" borderId="63" xfId="0" applyNumberFormat="1" applyFont="1" applyFill="1" applyBorder="1" applyAlignment="1">
      <alignment vertical="center"/>
    </xf>
    <xf numFmtId="4" fontId="0" fillId="0" borderId="69" xfId="0" applyNumberFormat="1" applyFont="1" applyFill="1" applyBorder="1" applyAlignment="1">
      <alignment vertical="center"/>
    </xf>
    <xf numFmtId="4" fontId="0" fillId="0" borderId="66" xfId="0" applyNumberFormat="1" applyFont="1" applyFill="1" applyBorder="1" applyAlignment="1">
      <alignment vertical="center"/>
    </xf>
    <xf numFmtId="4" fontId="4" fillId="0" borderId="66" xfId="0" applyNumberFormat="1" applyFont="1" applyFill="1" applyBorder="1" applyAlignment="1">
      <alignment vertical="center"/>
    </xf>
    <xf numFmtId="4" fontId="0" fillId="0" borderId="67" xfId="0" applyNumberFormat="1" applyFont="1" applyFill="1" applyBorder="1" applyAlignment="1">
      <alignment vertical="center"/>
    </xf>
    <xf numFmtId="0" fontId="0" fillId="0" borderId="63" xfId="0" applyFont="1" applyFill="1" applyBorder="1" applyAlignment="1">
      <alignment vertical="center"/>
    </xf>
    <xf numFmtId="0" fontId="30" fillId="0" borderId="63" xfId="0" applyFont="1" applyFill="1" applyBorder="1" applyAlignment="1">
      <alignment vertical="center"/>
    </xf>
    <xf numFmtId="4" fontId="6" fillId="0" borderId="83" xfId="0" applyNumberFormat="1" applyFont="1" applyFill="1" applyBorder="1" applyAlignment="1">
      <alignment vertical="center" shrinkToFit="1"/>
    </xf>
    <xf numFmtId="4" fontId="21" fillId="0" borderId="84" xfId="0" applyNumberFormat="1" applyFont="1" applyFill="1" applyBorder="1"/>
    <xf numFmtId="4" fontId="4" fillId="0" borderId="65" xfId="0" applyNumberFormat="1" applyFont="1" applyFill="1" applyBorder="1"/>
    <xf numFmtId="4" fontId="4" fillId="0" borderId="63" xfId="0" applyNumberFormat="1" applyFont="1" applyFill="1" applyBorder="1" applyAlignment="1">
      <alignment vertical="center" shrinkToFit="1"/>
    </xf>
    <xf numFmtId="4" fontId="4" fillId="0" borderId="67" xfId="0" applyNumberFormat="1" applyFont="1" applyFill="1" applyBorder="1" applyAlignment="1">
      <alignment vertical="center"/>
    </xf>
    <xf numFmtId="4" fontId="30" fillId="0" borderId="63" xfId="0" applyNumberFormat="1" applyFont="1" applyFill="1" applyBorder="1" applyAlignment="1">
      <alignment vertical="center"/>
    </xf>
    <xf numFmtId="0" fontId="44" fillId="0" borderId="79" xfId="0" applyFont="1" applyFill="1" applyBorder="1" applyAlignment="1">
      <alignment vertical="center"/>
    </xf>
    <xf numFmtId="0" fontId="30" fillId="0" borderId="86" xfId="0" applyFont="1" applyFill="1" applyBorder="1" applyAlignment="1">
      <alignment vertical="center" wrapText="1"/>
    </xf>
    <xf numFmtId="0" fontId="4" fillId="0" borderId="79" xfId="0" applyFont="1" applyFill="1" applyBorder="1" applyAlignment="1">
      <alignment vertical="center" wrapText="1"/>
    </xf>
    <xf numFmtId="0" fontId="30" fillId="0" borderId="79" xfId="0" applyFont="1" applyFill="1" applyBorder="1" applyAlignment="1">
      <alignment vertical="center" wrapText="1"/>
    </xf>
    <xf numFmtId="0" fontId="0" fillId="0" borderId="77" xfId="0" applyFont="1" applyFill="1" applyBorder="1" applyAlignment="1" applyProtection="1">
      <alignment vertical="center"/>
      <protection locked="0"/>
    </xf>
    <xf numFmtId="0" fontId="30" fillId="0" borderId="63" xfId="0" applyFont="1" applyFill="1" applyBorder="1" applyAlignment="1">
      <alignment horizontal="right" vertical="center"/>
    </xf>
    <xf numFmtId="0" fontId="0" fillId="0" borderId="63" xfId="0" applyFont="1" applyFill="1" applyBorder="1" applyAlignment="1">
      <alignment horizontal="right" vertical="center"/>
    </xf>
    <xf numFmtId="0" fontId="3" fillId="0" borderId="63" xfId="0" applyFont="1" applyFill="1" applyBorder="1" applyAlignment="1">
      <alignment horizontal="right" vertical="center"/>
    </xf>
    <xf numFmtId="0" fontId="3" fillId="0" borderId="63" xfId="0" applyFont="1" applyFill="1" applyBorder="1" applyAlignment="1">
      <alignment vertical="center"/>
    </xf>
    <xf numFmtId="0" fontId="36" fillId="3" borderId="75" xfId="0" applyFont="1" applyFill="1" applyBorder="1"/>
    <xf numFmtId="0" fontId="30" fillId="0" borderId="80" xfId="0" applyFont="1" applyFill="1" applyBorder="1"/>
    <xf numFmtId="0" fontId="11" fillId="0" borderId="71" xfId="0" applyFont="1" applyFill="1" applyBorder="1" applyAlignment="1" applyProtection="1">
      <alignment horizontal="right" vertical="center"/>
      <protection locked="0"/>
    </xf>
    <xf numFmtId="0" fontId="4" fillId="0" borderId="66" xfId="0" applyFont="1" applyFill="1" applyBorder="1" applyAlignment="1">
      <alignment vertical="center"/>
    </xf>
    <xf numFmtId="0" fontId="4" fillId="0" borderId="69" xfId="0" applyFont="1" applyFill="1" applyBorder="1" applyAlignment="1">
      <alignment vertical="center"/>
    </xf>
    <xf numFmtId="0" fontId="20" fillId="0" borderId="70" xfId="0" applyFont="1" applyFill="1" applyBorder="1"/>
    <xf numFmtId="4" fontId="0" fillId="0" borderId="87" xfId="0" applyNumberFormat="1" applyFont="1" applyFill="1" applyBorder="1" applyAlignment="1">
      <alignment vertical="center"/>
    </xf>
    <xf numFmtId="0" fontId="20" fillId="0" borderId="75" xfId="0" applyFont="1" applyFill="1" applyBorder="1"/>
    <xf numFmtId="0" fontId="3" fillId="7" borderId="0" xfId="0" applyFont="1" applyFill="1"/>
    <xf numFmtId="0" fontId="30" fillId="7" borderId="0" xfId="0" applyFont="1" applyFill="1"/>
    <xf numFmtId="0" fontId="4" fillId="0" borderId="63" xfId="0" applyFont="1" applyFill="1" applyBorder="1" applyAlignment="1">
      <alignment horizontal="right" vertical="center"/>
    </xf>
    <xf numFmtId="4" fontId="64" fillId="0" borderId="63" xfId="0" applyNumberFormat="1" applyFont="1" applyFill="1" applyBorder="1" applyAlignment="1">
      <alignment vertical="center"/>
    </xf>
    <xf numFmtId="0" fontId="64" fillId="0" borderId="63" xfId="0" applyFont="1" applyFill="1" applyBorder="1" applyAlignment="1">
      <alignment horizontal="right" vertical="center"/>
    </xf>
    <xf numFmtId="0" fontId="49" fillId="0" borderId="63" xfId="0" applyFont="1" applyFill="1" applyBorder="1" applyAlignment="1">
      <alignment horizontal="right" vertical="center"/>
    </xf>
    <xf numFmtId="0" fontId="0" fillId="0" borderId="69" xfId="0" applyFont="1" applyFill="1" applyBorder="1" applyAlignment="1">
      <alignment horizontal="right" vertical="center"/>
    </xf>
    <xf numFmtId="4" fontId="0" fillId="0" borderId="88" xfId="0" applyNumberFormat="1" applyFont="1" applyFill="1" applyBorder="1" applyAlignment="1">
      <alignment vertical="center"/>
    </xf>
    <xf numFmtId="0" fontId="3" fillId="0" borderId="69" xfId="0" applyFont="1" applyFill="1" applyBorder="1" applyAlignment="1">
      <alignment vertical="center"/>
    </xf>
    <xf numFmtId="0" fontId="3" fillId="0" borderId="66" xfId="0" applyFont="1" applyFill="1" applyBorder="1" applyAlignment="1">
      <alignment vertical="center"/>
    </xf>
    <xf numFmtId="4" fontId="21" fillId="0" borderId="67" xfId="0" applyNumberFormat="1" applyFont="1" applyFill="1" applyBorder="1"/>
    <xf numFmtId="0" fontId="8" fillId="0" borderId="76" xfId="0" applyFont="1" applyFill="1" applyBorder="1" applyAlignment="1">
      <alignment vertical="center"/>
    </xf>
    <xf numFmtId="4" fontId="18" fillId="0" borderId="64" xfId="0" applyNumberFormat="1" applyFont="1" applyFill="1" applyBorder="1" applyAlignment="1">
      <alignment vertical="center"/>
    </xf>
    <xf numFmtId="0" fontId="30" fillId="0" borderId="95" xfId="0" applyFont="1" applyFill="1" applyBorder="1"/>
    <xf numFmtId="4" fontId="0" fillId="0" borderId="73" xfId="0" applyNumberFormat="1" applyFont="1" applyFill="1" applyBorder="1" applyAlignment="1">
      <alignment vertical="center"/>
    </xf>
    <xf numFmtId="0" fontId="44" fillId="0" borderId="63" xfId="0" applyFont="1" applyFill="1" applyBorder="1" applyAlignment="1">
      <alignment vertical="center"/>
    </xf>
    <xf numFmtId="0" fontId="3" fillId="0" borderId="88" xfId="0" applyFont="1" applyFill="1" applyBorder="1" applyAlignment="1">
      <alignment vertical="center"/>
    </xf>
    <xf numFmtId="4" fontId="44" fillId="0" borderId="66" xfId="0" applyNumberFormat="1" applyFont="1" applyFill="1" applyBorder="1" applyAlignment="1">
      <alignment vertical="center"/>
    </xf>
    <xf numFmtId="0" fontId="20" fillId="0" borderId="0" xfId="0" applyFont="1" applyFill="1" applyBorder="1"/>
    <xf numFmtId="4" fontId="0" fillId="0" borderId="110" xfId="0" applyNumberFormat="1" applyFont="1" applyFill="1" applyBorder="1" applyAlignment="1">
      <alignment vertical="center"/>
    </xf>
    <xf numFmtId="0" fontId="8" fillId="0" borderId="66" xfId="0" applyFont="1" applyFill="1" applyBorder="1" applyAlignment="1">
      <alignment vertical="center"/>
    </xf>
    <xf numFmtId="0" fontId="3" fillId="0" borderId="95" xfId="0" applyFont="1" applyFill="1" applyBorder="1" applyAlignment="1">
      <alignment vertical="center"/>
    </xf>
    <xf numFmtId="4" fontId="0" fillId="0" borderId="63" xfId="0" applyNumberFormat="1" applyFont="1" applyFill="1" applyBorder="1" applyAlignment="1">
      <alignment vertical="center" shrinkToFit="1"/>
    </xf>
    <xf numFmtId="0" fontId="30" fillId="0" borderId="79" xfId="0" applyFont="1" applyFill="1" applyBorder="1" applyAlignment="1">
      <alignment vertical="center"/>
    </xf>
    <xf numFmtId="0" fontId="3" fillId="0" borderId="79" xfId="0" applyFont="1" applyFill="1" applyBorder="1" applyAlignment="1">
      <alignment vertical="center"/>
    </xf>
    <xf numFmtId="0" fontId="0" fillId="0" borderId="79" xfId="0" applyFont="1" applyFill="1" applyBorder="1" applyAlignment="1">
      <alignment vertical="center"/>
    </xf>
    <xf numFmtId="0" fontId="3" fillId="0" borderId="79" xfId="0" applyFont="1" applyFill="1" applyBorder="1" applyAlignment="1">
      <alignment vertical="center" wrapText="1"/>
    </xf>
    <xf numFmtId="0" fontId="3" fillId="0" borderId="97" xfId="0" applyFont="1" applyFill="1" applyBorder="1" applyAlignment="1">
      <alignment vertical="center"/>
    </xf>
    <xf numFmtId="0" fontId="64" fillId="0" borderId="79" xfId="0" applyFont="1" applyFill="1" applyBorder="1" applyAlignment="1">
      <alignment vertical="center"/>
    </xf>
    <xf numFmtId="0" fontId="3" fillId="0" borderId="74" xfId="0" applyFont="1" applyFill="1" applyBorder="1" applyAlignment="1">
      <alignment vertical="center" wrapText="1"/>
    </xf>
    <xf numFmtId="0" fontId="45" fillId="0" borderId="112" xfId="0" applyFont="1" applyFill="1" applyBorder="1"/>
    <xf numFmtId="0" fontId="4" fillId="0" borderId="79" xfId="0" applyFont="1" applyFill="1" applyBorder="1" applyAlignment="1">
      <alignment vertical="center"/>
    </xf>
    <xf numFmtId="0" fontId="30" fillId="0" borderId="113" xfId="0" applyFont="1" applyFill="1" applyBorder="1" applyAlignment="1">
      <alignment vertical="center" wrapText="1"/>
    </xf>
    <xf numFmtId="0" fontId="7" fillId="0" borderId="104" xfId="0" applyFont="1" applyBorder="1" applyAlignment="1">
      <alignment horizontal="center" vertical="center" wrapText="1"/>
    </xf>
    <xf numFmtId="0" fontId="3" fillId="0" borderId="106" xfId="0" applyFont="1" applyBorder="1"/>
    <xf numFmtId="0" fontId="5" fillId="0" borderId="106" xfId="0" applyFont="1" applyFill="1" applyBorder="1"/>
    <xf numFmtId="0" fontId="30" fillId="0" borderId="99" xfId="0" applyFont="1" applyFill="1" applyBorder="1" applyAlignment="1">
      <alignment vertical="center"/>
    </xf>
    <xf numFmtId="0" fontId="3" fillId="0" borderId="103" xfId="0" applyFont="1" applyFill="1" applyBorder="1" applyAlignment="1">
      <alignment vertical="center"/>
    </xf>
    <xf numFmtId="0" fontId="3" fillId="0" borderId="106" xfId="0" applyFont="1" applyFill="1" applyBorder="1" applyAlignment="1">
      <alignment vertical="center"/>
    </xf>
    <xf numFmtId="0" fontId="5" fillId="0" borderId="104" xfId="0" applyFont="1" applyFill="1" applyBorder="1"/>
    <xf numFmtId="0" fontId="11" fillId="0" borderId="99" xfId="0" applyFont="1" applyFill="1" applyBorder="1" applyAlignment="1">
      <alignment horizontal="right" vertical="center" wrapText="1"/>
    </xf>
    <xf numFmtId="0" fontId="20" fillId="0" borderId="108" xfId="0" applyFont="1" applyFill="1" applyBorder="1"/>
    <xf numFmtId="4" fontId="4" fillId="0" borderId="87" xfId="0" applyNumberFormat="1" applyFont="1" applyFill="1" applyBorder="1" applyAlignment="1">
      <alignment vertical="center"/>
    </xf>
    <xf numFmtId="4" fontId="18" fillId="0" borderId="85" xfId="0" applyNumberFormat="1" applyFont="1" applyFill="1" applyBorder="1" applyAlignment="1">
      <alignment shrinkToFit="1"/>
    </xf>
    <xf numFmtId="0" fontId="30" fillId="0" borderId="85" xfId="0" applyFont="1" applyFill="1" applyBorder="1" applyAlignment="1">
      <alignment vertical="center"/>
    </xf>
    <xf numFmtId="4" fontId="0" fillId="0" borderId="63" xfId="0" applyNumberFormat="1" applyFont="1" applyFill="1" applyBorder="1" applyAlignment="1">
      <alignment horizontal="right" vertical="center"/>
    </xf>
    <xf numFmtId="0" fontId="21" fillId="0" borderId="107" xfId="0" applyFont="1" applyFill="1" applyBorder="1"/>
    <xf numFmtId="0" fontId="5" fillId="0" borderId="107" xfId="0" applyFont="1" applyFill="1" applyBorder="1" applyAlignment="1">
      <alignment vertical="center" wrapText="1"/>
    </xf>
    <xf numFmtId="0" fontId="30" fillId="0" borderId="86" xfId="0" applyFont="1" applyFill="1" applyBorder="1" applyAlignment="1">
      <alignment vertical="center"/>
    </xf>
    <xf numFmtId="0" fontId="30" fillId="0" borderId="115" xfId="0" applyFont="1" applyFill="1" applyBorder="1" applyAlignment="1">
      <alignment vertical="center"/>
    </xf>
    <xf numFmtId="0" fontId="5" fillId="0" borderId="107" xfId="0" applyFont="1" applyFill="1" applyBorder="1"/>
    <xf numFmtId="0" fontId="0" fillId="0" borderId="86" xfId="0" applyFont="1" applyFill="1" applyBorder="1" applyAlignment="1">
      <alignment vertical="center"/>
    </xf>
    <xf numFmtId="0" fontId="5" fillId="0" borderId="95" xfId="0" applyFont="1" applyFill="1" applyBorder="1"/>
    <xf numFmtId="0" fontId="0" fillId="0" borderId="79" xfId="0" applyFont="1" applyFill="1" applyBorder="1" applyAlignment="1">
      <alignment vertical="center" wrapText="1"/>
    </xf>
    <xf numFmtId="0" fontId="3" fillId="0" borderId="116" xfId="0" applyFont="1" applyFill="1" applyBorder="1" applyAlignment="1">
      <alignment vertical="center"/>
    </xf>
    <xf numFmtId="0" fontId="0" fillId="0" borderId="79" xfId="0" applyFont="1" applyFill="1" applyBorder="1" applyAlignment="1">
      <alignment horizontal="left" vertical="center"/>
    </xf>
    <xf numFmtId="0" fontId="45" fillId="0" borderId="114" xfId="0" applyFont="1" applyFill="1" applyBorder="1"/>
    <xf numFmtId="0" fontId="24" fillId="0" borderId="114" xfId="0" applyFont="1" applyFill="1" applyBorder="1" applyAlignment="1">
      <alignment horizontal="left" vertical="center"/>
    </xf>
    <xf numFmtId="0" fontId="24" fillId="0" borderId="114" xfId="0" applyFont="1" applyFill="1" applyBorder="1" applyAlignment="1">
      <alignment vertical="center"/>
    </xf>
    <xf numFmtId="0" fontId="21" fillId="0" borderId="102" xfId="0" applyFont="1" applyFill="1" applyBorder="1" applyAlignment="1">
      <alignment vertical="center"/>
    </xf>
    <xf numFmtId="0" fontId="21" fillId="0" borderId="116" xfId="0" applyFont="1" applyFill="1" applyBorder="1" applyAlignment="1">
      <alignment vertical="center"/>
    </xf>
    <xf numFmtId="0" fontId="3" fillId="0" borderId="79" xfId="0" applyFont="1" applyFill="1" applyBorder="1"/>
    <xf numFmtId="0" fontId="3" fillId="0" borderId="98" xfId="0" applyFont="1" applyFill="1" applyBorder="1"/>
    <xf numFmtId="0" fontId="3" fillId="0" borderId="116" xfId="0" applyFont="1" applyFill="1" applyBorder="1" applyAlignment="1">
      <alignment vertical="center" wrapText="1"/>
    </xf>
    <xf numFmtId="0" fontId="11" fillId="0" borderId="79" xfId="0" applyFont="1" applyFill="1" applyBorder="1" applyAlignment="1">
      <alignment vertical="center" wrapText="1"/>
    </xf>
    <xf numFmtId="0" fontId="32" fillId="0" borderId="79" xfId="0" applyFont="1" applyFill="1" applyBorder="1" applyAlignment="1">
      <alignment vertical="center" wrapText="1"/>
    </xf>
    <xf numFmtId="0" fontId="54" fillId="0" borderId="79" xfId="0" applyFont="1" applyFill="1" applyBorder="1" applyAlignment="1">
      <alignment vertical="center" wrapText="1"/>
    </xf>
    <xf numFmtId="0" fontId="30" fillId="0" borderId="115" xfId="0" applyFont="1" applyFill="1" applyBorder="1"/>
    <xf numFmtId="0" fontId="11" fillId="0" borderId="86" xfId="0" applyFont="1" applyFill="1" applyBorder="1" applyAlignment="1">
      <alignment vertical="center" wrapText="1"/>
    </xf>
    <xf numFmtId="0" fontId="30" fillId="0" borderId="95" xfId="0" applyFont="1" applyFill="1" applyBorder="1" applyAlignment="1">
      <alignment vertical="center"/>
    </xf>
    <xf numFmtId="0" fontId="3" fillId="0" borderId="97" xfId="0" applyFont="1" applyFill="1" applyBorder="1" applyAlignment="1">
      <alignment vertical="center" wrapText="1"/>
    </xf>
    <xf numFmtId="0" fontId="29" fillId="0" borderId="102" xfId="0" applyFont="1" applyFill="1" applyBorder="1" applyAlignment="1">
      <alignment vertical="center"/>
    </xf>
    <xf numFmtId="0" fontId="4" fillId="0" borderId="86" xfId="0" applyFont="1" applyFill="1" applyBorder="1" applyAlignment="1">
      <alignment vertical="center"/>
    </xf>
    <xf numFmtId="0" fontId="11" fillId="0" borderId="98" xfId="0" applyFont="1" applyFill="1" applyBorder="1" applyAlignment="1">
      <alignment vertical="center" wrapText="1"/>
    </xf>
    <xf numFmtId="0" fontId="5" fillId="0" borderId="118" xfId="0" applyFont="1" applyFill="1" applyBorder="1"/>
    <xf numFmtId="0" fontId="49" fillId="0" borderId="79" xfId="0" applyFont="1" applyFill="1" applyBorder="1" applyAlignment="1">
      <alignment vertical="center" wrapText="1"/>
    </xf>
    <xf numFmtId="49" fontId="0" fillId="0" borderId="79" xfId="0" applyNumberFormat="1" applyFont="1" applyFill="1" applyBorder="1" applyAlignment="1">
      <alignment vertical="center" wrapText="1"/>
    </xf>
    <xf numFmtId="0" fontId="29" fillId="0" borderId="107" xfId="0" applyFont="1" applyFill="1" applyBorder="1"/>
    <xf numFmtId="0" fontId="4" fillId="0" borderId="97" xfId="0" applyFont="1" applyFill="1" applyBorder="1" applyAlignment="1">
      <alignment vertical="center"/>
    </xf>
    <xf numFmtId="0" fontId="29" fillId="0" borderId="112" xfId="0" applyFont="1" applyFill="1" applyBorder="1"/>
    <xf numFmtId="0" fontId="30" fillId="0" borderId="86" xfId="0" applyFont="1" applyFill="1" applyBorder="1" applyAlignment="1">
      <alignment vertical="top" wrapText="1"/>
    </xf>
    <xf numFmtId="0" fontId="11" fillId="0" borderId="79" xfId="0" applyFont="1" applyFill="1" applyBorder="1" applyAlignment="1">
      <alignment vertical="center"/>
    </xf>
    <xf numFmtId="0" fontId="3" fillId="0" borderId="72" xfId="0" applyFont="1" applyFill="1" applyBorder="1" applyAlignment="1">
      <alignment vertical="center" wrapText="1"/>
    </xf>
    <xf numFmtId="4" fontId="55" fillId="0" borderId="63" xfId="0" applyNumberFormat="1" applyFont="1" applyFill="1" applyBorder="1"/>
    <xf numFmtId="4" fontId="64" fillId="0" borderId="63" xfId="0" applyNumberFormat="1" applyFont="1" applyFill="1" applyBorder="1" applyAlignment="1">
      <alignment horizontal="right" vertical="center"/>
    </xf>
    <xf numFmtId="0" fontId="6" fillId="0" borderId="106" xfId="0" applyFont="1" applyFill="1" applyBorder="1"/>
    <xf numFmtId="0" fontId="30" fillId="0" borderId="99" xfId="0" applyFont="1" applyFill="1" applyBorder="1" applyAlignment="1">
      <alignment horizontal="right" vertical="center"/>
    </xf>
    <xf numFmtId="4" fontId="4" fillId="0" borderId="71" xfId="0" applyNumberFormat="1" applyFont="1" applyFill="1" applyBorder="1" applyAlignment="1">
      <alignment vertical="center" shrinkToFit="1"/>
    </xf>
    <xf numFmtId="4" fontId="4" fillId="0" borderId="88" xfId="0" applyNumberFormat="1" applyFont="1" applyFill="1" applyBorder="1" applyAlignment="1">
      <alignment vertical="center" shrinkToFit="1"/>
    </xf>
    <xf numFmtId="4" fontId="4" fillId="0" borderId="100" xfId="0" applyNumberFormat="1" applyFont="1" applyFill="1" applyBorder="1" applyAlignment="1">
      <alignment vertical="center" shrinkToFit="1"/>
    </xf>
    <xf numFmtId="0" fontId="32" fillId="0" borderId="63" xfId="0" applyFont="1" applyFill="1" applyBorder="1" applyAlignment="1">
      <alignment horizontal="right" vertical="center"/>
    </xf>
    <xf numFmtId="0" fontId="4" fillId="0" borderId="63" xfId="0" applyFont="1" applyFill="1" applyBorder="1" applyAlignment="1">
      <alignment horizontal="right" vertical="center" wrapText="1"/>
    </xf>
    <xf numFmtId="0" fontId="11" fillId="0" borderId="63" xfId="0" applyFont="1" applyFill="1" applyBorder="1" applyAlignment="1">
      <alignment horizontal="right" vertical="center"/>
    </xf>
    <xf numFmtId="0" fontId="30" fillId="0" borderId="80" xfId="0" applyFont="1" applyFill="1" applyBorder="1" applyAlignment="1">
      <alignment horizontal="right" vertical="center"/>
    </xf>
    <xf numFmtId="0" fontId="30" fillId="0" borderId="106" xfId="0" applyFont="1" applyFill="1" applyBorder="1"/>
    <xf numFmtId="0" fontId="30" fillId="0" borderId="69" xfId="0" applyFont="1" applyFill="1" applyBorder="1" applyAlignment="1">
      <alignment vertical="center"/>
    </xf>
    <xf numFmtId="0" fontId="30" fillId="0" borderId="66" xfId="0" applyFont="1" applyFill="1" applyBorder="1" applyAlignment="1">
      <alignment vertical="center"/>
    </xf>
    <xf numFmtId="0" fontId="30" fillId="0" borderId="88" xfId="0" applyFont="1" applyFill="1" applyBorder="1" applyAlignment="1">
      <alignment vertical="center"/>
    </xf>
    <xf numFmtId="0" fontId="4" fillId="0" borderId="63" xfId="0" applyFont="1" applyFill="1" applyBorder="1" applyAlignment="1">
      <alignment vertical="center"/>
    </xf>
    <xf numFmtId="0" fontId="5" fillId="0" borderId="106" xfId="0" applyFont="1" applyFill="1" applyBorder="1" applyAlignment="1">
      <alignment vertical="center"/>
    </xf>
    <xf numFmtId="0" fontId="38" fillId="0" borderId="63" xfId="0" applyFont="1" applyFill="1" applyBorder="1" applyAlignment="1">
      <alignment vertical="center"/>
    </xf>
    <xf numFmtId="0" fontId="8" fillId="0" borderId="63" xfId="0" applyFont="1" applyFill="1" applyBorder="1" applyAlignment="1">
      <alignment vertical="center"/>
    </xf>
    <xf numFmtId="0" fontId="8" fillId="0" borderId="69" xfId="0" applyFont="1" applyFill="1" applyBorder="1" applyAlignment="1">
      <alignment vertical="center"/>
    </xf>
    <xf numFmtId="0" fontId="45" fillId="0" borderId="104" xfId="0" applyFont="1" applyFill="1" applyBorder="1"/>
    <xf numFmtId="0" fontId="30" fillId="0" borderId="64" xfId="0" applyFont="1" applyFill="1" applyBorder="1" applyAlignment="1">
      <alignment vertical="center"/>
    </xf>
    <xf numFmtId="0" fontId="11" fillId="0" borderId="99" xfId="0" applyFont="1" applyFill="1" applyBorder="1" applyAlignment="1">
      <alignment horizontal="right" vertical="center"/>
    </xf>
    <xf numFmtId="0" fontId="5" fillId="0" borderId="85" xfId="0" applyFont="1" applyFill="1" applyBorder="1"/>
    <xf numFmtId="4" fontId="4" fillId="0" borderId="71" xfId="0" applyNumberFormat="1" applyFont="1" applyFill="1" applyBorder="1" applyAlignment="1">
      <alignment vertical="center"/>
    </xf>
    <xf numFmtId="4" fontId="4" fillId="0" borderId="88" xfId="0" applyNumberFormat="1" applyFont="1" applyFill="1" applyBorder="1" applyAlignment="1">
      <alignment vertical="center"/>
    </xf>
    <xf numFmtId="0" fontId="49" fillId="0" borderId="72" xfId="0" applyFont="1" applyFill="1" applyBorder="1" applyAlignment="1">
      <alignment vertical="center" wrapText="1"/>
    </xf>
    <xf numFmtId="0" fontId="30" fillId="0" borderId="72" xfId="0" applyFont="1" applyFill="1" applyBorder="1" applyAlignment="1">
      <alignment vertical="center" wrapText="1"/>
    </xf>
    <xf numFmtId="4" fontId="56" fillId="0" borderId="88" xfId="0" applyNumberFormat="1" applyFont="1" applyFill="1" applyBorder="1" applyAlignment="1">
      <alignment vertical="center"/>
    </xf>
    <xf numFmtId="4" fontId="0" fillId="0" borderId="88" xfId="0" applyNumberFormat="1" applyFont="1" applyFill="1" applyBorder="1"/>
    <xf numFmtId="49" fontId="3" fillId="0" borderId="88" xfId="0" applyNumberFormat="1" applyFont="1" applyFill="1" applyBorder="1" applyAlignment="1">
      <alignment horizontal="right" vertical="center"/>
    </xf>
    <xf numFmtId="2" fontId="3" fillId="0" borderId="72" xfId="0" applyNumberFormat="1" applyFont="1" applyFill="1" applyBorder="1" applyAlignment="1">
      <alignment vertical="center" wrapText="1"/>
    </xf>
    <xf numFmtId="49" fontId="30" fillId="0" borderId="88" xfId="0" applyNumberFormat="1" applyFont="1" applyFill="1" applyBorder="1" applyAlignment="1">
      <alignment horizontal="right" vertical="center"/>
    </xf>
    <xf numFmtId="2" fontId="30" fillId="0" borderId="72" xfId="0" applyNumberFormat="1" applyFont="1" applyFill="1" applyBorder="1" applyAlignment="1">
      <alignment vertical="center" wrapText="1"/>
    </xf>
    <xf numFmtId="4" fontId="55" fillId="0" borderId="88" xfId="0" applyNumberFormat="1" applyFont="1" applyFill="1" applyBorder="1" applyAlignment="1">
      <alignment vertical="center"/>
    </xf>
    <xf numFmtId="2" fontId="32" fillId="0" borderId="72" xfId="0" applyNumberFormat="1" applyFont="1" applyFill="1" applyBorder="1" applyAlignment="1">
      <alignment vertical="center" wrapText="1"/>
    </xf>
    <xf numFmtId="0" fontId="3" fillId="0" borderId="117" xfId="0" applyFont="1" applyFill="1" applyBorder="1" applyAlignment="1">
      <alignment vertical="center" wrapText="1"/>
    </xf>
    <xf numFmtId="0" fontId="4" fillId="0" borderId="66" xfId="0" applyFont="1" applyFill="1" applyBorder="1" applyAlignment="1">
      <alignment horizontal="right" vertical="center"/>
    </xf>
    <xf numFmtId="0" fontId="5" fillId="0" borderId="99" xfId="0" applyFont="1" applyFill="1" applyBorder="1"/>
    <xf numFmtId="0" fontId="3" fillId="0" borderId="0" xfId="0" applyFont="1" applyFill="1" applyAlignment="1">
      <alignment vertical="center"/>
    </xf>
    <xf numFmtId="4" fontId="24" fillId="0" borderId="64" xfId="0" applyNumberFormat="1" applyFont="1" applyFill="1" applyBorder="1" applyAlignment="1">
      <alignment horizontal="center" vertical="center" wrapText="1"/>
    </xf>
    <xf numFmtId="4" fontId="0" fillId="6" borderId="63" xfId="0" applyNumberFormat="1" applyFont="1" applyFill="1" applyBorder="1"/>
    <xf numFmtId="4" fontId="4" fillId="6" borderId="63" xfId="0" applyNumberFormat="1" applyFont="1" applyFill="1" applyBorder="1" applyAlignment="1">
      <alignment vertical="center"/>
    </xf>
    <xf numFmtId="4" fontId="24" fillId="0" borderId="121" xfId="0" applyNumberFormat="1" applyFont="1" applyFill="1" applyBorder="1" applyAlignment="1">
      <alignment vertical="center"/>
    </xf>
    <xf numFmtId="4" fontId="0" fillId="0" borderId="100" xfId="0" applyNumberFormat="1" applyFont="1" applyFill="1" applyBorder="1" applyAlignment="1">
      <alignment vertical="center"/>
    </xf>
    <xf numFmtId="4" fontId="4" fillId="6" borderId="66" xfId="0" applyNumberFormat="1" applyFont="1" applyFill="1" applyBorder="1" applyAlignment="1">
      <alignment vertical="center"/>
    </xf>
    <xf numFmtId="4" fontId="0" fillId="0" borderId="129" xfId="0" applyNumberFormat="1" applyFont="1" applyFill="1" applyBorder="1" applyAlignment="1">
      <alignment vertical="center"/>
    </xf>
    <xf numFmtId="0" fontId="75" fillId="0" borderId="74" xfId="0" applyFont="1" applyFill="1" applyBorder="1" applyAlignment="1">
      <alignment vertical="center" wrapText="1"/>
    </xf>
    <xf numFmtId="4" fontId="4" fillId="0" borderId="130" xfId="0" applyNumberFormat="1" applyFont="1" applyFill="1" applyBorder="1" applyAlignment="1">
      <alignment vertical="center"/>
    </xf>
    <xf numFmtId="4" fontId="0" fillId="0" borderId="130" xfId="0" applyNumberFormat="1" applyFont="1" applyFill="1" applyBorder="1" applyAlignment="1">
      <alignment vertical="center"/>
    </xf>
    <xf numFmtId="4" fontId="4" fillId="0" borderId="131" xfId="0" applyNumberFormat="1" applyFont="1" applyFill="1" applyBorder="1" applyAlignment="1">
      <alignment vertical="center"/>
    </xf>
    <xf numFmtId="4" fontId="0" fillId="0" borderId="131" xfId="0" applyNumberFormat="1" applyFont="1" applyFill="1" applyBorder="1" applyAlignment="1">
      <alignment vertical="center"/>
    </xf>
    <xf numFmtId="0" fontId="30" fillId="0" borderId="131" xfId="0" applyFont="1" applyFill="1" applyBorder="1" applyAlignment="1">
      <alignment vertical="center"/>
    </xf>
    <xf numFmtId="0" fontId="30" fillId="0" borderId="133" xfId="0" applyFont="1" applyFill="1" applyBorder="1" applyAlignment="1">
      <alignment vertical="center" wrapText="1"/>
    </xf>
    <xf numFmtId="4" fontId="0" fillId="6" borderId="131" xfId="0" applyNumberFormat="1" applyFont="1" applyFill="1" applyBorder="1" applyAlignment="1">
      <alignment vertical="center"/>
    </xf>
    <xf numFmtId="0" fontId="77" fillId="6" borderId="79" xfId="0" applyFont="1" applyFill="1" applyBorder="1" applyAlignment="1">
      <alignment vertical="center"/>
    </xf>
    <xf numFmtId="4" fontId="0" fillId="0" borderId="132" xfId="0" applyNumberFormat="1" applyFont="1" applyFill="1" applyBorder="1" applyAlignment="1">
      <alignment vertical="center"/>
    </xf>
    <xf numFmtId="0" fontId="64" fillId="0" borderId="131" xfId="0" applyFont="1" applyFill="1" applyBorder="1" applyAlignment="1">
      <alignment horizontal="right" vertical="center"/>
    </xf>
    <xf numFmtId="0" fontId="4" fillId="0" borderId="131" xfId="0" applyFont="1" applyFill="1" applyBorder="1" applyAlignment="1">
      <alignment horizontal="right" vertical="center"/>
    </xf>
    <xf numFmtId="0" fontId="4" fillId="0" borderId="87" xfId="0" applyFont="1" applyFill="1" applyBorder="1" applyAlignment="1">
      <alignment horizontal="right" vertical="center"/>
    </xf>
    <xf numFmtId="0" fontId="4" fillId="0" borderId="126" xfId="0" applyFont="1" applyFill="1" applyBorder="1" applyAlignment="1">
      <alignment horizontal="right" vertical="center"/>
    </xf>
    <xf numFmtId="0" fontId="0" fillId="0" borderId="69" xfId="0" applyFont="1" applyFill="1" applyBorder="1" applyAlignment="1">
      <alignment horizontal="right" vertical="center" wrapText="1"/>
    </xf>
    <xf numFmtId="0" fontId="0" fillId="0" borderId="87" xfId="0" applyFont="1" applyFill="1" applyBorder="1" applyAlignment="1">
      <alignment horizontal="right" vertical="center"/>
    </xf>
    <xf numFmtId="4" fontId="0" fillId="6" borderId="131" xfId="0" applyNumberFormat="1" applyFont="1" applyFill="1" applyBorder="1"/>
    <xf numFmtId="4" fontId="30" fillId="6" borderId="65" xfId="0" applyNumberFormat="1" applyFont="1" applyFill="1" applyBorder="1" applyAlignment="1">
      <alignment vertical="center"/>
    </xf>
    <xf numFmtId="4" fontId="0" fillId="0" borderId="101" xfId="0" applyNumberFormat="1" applyFont="1" applyFill="1" applyBorder="1" applyAlignment="1">
      <alignment vertical="center"/>
    </xf>
    <xf numFmtId="0" fontId="45" fillId="0" borderId="120" xfId="0" applyFont="1" applyFill="1" applyBorder="1"/>
    <xf numFmtId="0" fontId="44" fillId="0" borderId="131" xfId="0" applyFont="1" applyFill="1" applyBorder="1" applyAlignment="1">
      <alignment vertical="center"/>
    </xf>
    <xf numFmtId="0" fontId="30" fillId="0" borderId="95" xfId="0" applyFont="1" applyFill="1" applyBorder="1" applyAlignment="1">
      <alignment vertical="center" wrapText="1"/>
    </xf>
    <xf numFmtId="49" fontId="3" fillId="0" borderId="66" xfId="0" applyNumberFormat="1" applyFont="1" applyFill="1" applyBorder="1" applyAlignment="1">
      <alignment horizontal="right" vertical="center"/>
    </xf>
    <xf numFmtId="2" fontId="3" fillId="0" borderId="95" xfId="0" applyNumberFormat="1" applyFont="1" applyFill="1" applyBorder="1" applyAlignment="1">
      <alignment vertical="center" wrapText="1"/>
    </xf>
    <xf numFmtId="0" fontId="45" fillId="0" borderId="122" xfId="0" applyFont="1" applyFill="1" applyBorder="1"/>
    <xf numFmtId="0" fontId="8" fillId="0" borderId="122" xfId="0" applyFont="1" applyFill="1" applyBorder="1" applyAlignment="1">
      <alignment vertical="center"/>
    </xf>
    <xf numFmtId="0" fontId="3" fillId="0" borderId="92" xfId="0" applyFont="1" applyFill="1" applyBorder="1"/>
    <xf numFmtId="0" fontId="3" fillId="0" borderId="93" xfId="0" applyFont="1" applyFill="1" applyBorder="1"/>
    <xf numFmtId="0" fontId="30" fillId="0" borderId="0" xfId="0" applyFont="1" applyFill="1" applyBorder="1" applyAlignment="1">
      <alignment vertical="center"/>
    </xf>
    <xf numFmtId="4" fontId="55" fillId="0" borderId="66" xfId="0" applyNumberFormat="1" applyFont="1" applyFill="1" applyBorder="1" applyAlignment="1">
      <alignment vertical="center"/>
    </xf>
    <xf numFmtId="4" fontId="56" fillId="0" borderId="66" xfId="0" applyNumberFormat="1" applyFont="1" applyFill="1" applyBorder="1" applyAlignment="1">
      <alignment vertical="center"/>
    </xf>
    <xf numFmtId="4" fontId="56" fillId="0" borderId="67" xfId="0" applyNumberFormat="1" applyFont="1" applyFill="1" applyBorder="1" applyAlignment="1">
      <alignment vertical="center"/>
    </xf>
    <xf numFmtId="4" fontId="85" fillId="0" borderId="64" xfId="0" applyNumberFormat="1" applyFont="1" applyFill="1" applyBorder="1"/>
    <xf numFmtId="4" fontId="55" fillId="0" borderId="109" xfId="0" applyNumberFormat="1" applyFont="1" applyFill="1" applyBorder="1" applyAlignment="1">
      <alignment vertical="center"/>
    </xf>
    <xf numFmtId="4" fontId="55" fillId="0" borderId="90" xfId="0" applyNumberFormat="1" applyFont="1" applyFill="1" applyBorder="1" applyAlignment="1">
      <alignment vertical="center"/>
    </xf>
    <xf numFmtId="4" fontId="56" fillId="0" borderId="100" xfId="0" applyNumberFormat="1" applyFont="1" applyFill="1" applyBorder="1" applyAlignment="1">
      <alignment vertical="center"/>
    </xf>
    <xf numFmtId="4" fontId="56" fillId="6" borderId="100" xfId="0" applyNumberFormat="1" applyFont="1" applyFill="1" applyBorder="1" applyAlignment="1">
      <alignment vertical="center"/>
    </xf>
    <xf numFmtId="0" fontId="3" fillId="0" borderId="91" xfId="0" applyFont="1" applyFill="1" applyBorder="1"/>
    <xf numFmtId="0" fontId="30" fillId="6" borderId="79" xfId="0" applyFont="1" applyFill="1" applyBorder="1" applyAlignment="1">
      <alignment vertical="center"/>
    </xf>
    <xf numFmtId="4" fontId="55" fillId="6" borderId="63" xfId="0" applyNumberFormat="1" applyFont="1" applyFill="1" applyBorder="1"/>
    <xf numFmtId="4" fontId="45" fillId="0" borderId="138" xfId="0" applyNumberFormat="1" applyFont="1" applyFill="1" applyBorder="1"/>
    <xf numFmtId="0" fontId="45" fillId="0" borderId="138" xfId="0" applyFont="1" applyFill="1" applyBorder="1"/>
    <xf numFmtId="0" fontId="30" fillId="0" borderId="123" xfId="0" applyFont="1" applyFill="1" applyBorder="1" applyAlignment="1">
      <alignment vertical="center"/>
    </xf>
    <xf numFmtId="0" fontId="30" fillId="0" borderId="89" xfId="0" applyFont="1" applyFill="1" applyBorder="1" applyAlignment="1">
      <alignment vertical="center"/>
    </xf>
    <xf numFmtId="0" fontId="30" fillId="0" borderId="68" xfId="0" applyFont="1" applyFill="1" applyBorder="1" applyAlignment="1">
      <alignment vertical="center"/>
    </xf>
    <xf numFmtId="0" fontId="30" fillId="0" borderId="129" xfId="0" applyFont="1" applyFill="1" applyBorder="1" applyAlignment="1">
      <alignment vertical="center"/>
    </xf>
    <xf numFmtId="0" fontId="3" fillId="0" borderId="100" xfId="0" applyFont="1" applyFill="1" applyBorder="1" applyAlignment="1">
      <alignment vertical="center"/>
    </xf>
    <xf numFmtId="0" fontId="4" fillId="0" borderId="71" xfId="0" applyFont="1" applyFill="1" applyBorder="1" applyAlignment="1">
      <alignment vertical="center"/>
    </xf>
    <xf numFmtId="0" fontId="44" fillId="0" borderId="87" xfId="0" applyFont="1" applyFill="1" applyBorder="1" applyAlignment="1">
      <alignment vertical="center"/>
    </xf>
    <xf numFmtId="0" fontId="44" fillId="0" borderId="126" xfId="0" applyFont="1" applyFill="1" applyBorder="1" applyAlignment="1">
      <alignment vertical="center"/>
    </xf>
    <xf numFmtId="0" fontId="44" fillId="0" borderId="73" xfId="0" applyFont="1" applyFill="1" applyBorder="1" applyAlignment="1">
      <alignment vertical="center"/>
    </xf>
    <xf numFmtId="0" fontId="44" fillId="0" borderId="95" xfId="0" applyFont="1" applyFill="1" applyBorder="1" applyAlignment="1">
      <alignment vertical="center"/>
    </xf>
    <xf numFmtId="4" fontId="44" fillId="0" borderId="71" xfId="0" applyNumberFormat="1" applyFont="1" applyFill="1" applyBorder="1" applyAlignment="1">
      <alignment vertical="center"/>
    </xf>
    <xf numFmtId="4" fontId="44" fillId="0" borderId="88" xfId="0" applyNumberFormat="1" applyFont="1" applyFill="1" applyBorder="1" applyAlignment="1">
      <alignment vertical="center"/>
    </xf>
    <xf numFmtId="4" fontId="44" fillId="0" borderId="73" xfId="0" applyNumberFormat="1" applyFont="1" applyFill="1" applyBorder="1" applyAlignment="1">
      <alignment vertical="center"/>
    </xf>
    <xf numFmtId="4" fontId="44" fillId="0" borderId="126" xfId="0" applyNumberFormat="1" applyFont="1" applyFill="1" applyBorder="1" applyAlignment="1">
      <alignment vertical="center"/>
    </xf>
    <xf numFmtId="0" fontId="8" fillId="0" borderId="126" xfId="0" applyFont="1" applyFill="1" applyBorder="1" applyAlignment="1">
      <alignment vertical="center"/>
    </xf>
    <xf numFmtId="0" fontId="8" fillId="0" borderId="87" xfId="0" applyFont="1" applyFill="1" applyBorder="1" applyAlignment="1">
      <alignment vertical="center"/>
    </xf>
    <xf numFmtId="0" fontId="44" fillId="0" borderId="66" xfId="0" applyFont="1" applyFill="1" applyBorder="1" applyAlignment="1">
      <alignment vertical="center"/>
    </xf>
    <xf numFmtId="0" fontId="8" fillId="0" borderId="88" xfId="0" applyFont="1" applyFill="1" applyBorder="1" applyAlignment="1">
      <alignment vertical="center"/>
    </xf>
    <xf numFmtId="0" fontId="44" fillId="0" borderId="66" xfId="0" applyFont="1" applyFill="1" applyBorder="1" applyAlignment="1">
      <alignment horizontal="right" vertical="center"/>
    </xf>
    <xf numFmtId="0" fontId="8" fillId="0" borderId="73" xfId="0" applyFont="1" applyFill="1" applyBorder="1" applyAlignment="1">
      <alignment vertical="center"/>
    </xf>
    <xf numFmtId="0" fontId="44" fillId="0" borderId="88" xfId="0" applyFont="1" applyFill="1" applyBorder="1" applyAlignment="1">
      <alignment horizontal="right" vertical="center"/>
    </xf>
    <xf numFmtId="0" fontId="56" fillId="0" borderId="72" xfId="0" applyFont="1" applyFill="1" applyBorder="1" applyAlignment="1">
      <alignment vertical="center" wrapText="1"/>
    </xf>
    <xf numFmtId="4" fontId="45" fillId="0" borderId="138" xfId="0" applyNumberFormat="1" applyFont="1" applyFill="1" applyBorder="1" applyAlignment="1">
      <alignment vertical="center"/>
    </xf>
    <xf numFmtId="4" fontId="5" fillId="0" borderId="124" xfId="0" applyNumberFormat="1" applyFont="1" applyBorder="1" applyAlignment="1">
      <alignment horizontal="center" vertical="center" wrapText="1"/>
    </xf>
    <xf numFmtId="4" fontId="24" fillId="0" borderId="137" xfId="0" applyNumberFormat="1" applyFont="1" applyFill="1" applyBorder="1" applyAlignment="1">
      <alignment vertical="center"/>
    </xf>
    <xf numFmtId="4" fontId="55" fillId="0" borderId="100" xfId="0" applyNumberFormat="1" applyFont="1" applyFill="1" applyBorder="1" applyAlignment="1">
      <alignment vertical="center"/>
    </xf>
    <xf numFmtId="4" fontId="55" fillId="0" borderId="100" xfId="0" applyNumberFormat="1" applyFont="1" applyFill="1" applyBorder="1" applyAlignment="1">
      <alignment vertical="center" shrinkToFit="1"/>
    </xf>
    <xf numFmtId="4" fontId="85" fillId="0" borderId="137" xfId="0" applyNumberFormat="1" applyFont="1" applyFill="1" applyBorder="1" applyAlignment="1">
      <alignment vertical="center"/>
    </xf>
    <xf numFmtId="4" fontId="55" fillId="0" borderId="130" xfId="0" applyNumberFormat="1" applyFont="1" applyFill="1" applyBorder="1" applyAlignment="1">
      <alignment vertical="center"/>
    </xf>
    <xf numFmtId="4" fontId="56" fillId="0" borderId="131" xfId="0" applyNumberFormat="1" applyFont="1" applyFill="1" applyBorder="1" applyAlignment="1">
      <alignment horizontal="right" vertical="center" wrapText="1"/>
    </xf>
    <xf numFmtId="4" fontId="56" fillId="0" borderId="130" xfId="0" applyNumberFormat="1" applyFont="1" applyFill="1" applyBorder="1" applyAlignment="1">
      <alignment vertical="center"/>
    </xf>
    <xf numFmtId="4" fontId="4" fillId="6" borderId="131" xfId="0" applyNumberFormat="1" applyFont="1" applyFill="1" applyBorder="1" applyAlignment="1">
      <alignment vertical="center"/>
    </xf>
    <xf numFmtId="4" fontId="4" fillId="0" borderId="139" xfId="0" applyNumberFormat="1" applyFont="1" applyFill="1" applyBorder="1" applyAlignment="1">
      <alignment vertical="center"/>
    </xf>
    <xf numFmtId="4" fontId="0" fillId="0" borderId="139" xfId="0" applyNumberFormat="1" applyFont="1" applyFill="1" applyBorder="1" applyAlignment="1">
      <alignment vertical="center"/>
    </xf>
    <xf numFmtId="4" fontId="0" fillId="0" borderId="139" xfId="0" applyNumberFormat="1" applyFont="1" applyFill="1" applyBorder="1"/>
    <xf numFmtId="0" fontId="30" fillId="0" borderId="127" xfId="0" applyFont="1" applyFill="1" applyBorder="1" applyAlignment="1">
      <alignment vertical="center"/>
    </xf>
    <xf numFmtId="4" fontId="18" fillId="0" borderId="140" xfId="0" applyNumberFormat="1" applyFont="1" applyFill="1" applyBorder="1" applyAlignment="1">
      <alignment vertical="center"/>
    </xf>
    <xf numFmtId="0" fontId="0" fillId="0" borderId="72" xfId="0" applyFont="1" applyFill="1" applyBorder="1"/>
    <xf numFmtId="4" fontId="4" fillId="0" borderId="141" xfId="0" applyNumberFormat="1" applyFont="1" applyFill="1" applyBorder="1" applyAlignment="1">
      <alignment vertical="center"/>
    </xf>
    <xf numFmtId="4" fontId="24" fillId="0" borderId="140" xfId="0" applyNumberFormat="1" applyFont="1" applyFill="1" applyBorder="1"/>
    <xf numFmtId="4" fontId="45" fillId="0" borderId="144" xfId="0" applyNumberFormat="1" applyFont="1" applyFill="1" applyBorder="1" applyAlignment="1">
      <alignment vertical="center"/>
    </xf>
    <xf numFmtId="4" fontId="45" fillId="0" borderId="144" xfId="0" applyNumberFormat="1" applyFont="1" applyFill="1" applyBorder="1"/>
    <xf numFmtId="4" fontId="24" fillId="0" borderId="144" xfId="0" applyNumberFormat="1" applyFont="1" applyFill="1" applyBorder="1" applyAlignment="1">
      <alignment vertical="center"/>
    </xf>
    <xf numFmtId="4" fontId="18" fillId="0" borderId="145" xfId="0" applyNumberFormat="1" applyFont="1" applyFill="1" applyBorder="1" applyAlignment="1">
      <alignment vertical="center"/>
    </xf>
    <xf numFmtId="4" fontId="18" fillId="0" borderId="140" xfId="0" applyNumberFormat="1" applyFont="1" applyFill="1" applyBorder="1"/>
    <xf numFmtId="4" fontId="18" fillId="0" borderId="140" xfId="0" applyNumberFormat="1" applyFont="1" applyFill="1" applyBorder="1" applyAlignment="1">
      <alignment shrinkToFit="1"/>
    </xf>
    <xf numFmtId="4" fontId="24" fillId="0" borderId="140" xfId="0" applyNumberFormat="1" applyFont="1" applyFill="1" applyBorder="1" applyAlignment="1">
      <alignment shrinkToFit="1"/>
    </xf>
    <xf numFmtId="4" fontId="24" fillId="0" borderId="145" xfId="0" applyNumberFormat="1" applyFont="1" applyFill="1" applyBorder="1" applyAlignment="1">
      <alignment vertical="center"/>
    </xf>
    <xf numFmtId="4" fontId="0" fillId="6" borderId="66" xfId="0" applyNumberFormat="1" applyFont="1" applyFill="1" applyBorder="1" applyAlignment="1">
      <alignment vertical="center"/>
    </xf>
    <xf numFmtId="4" fontId="0" fillId="6" borderId="88" xfId="0" applyNumberFormat="1" applyFont="1" applyFill="1" applyBorder="1" applyAlignment="1">
      <alignment vertical="center"/>
    </xf>
    <xf numFmtId="4" fontId="0" fillId="6" borderId="126" xfId="0" applyNumberFormat="1" applyFont="1" applyFill="1" applyBorder="1" applyAlignment="1">
      <alignment vertical="center"/>
    </xf>
    <xf numFmtId="4" fontId="0" fillId="6" borderId="87" xfId="0" applyNumberFormat="1" applyFont="1" applyFill="1" applyBorder="1" applyAlignment="1">
      <alignment vertical="center"/>
    </xf>
    <xf numFmtId="4" fontId="0" fillId="6" borderId="73" xfId="0" applyNumberFormat="1" applyFont="1" applyFill="1" applyBorder="1" applyAlignment="1">
      <alignment vertical="center"/>
    </xf>
    <xf numFmtId="4" fontId="18" fillId="0" borderId="148" xfId="0" applyNumberFormat="1" applyFont="1" applyFill="1" applyBorder="1" applyAlignment="1">
      <alignment shrinkToFit="1"/>
    </xf>
    <xf numFmtId="4" fontId="4" fillId="0" borderId="149" xfId="0" applyNumberFormat="1" applyFont="1" applyFill="1" applyBorder="1" applyAlignment="1">
      <alignment vertical="center" shrinkToFit="1"/>
    </xf>
    <xf numFmtId="4" fontId="4" fillId="0" borderId="131" xfId="0" applyNumberFormat="1" applyFont="1" applyFill="1" applyBorder="1" applyAlignment="1">
      <alignment vertical="center" shrinkToFit="1"/>
    </xf>
    <xf numFmtId="0" fontId="8" fillId="0" borderId="101" xfId="0" applyFont="1" applyFill="1" applyBorder="1" applyAlignment="1" applyProtection="1">
      <alignment vertical="center"/>
      <protection locked="0"/>
    </xf>
    <xf numFmtId="0" fontId="0" fillId="0" borderId="142" xfId="0" applyFont="1" applyFill="1" applyBorder="1" applyAlignment="1" applyProtection="1">
      <alignment vertical="center"/>
      <protection locked="0"/>
    </xf>
    <xf numFmtId="0" fontId="3" fillId="6" borderId="79" xfId="0" applyFont="1" applyFill="1" applyBorder="1" applyAlignment="1">
      <alignment vertical="center"/>
    </xf>
    <xf numFmtId="0" fontId="30" fillId="6" borderId="79" xfId="0" applyFont="1" applyFill="1" applyBorder="1" applyAlignment="1">
      <alignment vertical="center" wrapText="1"/>
    </xf>
    <xf numFmtId="0" fontId="3" fillId="6" borderId="79" xfId="0" applyFont="1" applyFill="1" applyBorder="1" applyAlignment="1">
      <alignment vertical="center" wrapText="1"/>
    </xf>
    <xf numFmtId="0" fontId="0" fillId="6" borderId="79" xfId="0" applyFont="1" applyFill="1" applyBorder="1" applyAlignment="1">
      <alignment vertical="center" wrapText="1"/>
    </xf>
    <xf numFmtId="0" fontId="3" fillId="6" borderId="63" xfId="0" applyFont="1" applyFill="1" applyBorder="1" applyAlignment="1">
      <alignment vertical="center"/>
    </xf>
    <xf numFmtId="0" fontId="30" fillId="6" borderId="63" xfId="0" applyFont="1" applyFill="1" applyBorder="1" applyAlignment="1">
      <alignment vertical="center"/>
    </xf>
    <xf numFmtId="0" fontId="11" fillId="6" borderId="63" xfId="0" applyFont="1" applyFill="1" applyBorder="1" applyAlignment="1">
      <alignment vertical="center"/>
    </xf>
    <xf numFmtId="4" fontId="3" fillId="6" borderId="131" xfId="0" applyNumberFormat="1" applyFont="1" applyFill="1" applyBorder="1" applyAlignment="1">
      <alignment vertical="center"/>
    </xf>
    <xf numFmtId="4" fontId="30" fillId="6" borderId="63" xfId="0" applyNumberFormat="1" applyFont="1" applyFill="1" applyBorder="1" applyAlignment="1">
      <alignment vertical="center"/>
    </xf>
    <xf numFmtId="4" fontId="3" fillId="6" borderId="63" xfId="0" applyNumberFormat="1" applyFont="1" applyFill="1" applyBorder="1" applyAlignment="1">
      <alignment shrinkToFit="1"/>
    </xf>
    <xf numFmtId="0" fontId="4" fillId="6" borderId="79" xfId="0" applyFont="1" applyFill="1" applyBorder="1" applyAlignment="1">
      <alignment vertical="center"/>
    </xf>
    <xf numFmtId="0" fontId="11" fillId="6" borderId="63" xfId="0" applyFont="1" applyFill="1" applyBorder="1" applyAlignment="1">
      <alignment horizontal="right" vertical="center"/>
    </xf>
    <xf numFmtId="0" fontId="0" fillId="6" borderId="79" xfId="0" applyFont="1" applyFill="1" applyBorder="1" applyAlignment="1">
      <alignment vertical="center"/>
    </xf>
    <xf numFmtId="0" fontId="3" fillId="6" borderId="63" xfId="0" applyFont="1" applyFill="1" applyBorder="1"/>
    <xf numFmtId="0" fontId="3" fillId="6" borderId="79" xfId="0" applyFont="1" applyFill="1" applyBorder="1" applyAlignment="1">
      <alignment wrapText="1"/>
    </xf>
    <xf numFmtId="0" fontId="32" fillId="6" borderId="63" xfId="0" applyFont="1" applyFill="1" applyBorder="1" applyAlignment="1">
      <alignment horizontal="right" vertical="center"/>
    </xf>
    <xf numFmtId="4" fontId="0" fillId="6" borderId="63" xfId="0" applyNumberFormat="1" applyFont="1" applyFill="1" applyBorder="1" applyAlignment="1">
      <alignment vertical="center"/>
    </xf>
    <xf numFmtId="0" fontId="3" fillId="6" borderId="87" xfId="0" applyFont="1" applyFill="1" applyBorder="1" applyAlignment="1">
      <alignment vertical="center"/>
    </xf>
    <xf numFmtId="0" fontId="3" fillId="6" borderId="98" xfId="0" applyFont="1" applyFill="1" applyBorder="1" applyAlignment="1">
      <alignment vertical="center" wrapText="1"/>
    </xf>
    <xf numFmtId="0" fontId="30" fillId="6" borderId="99" xfId="0" applyFont="1" applyFill="1" applyBorder="1" applyAlignment="1">
      <alignment vertical="center"/>
    </xf>
    <xf numFmtId="0" fontId="3" fillId="6" borderId="69" xfId="0" applyFont="1" applyFill="1" applyBorder="1" applyAlignment="1">
      <alignment vertical="center"/>
    </xf>
    <xf numFmtId="0" fontId="3" fillId="6" borderId="97" xfId="0" applyFont="1" applyFill="1" applyBorder="1" applyAlignment="1">
      <alignment vertical="center"/>
    </xf>
    <xf numFmtId="0" fontId="30" fillId="6" borderId="69" xfId="0" applyFont="1" applyFill="1" applyBorder="1"/>
    <xf numFmtId="4" fontId="0" fillId="6" borderId="67" xfId="0" applyNumberFormat="1" applyFont="1" applyFill="1" applyBorder="1" applyAlignment="1">
      <alignment vertical="center"/>
    </xf>
    <xf numFmtId="0" fontId="30" fillId="6" borderId="106" xfId="0" applyFont="1" applyFill="1" applyBorder="1"/>
    <xf numFmtId="0" fontId="5" fillId="6" borderId="107" xfId="0" applyFont="1" applyFill="1" applyBorder="1"/>
    <xf numFmtId="4" fontId="18" fillId="6" borderId="66" xfId="0" applyNumberFormat="1" applyFont="1" applyFill="1" applyBorder="1"/>
    <xf numFmtId="4" fontId="18" fillId="6" borderId="64" xfId="0" applyNumberFormat="1" applyFont="1" applyFill="1" applyBorder="1"/>
    <xf numFmtId="0" fontId="30" fillId="6" borderId="131" xfId="0" applyFont="1" applyFill="1" applyBorder="1" applyAlignment="1">
      <alignment vertical="center"/>
    </xf>
    <xf numFmtId="0" fontId="30" fillId="6" borderId="133" xfId="0" applyFont="1" applyFill="1" applyBorder="1" applyAlignment="1">
      <alignment vertical="center" wrapText="1"/>
    </xf>
    <xf numFmtId="4" fontId="30" fillId="6" borderId="131" xfId="0" applyNumberFormat="1" applyFont="1" applyFill="1" applyBorder="1" applyAlignment="1">
      <alignment vertical="center"/>
    </xf>
    <xf numFmtId="0" fontId="30" fillId="6" borderId="69" xfId="0" applyFont="1" applyFill="1" applyBorder="1" applyAlignment="1">
      <alignment vertical="center"/>
    </xf>
    <xf numFmtId="4" fontId="0" fillId="6" borderId="69" xfId="0" applyNumberFormat="1" applyFont="1" applyFill="1" applyBorder="1" applyAlignment="1">
      <alignment vertical="center"/>
    </xf>
    <xf numFmtId="0" fontId="56" fillId="6" borderId="88" xfId="0" applyFont="1" applyFill="1" applyBorder="1" applyAlignment="1">
      <alignment vertical="center"/>
    </xf>
    <xf numFmtId="4" fontId="56" fillId="6" borderId="66" xfId="0" applyNumberFormat="1" applyFont="1" applyFill="1" applyBorder="1" applyAlignment="1">
      <alignment vertical="center"/>
    </xf>
    <xf numFmtId="0" fontId="56" fillId="6" borderId="136" xfId="0" applyFont="1" applyFill="1" applyBorder="1"/>
    <xf numFmtId="4" fontId="56" fillId="6" borderId="88" xfId="0" applyNumberFormat="1" applyFont="1" applyFill="1" applyBorder="1" applyAlignment="1">
      <alignment vertical="center"/>
    </xf>
    <xf numFmtId="0" fontId="56" fillId="6" borderId="73" xfId="0" applyFont="1" applyFill="1" applyBorder="1"/>
    <xf numFmtId="0" fontId="56" fillId="6" borderId="88" xfId="0" applyFont="1" applyFill="1" applyBorder="1"/>
    <xf numFmtId="0" fontId="30" fillId="6" borderId="87" xfId="0" applyFont="1" applyFill="1" applyBorder="1" applyAlignment="1">
      <alignment vertical="center"/>
    </xf>
    <xf numFmtId="0" fontId="30" fillId="6" borderId="66" xfId="0" applyFont="1" applyFill="1" applyBorder="1" applyAlignment="1">
      <alignment vertical="center"/>
    </xf>
    <xf numFmtId="0" fontId="30" fillId="6" borderId="100" xfId="0" applyFont="1" applyFill="1" applyBorder="1" applyAlignment="1">
      <alignment vertical="center"/>
    </xf>
    <xf numFmtId="4" fontId="56" fillId="6" borderId="129" xfId="0" applyNumberFormat="1" applyFont="1" applyFill="1" applyBorder="1" applyAlignment="1">
      <alignment vertical="center"/>
    </xf>
    <xf numFmtId="0" fontId="5" fillId="6" borderId="111" xfId="0" applyFont="1" applyFill="1" applyBorder="1"/>
    <xf numFmtId="0" fontId="30" fillId="6" borderId="99" xfId="0" applyFont="1" applyFill="1" applyBorder="1"/>
    <xf numFmtId="0" fontId="30" fillId="6" borderId="96" xfId="0" applyFont="1" applyFill="1" applyBorder="1"/>
    <xf numFmtId="4" fontId="4" fillId="6" borderId="65" xfId="0" applyNumberFormat="1" applyFont="1" applyFill="1" applyBorder="1"/>
    <xf numFmtId="0" fontId="4" fillId="6" borderId="99" xfId="0" applyFont="1" applyFill="1" applyBorder="1" applyAlignment="1">
      <alignment horizontal="right"/>
    </xf>
    <xf numFmtId="0" fontId="0" fillId="6" borderId="86" xfId="0" applyFont="1" applyFill="1" applyBorder="1"/>
    <xf numFmtId="0" fontId="30" fillId="6" borderId="86" xfId="0" applyFont="1" applyFill="1" applyBorder="1" applyAlignment="1">
      <alignment vertical="center" wrapText="1"/>
    </xf>
    <xf numFmtId="0" fontId="30" fillId="6" borderId="69" xfId="0" applyFont="1" applyFill="1" applyBorder="1" applyAlignment="1">
      <alignment horizontal="right" vertical="center"/>
    </xf>
    <xf numFmtId="0" fontId="88" fillId="6" borderId="87" xfId="0" applyFont="1" applyFill="1" applyBorder="1"/>
    <xf numFmtId="0" fontId="88" fillId="6" borderId="0" xfId="0" applyFont="1" applyFill="1"/>
    <xf numFmtId="0" fontId="4" fillId="6" borderId="69" xfId="0" applyFont="1" applyFill="1" applyBorder="1" applyAlignment="1">
      <alignment horizontal="right" vertical="center"/>
    </xf>
    <xf numFmtId="0" fontId="4" fillId="6" borderId="79" xfId="0" applyFont="1" applyFill="1" applyBorder="1" applyAlignment="1">
      <alignment vertical="center" wrapText="1"/>
    </xf>
    <xf numFmtId="0" fontId="0" fillId="6" borderId="63" xfId="0" applyFont="1" applyFill="1" applyBorder="1" applyAlignment="1">
      <alignment horizontal="right" vertical="center"/>
    </xf>
    <xf numFmtId="0" fontId="4" fillId="6" borderId="63" xfId="0" applyFont="1" applyFill="1" applyBorder="1" applyAlignment="1">
      <alignment horizontal="right" vertical="center"/>
    </xf>
    <xf numFmtId="0" fontId="0" fillId="6" borderId="63" xfId="0" applyFont="1" applyFill="1" applyBorder="1" applyAlignment="1">
      <alignment vertical="center"/>
    </xf>
    <xf numFmtId="0" fontId="56" fillId="6" borderId="79" xfId="0" applyFont="1" applyFill="1" applyBorder="1" applyAlignment="1">
      <alignment vertical="center"/>
    </xf>
    <xf numFmtId="0" fontId="0" fillId="6" borderId="87" xfId="0" applyFont="1" applyFill="1" applyBorder="1" applyAlignment="1">
      <alignment vertical="center"/>
    </xf>
    <xf numFmtId="0" fontId="0" fillId="6" borderId="88" xfId="0" applyFont="1" applyFill="1" applyBorder="1" applyAlignment="1">
      <alignment vertical="center"/>
    </xf>
    <xf numFmtId="4" fontId="4" fillId="6" borderId="63" xfId="2" applyNumberFormat="1" applyFont="1" applyFill="1" applyBorder="1" applyAlignment="1" applyProtection="1">
      <alignment vertical="center"/>
    </xf>
    <xf numFmtId="0" fontId="3" fillId="6" borderId="74" xfId="0" applyFont="1" applyFill="1" applyBorder="1" applyAlignment="1">
      <alignment vertical="center" wrapText="1"/>
    </xf>
    <xf numFmtId="0" fontId="30" fillId="6" borderId="88" xfId="0" applyFont="1" applyFill="1" applyBorder="1" applyAlignment="1">
      <alignment vertical="center"/>
    </xf>
    <xf numFmtId="0" fontId="3" fillId="6" borderId="72" xfId="0" applyFont="1" applyFill="1" applyBorder="1" applyAlignment="1">
      <alignment vertical="center"/>
    </xf>
    <xf numFmtId="0" fontId="30" fillId="6" borderId="85" xfId="0" applyFont="1" applyFill="1" applyBorder="1" applyAlignment="1">
      <alignment vertical="center"/>
    </xf>
    <xf numFmtId="0" fontId="3" fillId="6" borderId="78" xfId="0" applyFont="1" applyFill="1" applyBorder="1" applyAlignment="1">
      <alignment vertical="center"/>
    </xf>
    <xf numFmtId="0" fontId="21" fillId="6" borderId="106" xfId="0" applyFont="1" applyFill="1" applyBorder="1"/>
    <xf numFmtId="0" fontId="21" fillId="6" borderId="116" xfId="0" applyFont="1" applyFill="1" applyBorder="1"/>
    <xf numFmtId="4" fontId="21" fillId="6" borderId="64" xfId="0" applyNumberFormat="1" applyFont="1" applyFill="1" applyBorder="1" applyAlignment="1">
      <alignment vertical="center" shrinkToFit="1"/>
    </xf>
    <xf numFmtId="0" fontId="30" fillId="6" borderId="66" xfId="0" applyFont="1" applyFill="1" applyBorder="1"/>
    <xf numFmtId="0" fontId="5" fillId="6" borderId="95" xfId="0" applyFont="1" applyFill="1" applyBorder="1"/>
    <xf numFmtId="4" fontId="0" fillId="6" borderId="85" xfId="0" applyNumberFormat="1" applyFont="1" applyFill="1" applyBorder="1" applyAlignment="1">
      <alignment vertical="center"/>
    </xf>
    <xf numFmtId="4" fontId="6" fillId="6" borderId="143" xfId="0" applyNumberFormat="1" applyFont="1" applyFill="1" applyBorder="1" applyAlignment="1">
      <alignment shrinkToFit="1"/>
    </xf>
    <xf numFmtId="0" fontId="30" fillId="6" borderId="105" xfId="0" applyFont="1" applyFill="1" applyBorder="1" applyAlignment="1">
      <alignment horizontal="left" vertical="center" wrapText="1"/>
    </xf>
    <xf numFmtId="0" fontId="30" fillId="6" borderId="86" xfId="0" applyFont="1" applyFill="1" applyBorder="1" applyAlignment="1">
      <alignment horizontal="left" vertical="center" wrapText="1"/>
    </xf>
    <xf numFmtId="0" fontId="4" fillId="6" borderId="63" xfId="0" applyFont="1" applyFill="1" applyBorder="1" applyAlignment="1">
      <alignment vertical="center"/>
    </xf>
    <xf numFmtId="0" fontId="0" fillId="6" borderId="87" xfId="0" applyFont="1" applyFill="1" applyBorder="1" applyAlignment="1">
      <alignment vertical="center" wrapText="1"/>
    </xf>
    <xf numFmtId="0" fontId="3" fillId="6" borderId="66" xfId="0" applyFont="1" applyFill="1" applyBorder="1" applyAlignment="1">
      <alignment vertical="center"/>
    </xf>
    <xf numFmtId="0" fontId="3" fillId="6" borderId="95" xfId="0" applyFont="1" applyFill="1" applyBorder="1" applyAlignment="1">
      <alignment vertical="center"/>
    </xf>
    <xf numFmtId="0" fontId="36" fillId="6" borderId="106" xfId="0" applyFont="1" applyFill="1" applyBorder="1"/>
    <xf numFmtId="0" fontId="20" fillId="6" borderId="107" xfId="0" applyFont="1" applyFill="1" applyBorder="1"/>
    <xf numFmtId="0" fontId="3" fillId="6" borderId="106" xfId="0" applyFont="1" applyFill="1" applyBorder="1"/>
    <xf numFmtId="0" fontId="21" fillId="6" borderId="107" xfId="0" applyFont="1" applyFill="1" applyBorder="1"/>
    <xf numFmtId="4" fontId="0" fillId="6" borderId="140" xfId="0" applyNumberFormat="1" applyFont="1" applyFill="1" applyBorder="1" applyAlignment="1">
      <alignment vertical="center"/>
    </xf>
    <xf numFmtId="0" fontId="28" fillId="6" borderId="106" xfId="0" applyFont="1" applyFill="1" applyBorder="1"/>
    <xf numFmtId="4" fontId="6" fillId="6" borderId="140" xfId="0" applyNumberFormat="1" applyFont="1" applyFill="1" applyBorder="1"/>
    <xf numFmtId="0" fontId="38" fillId="6" borderId="63" xfId="0" applyFont="1" applyFill="1" applyBorder="1" applyAlignment="1">
      <alignment vertical="center"/>
    </xf>
    <xf numFmtId="4" fontId="4" fillId="6" borderId="87" xfId="0" applyNumberFormat="1" applyFont="1" applyFill="1" applyBorder="1" applyAlignment="1">
      <alignment vertical="center"/>
    </xf>
    <xf numFmtId="4" fontId="24" fillId="6" borderId="137" xfId="0" applyNumberFormat="1" applyFont="1" applyFill="1" applyBorder="1" applyAlignment="1">
      <alignment vertical="center"/>
    </xf>
    <xf numFmtId="0" fontId="0" fillId="6" borderId="133" xfId="0" applyFont="1" applyFill="1" applyBorder="1" applyAlignment="1">
      <alignment vertical="center"/>
    </xf>
    <xf numFmtId="0" fontId="78" fillId="6" borderId="79" xfId="0" applyFont="1" applyFill="1" applyBorder="1" applyAlignment="1">
      <alignment vertical="center"/>
    </xf>
    <xf numFmtId="0" fontId="38" fillId="6" borderId="69" xfId="0" applyFont="1" applyFill="1" applyBorder="1" applyAlignment="1">
      <alignment vertical="center"/>
    </xf>
    <xf numFmtId="0" fontId="79" fillId="6" borderId="69" xfId="0" applyFont="1" applyFill="1" applyBorder="1" applyAlignment="1">
      <alignment vertical="center"/>
    </xf>
    <xf numFmtId="0" fontId="78" fillId="6" borderId="97" xfId="0" applyFont="1" applyFill="1" applyBorder="1" applyAlignment="1">
      <alignment vertical="center"/>
    </xf>
    <xf numFmtId="0" fontId="8" fillId="6" borderId="63" xfId="0" applyFont="1" applyFill="1" applyBorder="1" applyAlignment="1">
      <alignment vertical="center"/>
    </xf>
    <xf numFmtId="0" fontId="3" fillId="6" borderId="116" xfId="0" applyFont="1" applyFill="1" applyBorder="1" applyAlignment="1">
      <alignment vertical="center"/>
    </xf>
    <xf numFmtId="4" fontId="24" fillId="6" borderId="147" xfId="0" applyNumberFormat="1" applyFont="1" applyFill="1" applyBorder="1"/>
    <xf numFmtId="0" fontId="8" fillId="6" borderId="66" xfId="0" applyFont="1" applyFill="1" applyBorder="1" applyAlignment="1">
      <alignment vertical="center"/>
    </xf>
    <xf numFmtId="0" fontId="3" fillId="6" borderId="115" xfId="0" applyFont="1" applyFill="1" applyBorder="1" applyAlignment="1">
      <alignment vertical="center"/>
    </xf>
    <xf numFmtId="4" fontId="0" fillId="6" borderId="132" xfId="0" applyNumberFormat="1" applyFont="1" applyFill="1" applyBorder="1" applyAlignment="1">
      <alignment vertical="center"/>
    </xf>
    <xf numFmtId="4" fontId="4" fillId="6" borderId="65" xfId="0" applyNumberFormat="1" applyFont="1" applyFill="1" applyBorder="1" applyAlignment="1">
      <alignment vertical="center"/>
    </xf>
    <xf numFmtId="0" fontId="0" fillId="6" borderId="79" xfId="0" applyFont="1" applyFill="1" applyBorder="1" applyAlignment="1">
      <alignment horizontal="left" vertical="center"/>
    </xf>
    <xf numFmtId="0" fontId="11" fillId="6" borderId="79" xfId="0" applyFont="1" applyFill="1" applyBorder="1" applyAlignment="1">
      <alignment vertical="center"/>
    </xf>
    <xf numFmtId="0" fontId="80" fillId="6" borderId="63" xfId="0" applyFont="1" applyFill="1" applyBorder="1" applyAlignment="1">
      <alignment vertical="center"/>
    </xf>
    <xf numFmtId="0" fontId="45" fillId="6" borderId="104" xfId="0" applyFont="1" applyFill="1" applyBorder="1"/>
    <xf numFmtId="0" fontId="45" fillId="6" borderId="112" xfId="0" applyFont="1" applyFill="1" applyBorder="1"/>
    <xf numFmtId="4" fontId="45" fillId="6" borderId="144" xfId="0" applyNumberFormat="1" applyFont="1" applyFill="1" applyBorder="1" applyAlignment="1">
      <alignment vertical="center"/>
    </xf>
    <xf numFmtId="0" fontId="8" fillId="6" borderId="122" xfId="0" applyFont="1" applyFill="1" applyBorder="1" applyAlignment="1">
      <alignment vertical="center"/>
    </xf>
    <xf numFmtId="0" fontId="24" fillId="6" borderId="114" xfId="0" applyFont="1" applyFill="1" applyBorder="1" applyAlignment="1">
      <alignment horizontal="left" vertical="center"/>
    </xf>
    <xf numFmtId="4" fontId="24" fillId="6" borderId="144" xfId="0" applyNumberFormat="1" applyFont="1" applyFill="1" applyBorder="1" applyAlignment="1">
      <alignment vertical="center"/>
    </xf>
    <xf numFmtId="49" fontId="0" fillId="6" borderId="79" xfId="0" applyNumberFormat="1" applyFont="1" applyFill="1" applyBorder="1" applyAlignment="1">
      <alignment vertical="center" wrapText="1"/>
    </xf>
    <xf numFmtId="49" fontId="64" fillId="6" borderId="79" xfId="0" applyNumberFormat="1" applyFont="1" applyFill="1" applyBorder="1" applyAlignment="1">
      <alignment vertical="center" wrapText="1"/>
    </xf>
    <xf numFmtId="4" fontId="64" fillId="6" borderId="63" xfId="0" applyNumberFormat="1" applyFont="1" applyFill="1" applyBorder="1" applyAlignment="1">
      <alignment horizontal="right" vertical="center"/>
    </xf>
    <xf numFmtId="0" fontId="0" fillId="6" borderId="133" xfId="0" applyFont="1" applyFill="1" applyBorder="1" applyAlignment="1">
      <alignment vertical="center" wrapText="1"/>
    </xf>
    <xf numFmtId="0" fontId="64" fillId="6" borderId="133" xfId="0" applyFont="1" applyFill="1" applyBorder="1" applyAlignment="1">
      <alignment vertical="center" wrapText="1"/>
    </xf>
    <xf numFmtId="4" fontId="64" fillId="6" borderId="63" xfId="0" applyNumberFormat="1" applyFont="1" applyFill="1" applyBorder="1" applyAlignment="1">
      <alignment vertical="center"/>
    </xf>
    <xf numFmtId="0" fontId="49" fillId="6" borderId="133" xfId="0" applyFont="1" applyFill="1" applyBorder="1" applyAlignment="1">
      <alignment vertical="center"/>
    </xf>
    <xf numFmtId="0" fontId="64" fillId="6" borderId="79" xfId="0" applyFont="1" applyFill="1" applyBorder="1" applyAlignment="1">
      <alignment vertical="center"/>
    </xf>
    <xf numFmtId="4" fontId="64" fillId="6" borderId="131" xfId="0" applyNumberFormat="1" applyFont="1" applyFill="1" applyBorder="1" applyAlignment="1">
      <alignment vertical="center"/>
    </xf>
    <xf numFmtId="49" fontId="0" fillId="6" borderId="133" xfId="0" applyNumberFormat="1" applyFont="1" applyFill="1" applyBorder="1" applyAlignment="1">
      <alignment vertical="center"/>
    </xf>
    <xf numFmtId="0" fontId="64" fillId="6" borderId="79" xfId="0" applyFont="1" applyFill="1" applyBorder="1" applyAlignment="1">
      <alignment vertical="center" wrapText="1"/>
    </xf>
    <xf numFmtId="4" fontId="64" fillId="6" borderId="63" xfId="0" applyNumberFormat="1" applyFont="1" applyFill="1" applyBorder="1"/>
    <xf numFmtId="0" fontId="49" fillId="6" borderId="79" xfId="0" applyFont="1" applyFill="1" applyBorder="1" applyAlignment="1">
      <alignment vertical="center" wrapText="1"/>
    </xf>
    <xf numFmtId="4" fontId="49" fillId="6" borderId="131" xfId="0" applyNumberFormat="1" applyFont="1" applyFill="1" applyBorder="1"/>
    <xf numFmtId="0" fontId="49" fillId="6" borderId="79" xfId="0" applyFont="1" applyFill="1" applyBorder="1" applyAlignment="1">
      <alignment vertical="center"/>
    </xf>
    <xf numFmtId="4" fontId="49" fillId="6" borderId="63" xfId="0" applyNumberFormat="1" applyFont="1" applyFill="1" applyBorder="1" applyAlignment="1">
      <alignment vertical="center"/>
    </xf>
    <xf numFmtId="0" fontId="64" fillId="6" borderId="133" xfId="0" applyFont="1" applyFill="1" applyBorder="1" applyAlignment="1">
      <alignment vertical="center"/>
    </xf>
    <xf numFmtId="49" fontId="49" fillId="6" borderId="133" xfId="0" applyNumberFormat="1" applyFont="1" applyFill="1" applyBorder="1" applyAlignment="1">
      <alignment vertical="center" wrapText="1"/>
    </xf>
    <xf numFmtId="49" fontId="0" fillId="6" borderId="133" xfId="0" applyNumberFormat="1" applyFont="1" applyFill="1" applyBorder="1" applyAlignment="1">
      <alignment vertical="center" wrapText="1"/>
    </xf>
    <xf numFmtId="4" fontId="0" fillId="6" borderId="63" xfId="0" applyNumberFormat="1" applyFont="1" applyFill="1" applyBorder="1" applyAlignment="1">
      <alignment horizontal="right" vertical="center"/>
    </xf>
    <xf numFmtId="49" fontId="49" fillId="6" borderId="79" xfId="0" applyNumberFormat="1" applyFont="1" applyFill="1" applyBorder="1" applyAlignment="1">
      <alignment vertical="center"/>
    </xf>
    <xf numFmtId="4" fontId="49" fillId="6" borderId="131" xfId="0" applyNumberFormat="1" applyFont="1" applyFill="1" applyBorder="1" applyAlignment="1">
      <alignment vertical="center"/>
    </xf>
    <xf numFmtId="0" fontId="0" fillId="6" borderId="79" xfId="3" applyFont="1" applyFill="1" applyBorder="1" applyAlignment="1">
      <alignment vertical="center" wrapText="1"/>
    </xf>
    <xf numFmtId="0" fontId="0" fillId="6" borderId="133" xfId="3" applyFont="1" applyFill="1" applyBorder="1" applyAlignment="1">
      <alignment vertical="center" wrapText="1"/>
    </xf>
    <xf numFmtId="0" fontId="64" fillId="6" borderId="79" xfId="3" applyFont="1" applyFill="1" applyBorder="1" applyAlignment="1">
      <alignment vertical="center" wrapText="1"/>
    </xf>
    <xf numFmtId="49" fontId="0" fillId="6" borderId="79" xfId="3" applyNumberFormat="1" applyFont="1" applyFill="1" applyBorder="1" applyAlignment="1">
      <alignment vertical="center" wrapText="1"/>
    </xf>
    <xf numFmtId="0" fontId="0" fillId="6" borderId="79" xfId="3" applyFont="1" applyFill="1" applyBorder="1" applyAlignment="1">
      <alignment vertical="center"/>
    </xf>
    <xf numFmtId="0" fontId="64" fillId="6" borderId="79" xfId="3" applyFont="1" applyFill="1" applyBorder="1" applyAlignment="1">
      <alignment vertical="center"/>
    </xf>
    <xf numFmtId="2" fontId="0" fillId="6" borderId="79" xfId="0" applyNumberFormat="1" applyFont="1" applyFill="1" applyBorder="1" applyAlignment="1">
      <alignment vertical="center" wrapText="1"/>
    </xf>
    <xf numFmtId="0" fontId="0" fillId="6" borderId="79" xfId="4" applyFont="1" applyFill="1" applyBorder="1" applyAlignment="1">
      <alignment vertical="center" wrapText="1"/>
    </xf>
    <xf numFmtId="0" fontId="0" fillId="6" borderId="133" xfId="4" applyFont="1" applyFill="1" applyBorder="1" applyAlignment="1">
      <alignment vertical="center" wrapText="1"/>
    </xf>
    <xf numFmtId="49" fontId="0" fillId="6" borderId="133" xfId="3" applyNumberFormat="1" applyFont="1" applyFill="1" applyBorder="1" applyAlignment="1">
      <alignment vertical="center" wrapText="1"/>
    </xf>
    <xf numFmtId="0" fontId="64" fillId="6" borderId="133" xfId="3" applyFont="1" applyFill="1" applyBorder="1" applyAlignment="1">
      <alignment vertical="center" wrapText="1"/>
    </xf>
    <xf numFmtId="0" fontId="4" fillId="6" borderId="133" xfId="3" applyFont="1" applyFill="1" applyBorder="1" applyAlignment="1">
      <alignment vertical="center" wrapText="1"/>
    </xf>
    <xf numFmtId="0" fontId="0" fillId="6" borderId="125" xfId="3" applyFont="1" applyFill="1" applyBorder="1" applyAlignment="1">
      <alignment vertical="center" wrapText="1"/>
    </xf>
    <xf numFmtId="0" fontId="0" fillId="6" borderId="134" xfId="3" applyFont="1" applyFill="1" applyBorder="1" applyAlignment="1">
      <alignment vertical="top" wrapText="1"/>
    </xf>
    <xf numFmtId="49" fontId="0" fillId="6" borderId="133" xfId="4" applyNumberFormat="1" applyFont="1" applyFill="1" applyBorder="1" applyAlignment="1">
      <alignment vertical="center" wrapText="1"/>
    </xf>
    <xf numFmtId="49" fontId="4" fillId="6" borderId="133" xfId="4" applyNumberFormat="1" applyFont="1" applyFill="1" applyBorder="1" applyAlignment="1">
      <alignment vertical="center" wrapText="1"/>
    </xf>
    <xf numFmtId="0" fontId="4" fillId="6" borderId="133" xfId="4" applyFont="1" applyFill="1" applyBorder="1" applyAlignment="1">
      <alignment vertical="center" wrapText="1"/>
    </xf>
    <xf numFmtId="4" fontId="0" fillId="6" borderId="63" xfId="0" applyNumberFormat="1" applyFont="1" applyFill="1" applyBorder="1" applyAlignment="1">
      <alignment vertical="center" wrapText="1"/>
    </xf>
    <xf numFmtId="49" fontId="0" fillId="6" borderId="133" xfId="3" applyNumberFormat="1" applyFont="1" applyFill="1" applyBorder="1" applyAlignment="1">
      <alignment vertical="center"/>
    </xf>
    <xf numFmtId="0" fontId="0" fillId="6" borderId="95" xfId="0" applyFont="1" applyFill="1" applyBorder="1" applyAlignment="1">
      <alignment vertical="center"/>
    </xf>
    <xf numFmtId="0" fontId="0" fillId="6" borderId="98" xfId="0" applyFont="1" applyFill="1" applyBorder="1" applyAlignment="1">
      <alignment vertical="center"/>
    </xf>
    <xf numFmtId="0" fontId="56" fillId="6" borderId="135" xfId="0" applyFont="1" applyFill="1" applyBorder="1" applyAlignment="1">
      <alignment vertical="center"/>
    </xf>
    <xf numFmtId="0" fontId="4" fillId="6" borderId="69" xfId="0" applyFont="1" applyFill="1" applyBorder="1" applyAlignment="1">
      <alignment vertical="center"/>
    </xf>
    <xf numFmtId="0" fontId="0" fillId="6" borderId="97" xfId="0" applyFont="1" applyFill="1" applyBorder="1" applyAlignment="1">
      <alignment vertical="center"/>
    </xf>
    <xf numFmtId="4" fontId="21" fillId="6" borderId="85" xfId="0" applyNumberFormat="1" applyFont="1" applyFill="1" applyBorder="1" applyAlignment="1">
      <alignment shrinkToFit="1"/>
    </xf>
    <xf numFmtId="0" fontId="30" fillId="0" borderId="153" xfId="0" applyFont="1" applyFill="1" applyBorder="1" applyAlignment="1">
      <alignment vertical="center"/>
    </xf>
    <xf numFmtId="0" fontId="21" fillId="0" borderId="157" xfId="0" applyFont="1" applyFill="1" applyBorder="1" applyAlignment="1">
      <alignment wrapText="1"/>
    </xf>
    <xf numFmtId="0" fontId="5" fillId="0" borderId="153" xfId="0" applyFont="1" applyFill="1" applyBorder="1"/>
    <xf numFmtId="0" fontId="5" fillId="0" borderId="157" xfId="0" applyFont="1" applyFill="1" applyBorder="1" applyAlignment="1">
      <alignment wrapText="1"/>
    </xf>
    <xf numFmtId="4" fontId="24" fillId="0" borderId="153" xfId="0" applyNumberFormat="1" applyFont="1" applyFill="1" applyBorder="1"/>
    <xf numFmtId="0" fontId="30" fillId="0" borderId="100" xfId="0" applyFont="1" applyFill="1" applyBorder="1" applyAlignment="1">
      <alignment vertical="center"/>
    </xf>
    <xf numFmtId="0" fontId="30" fillId="0" borderId="125" xfId="0" applyFont="1" applyFill="1" applyBorder="1" applyAlignment="1">
      <alignment vertical="center" wrapText="1"/>
    </xf>
    <xf numFmtId="4" fontId="69" fillId="0" borderId="153" xfId="0" applyNumberFormat="1" applyFont="1" applyFill="1" applyBorder="1"/>
    <xf numFmtId="49" fontId="30" fillId="0" borderId="100" xfId="0" applyNumberFormat="1" applyFont="1" applyFill="1" applyBorder="1" applyAlignment="1">
      <alignment horizontal="right" vertical="center"/>
    </xf>
    <xf numFmtId="2" fontId="30" fillId="0" borderId="125" xfId="0" applyNumberFormat="1" applyFont="1" applyFill="1" applyBorder="1" applyAlignment="1">
      <alignment vertical="center" wrapText="1"/>
    </xf>
    <xf numFmtId="0" fontId="5" fillId="0" borderId="157" xfId="0" applyFont="1" applyFill="1" applyBorder="1"/>
    <xf numFmtId="4" fontId="69" fillId="0" borderId="153" xfId="0" applyNumberFormat="1" applyFont="1" applyFill="1" applyBorder="1" applyAlignment="1">
      <alignment vertical="center" shrinkToFit="1"/>
    </xf>
    <xf numFmtId="4" fontId="89" fillId="0" borderId="153" xfId="0" applyNumberFormat="1" applyFont="1" applyFill="1" applyBorder="1"/>
    <xf numFmtId="4" fontId="3" fillId="6" borderId="87" xfId="0" applyNumberFormat="1" applyFont="1" applyFill="1" applyBorder="1" applyAlignment="1">
      <alignment vertical="center"/>
    </xf>
    <xf numFmtId="0" fontId="44" fillId="0" borderId="152" xfId="0" applyFont="1" applyFill="1" applyBorder="1" applyAlignment="1">
      <alignment vertical="center"/>
    </xf>
    <xf numFmtId="0" fontId="45" fillId="0" borderId="158" xfId="0" applyFont="1" applyFill="1" applyBorder="1" applyAlignment="1">
      <alignment vertical="center"/>
    </xf>
    <xf numFmtId="0" fontId="3" fillId="0" borderId="129" xfId="0" applyFont="1" applyFill="1" applyBorder="1" applyAlignment="1">
      <alignment vertical="center"/>
    </xf>
    <xf numFmtId="4" fontId="0" fillId="0" borderId="160" xfId="0" applyNumberFormat="1" applyFont="1" applyFill="1" applyBorder="1" applyAlignment="1">
      <alignment vertical="center"/>
    </xf>
    <xf numFmtId="4" fontId="0" fillId="0" borderId="161" xfId="0" applyNumberFormat="1" applyFont="1" applyFill="1" applyBorder="1" applyAlignment="1">
      <alignment vertical="center"/>
    </xf>
    <xf numFmtId="0" fontId="5" fillId="6" borderId="147" xfId="0" applyFont="1" applyFill="1" applyBorder="1" applyAlignment="1">
      <alignment vertical="center"/>
    </xf>
    <xf numFmtId="0" fontId="5" fillId="6" borderId="159" xfId="0" applyFont="1" applyFill="1" applyBorder="1" applyAlignment="1">
      <alignment vertical="center"/>
    </xf>
    <xf numFmtId="4" fontId="5" fillId="6" borderId="147" xfId="0" applyNumberFormat="1" applyFont="1" applyFill="1" applyBorder="1" applyAlignment="1">
      <alignment vertical="center"/>
    </xf>
    <xf numFmtId="0" fontId="30" fillId="6" borderId="151" xfId="0" applyFont="1" applyFill="1" applyBorder="1" applyAlignment="1">
      <alignment vertical="center"/>
    </xf>
    <xf numFmtId="0" fontId="30" fillId="6" borderId="156" xfId="0" applyFont="1" applyFill="1" applyBorder="1" applyAlignment="1">
      <alignment vertical="center"/>
    </xf>
    <xf numFmtId="4" fontId="4" fillId="6" borderId="149" xfId="0" applyNumberFormat="1" applyFont="1" applyFill="1" applyBorder="1" applyAlignment="1">
      <alignment vertical="center"/>
    </xf>
    <xf numFmtId="4" fontId="0" fillId="6" borderId="162" xfId="0" applyNumberFormat="1" applyFont="1" applyFill="1" applyBorder="1" applyAlignment="1">
      <alignment vertical="center"/>
    </xf>
    <xf numFmtId="0" fontId="30" fillId="6" borderId="162" xfId="0" applyFont="1" applyFill="1" applyBorder="1" applyAlignment="1">
      <alignment vertical="center"/>
    </xf>
    <xf numFmtId="0" fontId="30" fillId="6" borderId="163" xfId="0" applyFont="1" applyFill="1" applyBorder="1" applyAlignment="1">
      <alignment vertical="center"/>
    </xf>
    <xf numFmtId="0" fontId="5" fillId="6" borderId="147" xfId="0" applyFont="1" applyFill="1" applyBorder="1"/>
    <xf numFmtId="0" fontId="5" fillId="6" borderId="159" xfId="0" applyFont="1" applyFill="1" applyBorder="1"/>
    <xf numFmtId="4" fontId="4" fillId="6" borderId="151" xfId="0" applyNumberFormat="1" applyFont="1" applyFill="1" applyBorder="1" applyAlignment="1">
      <alignment vertical="center"/>
    </xf>
    <xf numFmtId="0" fontId="0" fillId="6" borderId="163" xfId="0" applyFont="1" applyFill="1" applyBorder="1" applyAlignment="1">
      <alignment vertical="center"/>
    </xf>
    <xf numFmtId="0" fontId="3" fillId="6" borderId="163" xfId="0" applyFont="1" applyFill="1" applyBorder="1" applyAlignment="1">
      <alignment vertical="center"/>
    </xf>
    <xf numFmtId="4" fontId="77" fillId="6" borderId="162" xfId="0" applyNumberFormat="1" applyFont="1" applyFill="1" applyBorder="1" applyAlignment="1">
      <alignment vertical="center"/>
    </xf>
    <xf numFmtId="4" fontId="78" fillId="6" borderId="162" xfId="0" applyNumberFormat="1" applyFont="1" applyFill="1" applyBorder="1" applyAlignment="1">
      <alignment vertical="center"/>
    </xf>
    <xf numFmtId="0" fontId="8" fillId="6" borderId="162" xfId="0" applyFont="1" applyFill="1" applyBorder="1" applyAlignment="1">
      <alignment vertical="center"/>
    </xf>
    <xf numFmtId="4" fontId="24" fillId="6" borderId="152" xfId="0" applyNumberFormat="1" applyFont="1" applyFill="1" applyBorder="1"/>
    <xf numFmtId="0" fontId="0" fillId="6" borderId="163" xfId="0" applyFont="1" applyFill="1" applyBorder="1" applyAlignment="1">
      <alignment horizontal="left" vertical="center"/>
    </xf>
    <xf numFmtId="4" fontId="0" fillId="0" borderId="162" xfId="0" applyNumberFormat="1" applyFont="1" applyFill="1" applyBorder="1" applyAlignment="1">
      <alignment vertical="center"/>
    </xf>
    <xf numFmtId="4" fontId="77" fillId="0" borderId="162" xfId="0" applyNumberFormat="1" applyFont="1" applyFill="1" applyBorder="1" applyAlignment="1">
      <alignment vertical="center"/>
    </xf>
    <xf numFmtId="0" fontId="3" fillId="0" borderId="163" xfId="0" applyFont="1" applyFill="1" applyBorder="1" applyAlignment="1">
      <alignment vertical="center"/>
    </xf>
    <xf numFmtId="0" fontId="8" fillId="0" borderId="162" xfId="0" applyFont="1" applyFill="1" applyBorder="1" applyAlignment="1">
      <alignment vertical="center"/>
    </xf>
    <xf numFmtId="0" fontId="28" fillId="0" borderId="137" xfId="0" applyFont="1" applyFill="1" applyBorder="1"/>
    <xf numFmtId="0" fontId="21" fillId="0" borderId="112" xfId="0" applyFont="1" applyFill="1" applyBorder="1"/>
    <xf numFmtId="4" fontId="6" fillId="0" borderId="164" xfId="0" applyNumberFormat="1" applyFont="1" applyFill="1" applyBorder="1"/>
    <xf numFmtId="4" fontId="24" fillId="0" borderId="138" xfId="0" applyNumberFormat="1" applyFont="1" applyFill="1" applyBorder="1" applyAlignment="1">
      <alignment vertical="center"/>
    </xf>
    <xf numFmtId="0" fontId="4" fillId="0" borderId="145" xfId="0" applyFont="1" applyFill="1" applyBorder="1" applyAlignment="1">
      <alignment horizontal="right" vertical="center"/>
    </xf>
    <xf numFmtId="49" fontId="4" fillId="0" borderId="156" xfId="0" applyNumberFormat="1" applyFont="1" applyFill="1" applyBorder="1" applyAlignment="1">
      <alignment vertical="center" wrapText="1"/>
    </xf>
    <xf numFmtId="4" fontId="64" fillId="0" borderId="63" xfId="0" applyNumberFormat="1" applyFont="1" applyFill="1" applyBorder="1"/>
    <xf numFmtId="4" fontId="49" fillId="0" borderId="63" xfId="0" applyNumberFormat="1" applyFont="1" applyFill="1" applyBorder="1" applyAlignment="1">
      <alignment vertical="center"/>
    </xf>
    <xf numFmtId="49" fontId="4" fillId="0" borderId="133" xfId="3" applyNumberFormat="1" applyFont="1" applyFill="1" applyBorder="1" applyAlignment="1">
      <alignment vertical="center" wrapText="1"/>
    </xf>
    <xf numFmtId="4" fontId="0" fillId="0" borderId="126" xfId="0" applyNumberFormat="1" applyFont="1" applyFill="1" applyBorder="1" applyAlignment="1">
      <alignment vertical="center"/>
    </xf>
    <xf numFmtId="0" fontId="56" fillId="0" borderId="160" xfId="0" applyFont="1" applyFill="1" applyBorder="1" applyAlignment="1">
      <alignment horizontal="right" vertical="center"/>
    </xf>
    <xf numFmtId="4" fontId="0" fillId="6" borderId="160" xfId="0" applyNumberFormat="1" applyFont="1" applyFill="1" applyBorder="1" applyAlignment="1">
      <alignment vertical="center"/>
    </xf>
    <xf numFmtId="4" fontId="3" fillId="0" borderId="0" xfId="0" applyNumberFormat="1" applyFont="1" applyFill="1"/>
    <xf numFmtId="0" fontId="21" fillId="0" borderId="147" xfId="0" applyFont="1" applyFill="1" applyBorder="1" applyAlignment="1">
      <alignment horizontal="center" vertical="center"/>
    </xf>
    <xf numFmtId="4" fontId="21" fillId="0" borderId="153" xfId="0" applyNumberFormat="1" applyFont="1" applyFill="1" applyBorder="1" applyAlignment="1">
      <alignment vertical="center"/>
    </xf>
    <xf numFmtId="0" fontId="3" fillId="0" borderId="87" xfId="0" applyFont="1" applyFill="1" applyBorder="1" applyAlignment="1">
      <alignment vertical="center"/>
    </xf>
    <xf numFmtId="0" fontId="8" fillId="0" borderId="161" xfId="0" applyFont="1" applyFill="1" applyBorder="1" applyAlignment="1">
      <alignment vertical="center"/>
    </xf>
    <xf numFmtId="4" fontId="4" fillId="6" borderId="162" xfId="0" applyNumberFormat="1" applyFont="1" applyFill="1" applyBorder="1" applyAlignment="1">
      <alignment vertical="center"/>
    </xf>
    <xf numFmtId="0" fontId="30" fillId="0" borderId="0" xfId="0" applyFont="1" applyFill="1" applyBorder="1"/>
    <xf numFmtId="0" fontId="0" fillId="0" borderId="129" xfId="0" applyFont="1" applyFill="1" applyBorder="1" applyAlignment="1">
      <alignment vertical="center"/>
    </xf>
    <xf numFmtId="0" fontId="3" fillId="6" borderId="163" xfId="0" applyFont="1" applyFill="1" applyBorder="1" applyAlignment="1">
      <alignment vertical="center" wrapText="1"/>
    </xf>
    <xf numFmtId="4" fontId="3" fillId="6" borderId="66" xfId="0" applyNumberFormat="1" applyFont="1" applyFill="1" applyBorder="1" applyAlignment="1">
      <alignment vertical="center"/>
    </xf>
    <xf numFmtId="0" fontId="30" fillId="0" borderId="162" xfId="0" applyFont="1" applyFill="1" applyBorder="1" applyAlignment="1">
      <alignment vertical="center"/>
    </xf>
    <xf numFmtId="0" fontId="21" fillId="0" borderId="138" xfId="0" applyFont="1" applyFill="1" applyBorder="1"/>
    <xf numFmtId="4" fontId="0" fillId="0" borderId="162" xfId="0" applyNumberFormat="1" applyFont="1" applyFill="1" applyBorder="1"/>
    <xf numFmtId="0" fontId="91" fillId="0" borderId="0" xfId="6" applyFont="1" applyAlignment="1">
      <alignment vertical="center"/>
    </xf>
    <xf numFmtId="0" fontId="92" fillId="0" borderId="0" xfId="6" applyFont="1" applyAlignment="1">
      <alignment horizontal="center" vertical="center"/>
    </xf>
    <xf numFmtId="0" fontId="92" fillId="0" borderId="0" xfId="6" applyFont="1" applyAlignment="1">
      <alignment vertical="center"/>
    </xf>
    <xf numFmtId="0" fontId="91" fillId="0" borderId="0" xfId="6" applyFont="1" applyAlignment="1">
      <alignment horizontal="justify" vertical="justify"/>
    </xf>
    <xf numFmtId="0" fontId="94" fillId="0" borderId="0" xfId="6" applyFont="1" applyAlignment="1">
      <alignment vertical="center"/>
    </xf>
    <xf numFmtId="0" fontId="94" fillId="0" borderId="0" xfId="6" applyFont="1" applyAlignment="1">
      <alignment horizontal="center" vertical="center"/>
    </xf>
    <xf numFmtId="0" fontId="95" fillId="0" borderId="0" xfId="6" applyFont="1" applyAlignment="1">
      <alignment horizontal="right" vertical="justify"/>
    </xf>
    <xf numFmtId="49" fontId="95" fillId="8" borderId="174" xfId="6" applyNumberFormat="1" applyFont="1" applyFill="1" applyBorder="1" applyAlignment="1">
      <alignment horizontal="center" vertical="center"/>
    </xf>
    <xf numFmtId="0" fontId="97" fillId="0" borderId="177" xfId="6" applyFont="1" applyBorder="1" applyAlignment="1">
      <alignment horizontal="center" vertical="center"/>
    </xf>
    <xf numFmtId="0" fontId="97" fillId="0" borderId="178" xfId="6" applyFont="1" applyBorder="1" applyAlignment="1">
      <alignment horizontal="center" vertical="center" wrapText="1"/>
    </xf>
    <xf numFmtId="0" fontId="98" fillId="0" borderId="179" xfId="6" applyFont="1" applyBorder="1" applyAlignment="1">
      <alignment horizontal="left" vertical="center" wrapText="1"/>
    </xf>
    <xf numFmtId="3" fontId="98" fillId="0" borderId="179" xfId="6" applyNumberFormat="1" applyFont="1" applyBorder="1" applyAlignment="1">
      <alignment vertical="center"/>
    </xf>
    <xf numFmtId="3" fontId="98" fillId="0" borderId="179" xfId="6" applyNumberFormat="1" applyFont="1" applyBorder="1" applyAlignment="1">
      <alignment horizontal="right" vertical="center"/>
    </xf>
    <xf numFmtId="3" fontId="98" fillId="8" borderId="179" xfId="7" applyNumberFormat="1" applyFont="1" applyFill="1" applyBorder="1" applyAlignment="1">
      <alignment horizontal="right" vertical="center"/>
    </xf>
    <xf numFmtId="0" fontId="98" fillId="0" borderId="180" xfId="7" applyFont="1" applyBorder="1" applyAlignment="1">
      <alignment horizontal="justify" vertical="center" wrapText="1"/>
    </xf>
    <xf numFmtId="3" fontId="95" fillId="8" borderId="185" xfId="6" applyNumberFormat="1" applyFont="1" applyFill="1" applyBorder="1" applyAlignment="1">
      <alignment vertical="center"/>
    </xf>
    <xf numFmtId="3" fontId="95" fillId="8" borderId="186" xfId="6" applyNumberFormat="1" applyFont="1" applyFill="1" applyBorder="1" applyAlignment="1">
      <alignment horizontal="justify" vertical="center"/>
    </xf>
    <xf numFmtId="0" fontId="99" fillId="0" borderId="0" xfId="6" applyFont="1" applyAlignment="1">
      <alignment horizontal="center" vertical="center" wrapText="1"/>
    </xf>
    <xf numFmtId="3" fontId="99" fillId="0" borderId="0" xfId="6" applyNumberFormat="1" applyFont="1" applyAlignment="1">
      <alignment horizontal="center" vertical="center" wrapText="1"/>
    </xf>
    <xf numFmtId="3" fontId="92" fillId="0" borderId="0" xfId="6" applyNumberFormat="1" applyFont="1" applyAlignment="1">
      <alignment vertical="center"/>
    </xf>
    <xf numFmtId="0" fontId="99" fillId="0" borderId="0" xfId="6" applyFont="1" applyAlignment="1">
      <alignment vertical="center"/>
    </xf>
    <xf numFmtId="0" fontId="0" fillId="0" borderId="163" xfId="0" applyFont="1" applyFill="1" applyBorder="1" applyAlignment="1">
      <alignment vertical="center"/>
    </xf>
    <xf numFmtId="0" fontId="30" fillId="6" borderId="163" xfId="0" applyFont="1" applyFill="1" applyBorder="1" applyAlignment="1">
      <alignment vertical="center" wrapText="1"/>
    </xf>
    <xf numFmtId="0" fontId="5" fillId="6" borderId="122" xfId="0" applyFont="1" applyFill="1" applyBorder="1"/>
    <xf numFmtId="0" fontId="75" fillId="0" borderId="0" xfId="0" applyFont="1" applyFill="1" applyBorder="1" applyAlignment="1">
      <alignment vertical="center" wrapText="1"/>
    </xf>
    <xf numFmtId="0" fontId="75" fillId="0" borderId="122" xfId="0" applyFont="1" applyFill="1" applyBorder="1" applyAlignment="1">
      <alignment vertical="center" wrapText="1"/>
    </xf>
    <xf numFmtId="4" fontId="4" fillId="0" borderId="162" xfId="0" applyNumberFormat="1" applyFont="1" applyFill="1" applyBorder="1" applyAlignment="1">
      <alignment vertical="center"/>
    </xf>
    <xf numFmtId="0" fontId="32" fillId="0" borderId="88" xfId="0" applyFont="1" applyFill="1" applyBorder="1" applyAlignment="1">
      <alignment horizontal="right" vertical="center"/>
    </xf>
    <xf numFmtId="4" fontId="4" fillId="0" borderId="131" xfId="0" applyNumberFormat="1" applyFont="1" applyFill="1" applyBorder="1" applyAlignment="1">
      <alignment horizontal="right" vertical="center"/>
    </xf>
    <xf numFmtId="4" fontId="5" fillId="0" borderId="187" xfId="0" applyNumberFormat="1" applyFont="1" applyBorder="1" applyAlignment="1">
      <alignment horizontal="center" vertical="center" wrapText="1"/>
    </xf>
    <xf numFmtId="4" fontId="13" fillId="0" borderId="187" xfId="0" applyNumberFormat="1" applyFont="1" applyBorder="1" applyAlignment="1">
      <alignment horizontal="center" vertical="center" wrapText="1"/>
    </xf>
    <xf numFmtId="4" fontId="5" fillId="0" borderId="187" xfId="0" applyNumberFormat="1" applyFont="1" applyFill="1" applyBorder="1" applyAlignment="1">
      <alignment horizontal="center" vertical="center" wrapText="1"/>
    </xf>
    <xf numFmtId="0" fontId="18" fillId="0" borderId="71" xfId="0" applyFont="1" applyFill="1" applyBorder="1" applyAlignment="1">
      <alignment horizontal="center"/>
    </xf>
    <xf numFmtId="0" fontId="22" fillId="0" borderId="71" xfId="0" applyFont="1" applyFill="1" applyBorder="1" applyAlignment="1">
      <alignment horizontal="center"/>
    </xf>
    <xf numFmtId="4" fontId="0" fillId="0" borderId="71" xfId="0" applyNumberFormat="1" applyFont="1" applyFill="1" applyBorder="1" applyAlignment="1">
      <alignment vertical="center" shrinkToFit="1"/>
    </xf>
    <xf numFmtId="4" fontId="24" fillId="0" borderId="71" xfId="0" applyNumberFormat="1" applyFont="1" applyFill="1" applyBorder="1" applyAlignment="1">
      <alignment horizontal="center" vertical="center" wrapText="1"/>
    </xf>
    <xf numFmtId="4" fontId="74" fillId="0" borderId="94" xfId="0" applyNumberFormat="1" applyFont="1" applyFill="1" applyBorder="1"/>
    <xf numFmtId="4" fontId="74" fillId="0" borderId="94" xfId="0" applyNumberFormat="1" applyFont="1" applyFill="1" applyBorder="1" applyAlignment="1">
      <alignment vertical="center"/>
    </xf>
    <xf numFmtId="4" fontId="100" fillId="0" borderId="188" xfId="0" applyNumberFormat="1" applyFont="1" applyFill="1" applyBorder="1" applyAlignment="1">
      <alignment vertical="center"/>
    </xf>
    <xf numFmtId="4" fontId="100" fillId="0" borderId="155" xfId="0" applyNumberFormat="1" applyFont="1" applyFill="1" applyBorder="1" applyAlignment="1">
      <alignment vertical="center"/>
    </xf>
    <xf numFmtId="4" fontId="21" fillId="0" borderId="189" xfId="0" applyNumberFormat="1" applyFont="1" applyFill="1" applyBorder="1"/>
    <xf numFmtId="4" fontId="28" fillId="0" borderId="189" xfId="0" applyNumberFormat="1" applyFont="1" applyFill="1" applyBorder="1"/>
    <xf numFmtId="4" fontId="24" fillId="0" borderId="66" xfId="0" applyNumberFormat="1" applyFont="1" applyFill="1" applyBorder="1" applyAlignment="1">
      <alignment horizontal="center" vertical="center" wrapText="1"/>
    </xf>
    <xf numFmtId="4" fontId="16" fillId="0" borderId="66" xfId="0" applyNumberFormat="1" applyFont="1" applyFill="1" applyBorder="1" applyAlignment="1">
      <alignment horizontal="center" vertical="center" wrapText="1"/>
    </xf>
    <xf numFmtId="4" fontId="24" fillId="0" borderId="83" xfId="0" applyNumberFormat="1" applyFont="1" applyFill="1" applyBorder="1" applyAlignment="1">
      <alignment horizontal="center" vertical="center" wrapText="1"/>
    </xf>
    <xf numFmtId="4" fontId="5" fillId="0" borderId="140" xfId="0" applyNumberFormat="1" applyFont="1" applyFill="1" applyBorder="1" applyAlignment="1">
      <alignment shrinkToFit="1"/>
    </xf>
    <xf numFmtId="4" fontId="3" fillId="0" borderId="140" xfId="0" applyNumberFormat="1" applyFont="1" applyFill="1" applyBorder="1" applyAlignment="1">
      <alignment shrinkToFit="1"/>
    </xf>
    <xf numFmtId="4" fontId="5" fillId="0" borderId="82" xfId="0" applyNumberFormat="1" applyFont="1" applyFill="1" applyBorder="1" applyAlignment="1">
      <alignment shrinkToFit="1"/>
    </xf>
    <xf numFmtId="4" fontId="4" fillId="0" borderId="190" xfId="0" applyNumberFormat="1" applyFont="1" applyFill="1" applyBorder="1" applyAlignment="1">
      <alignment vertical="center" shrinkToFit="1"/>
    </xf>
    <xf numFmtId="4" fontId="4" fillId="0" borderId="191" xfId="0" applyNumberFormat="1" applyFont="1" applyFill="1" applyBorder="1" applyAlignment="1">
      <alignment vertical="center" shrinkToFit="1"/>
    </xf>
    <xf numFmtId="4" fontId="4" fillId="0" borderId="192" xfId="0" applyNumberFormat="1" applyFont="1" applyFill="1" applyBorder="1"/>
    <xf numFmtId="4" fontId="0" fillId="0" borderId="88" xfId="0" applyNumberFormat="1" applyFont="1" applyFill="1" applyBorder="1" applyAlignment="1">
      <alignment vertical="center" shrinkToFit="1"/>
    </xf>
    <xf numFmtId="4" fontId="4" fillId="0" borderId="128" xfId="0" applyNumberFormat="1" applyFont="1" applyFill="1" applyBorder="1" applyAlignment="1">
      <alignment vertical="center" shrinkToFit="1"/>
    </xf>
    <xf numFmtId="4" fontId="30" fillId="0" borderId="193" xfId="0" applyNumberFormat="1" applyFont="1" applyFill="1" applyBorder="1"/>
    <xf numFmtId="4" fontId="0" fillId="0" borderId="100" xfId="0" applyNumberFormat="1" applyFont="1" applyFill="1" applyBorder="1" applyAlignment="1">
      <alignment vertical="center" shrinkToFit="1"/>
    </xf>
    <xf numFmtId="4" fontId="30" fillId="0" borderId="193" xfId="0" applyNumberFormat="1" applyFont="1" applyFill="1" applyBorder="1" applyAlignment="1">
      <alignment vertical="center"/>
    </xf>
    <xf numFmtId="4" fontId="0" fillId="0" borderId="128" xfId="0" applyNumberFormat="1" applyFont="1" applyFill="1" applyBorder="1" applyAlignment="1">
      <alignment vertical="center" shrinkToFit="1"/>
    </xf>
    <xf numFmtId="4" fontId="0" fillId="0" borderId="193" xfId="0" applyNumberFormat="1" applyFont="1" applyFill="1" applyBorder="1"/>
    <xf numFmtId="4" fontId="30" fillId="0" borderId="194" xfId="0" applyNumberFormat="1" applyFont="1" applyFill="1" applyBorder="1"/>
    <xf numFmtId="4" fontId="5" fillId="0" borderId="137" xfId="0" applyNumberFormat="1" applyFont="1" applyFill="1" applyBorder="1"/>
    <xf numFmtId="4" fontId="3" fillId="0" borderId="137" xfId="0" applyNumberFormat="1" applyFont="1" applyFill="1" applyBorder="1"/>
    <xf numFmtId="4" fontId="5" fillId="0" borderId="119" xfId="0" applyNumberFormat="1" applyFont="1" applyFill="1" applyBorder="1" applyAlignment="1">
      <alignment shrinkToFit="1"/>
    </xf>
    <xf numFmtId="4" fontId="0" fillId="0" borderId="141" xfId="0" applyNumberFormat="1" applyFont="1" applyFill="1" applyBorder="1" applyAlignment="1">
      <alignment vertical="center"/>
    </xf>
    <xf numFmtId="4" fontId="4" fillId="0" borderId="193" xfId="0" applyNumberFormat="1" applyFont="1" applyFill="1" applyBorder="1"/>
    <xf numFmtId="4" fontId="56" fillId="0" borderId="63" xfId="0" applyNumberFormat="1" applyFont="1" applyFill="1" applyBorder="1"/>
    <xf numFmtId="4" fontId="4" fillId="0" borderId="193" xfId="0" applyNumberFormat="1" applyFont="1" applyFill="1" applyBorder="1" applyAlignment="1">
      <alignment vertical="center"/>
    </xf>
    <xf numFmtId="4" fontId="0" fillId="0" borderId="193" xfId="0" applyNumberFormat="1" applyFont="1" applyFill="1" applyBorder="1" applyAlignment="1">
      <alignment vertical="center"/>
    </xf>
    <xf numFmtId="4" fontId="3" fillId="0" borderId="162" xfId="0" applyNumberFormat="1" applyFont="1" applyFill="1" applyBorder="1" applyAlignment="1">
      <alignment vertical="center"/>
    </xf>
    <xf numFmtId="4" fontId="3" fillId="0" borderId="63" xfId="0" applyNumberFormat="1" applyFont="1" applyFill="1" applyBorder="1" applyAlignment="1">
      <alignment vertical="center"/>
    </xf>
    <xf numFmtId="4" fontId="3" fillId="0" borderId="88" xfId="0" applyNumberFormat="1" applyFont="1" applyFill="1" applyBorder="1" applyAlignment="1">
      <alignment shrinkToFit="1"/>
    </xf>
    <xf numFmtId="4" fontId="0" fillId="0" borderId="88" xfId="0" applyNumberFormat="1" applyFont="1" applyBorder="1" applyAlignment="1">
      <alignment vertical="center"/>
    </xf>
    <xf numFmtId="4" fontId="5" fillId="0" borderId="67" xfId="0" applyNumberFormat="1" applyFont="1" applyFill="1" applyBorder="1"/>
    <xf numFmtId="4" fontId="3" fillId="0" borderId="67" xfId="0" applyNumberFormat="1" applyFont="1" applyFill="1" applyBorder="1"/>
    <xf numFmtId="0" fontId="30" fillId="0" borderId="129" xfId="0" applyFont="1" applyFill="1" applyBorder="1"/>
    <xf numFmtId="4" fontId="5" fillId="0" borderId="138" xfId="0" applyNumberFormat="1" applyFont="1" applyFill="1" applyBorder="1"/>
    <xf numFmtId="4" fontId="3" fillId="0" borderId="138" xfId="0" applyNumberFormat="1" applyFont="1" applyFill="1" applyBorder="1"/>
    <xf numFmtId="4" fontId="5" fillId="0" borderId="122" xfId="0" applyNumberFormat="1" applyFont="1" applyFill="1" applyBorder="1" applyAlignment="1">
      <alignment shrinkToFit="1"/>
    </xf>
    <xf numFmtId="4" fontId="0" fillId="0" borderId="65" xfId="0" applyNumberFormat="1" applyFont="1" applyFill="1" applyBorder="1"/>
    <xf numFmtId="4" fontId="3" fillId="0" borderId="87" xfId="0" applyNumberFormat="1" applyFont="1" applyBorder="1" applyAlignment="1">
      <alignment vertical="center"/>
    </xf>
    <xf numFmtId="4" fontId="72" fillId="0" borderId="63" xfId="2" applyNumberFormat="1" applyFont="1" applyFill="1" applyBorder="1" applyAlignment="1" applyProtection="1">
      <alignment vertical="center"/>
    </xf>
    <xf numFmtId="4" fontId="21" fillId="0" borderId="122" xfId="0" applyNumberFormat="1" applyFont="1" applyFill="1" applyBorder="1" applyAlignment="1">
      <alignment vertical="center" shrinkToFit="1"/>
    </xf>
    <xf numFmtId="4" fontId="3" fillId="0" borderId="122" xfId="0" applyNumberFormat="1" applyFont="1" applyFill="1" applyBorder="1" applyAlignment="1">
      <alignment vertical="center" shrinkToFit="1"/>
    </xf>
    <xf numFmtId="4" fontId="0" fillId="0" borderId="85" xfId="0" applyNumberFormat="1" applyFont="1" applyFill="1" applyBorder="1" applyAlignment="1">
      <alignment vertical="center"/>
    </xf>
    <xf numFmtId="0" fontId="30" fillId="0" borderId="195" xfId="0" applyFont="1" applyFill="1" applyBorder="1"/>
    <xf numFmtId="4" fontId="3" fillId="0" borderId="119" xfId="0" applyNumberFormat="1" applyFont="1" applyFill="1" applyBorder="1" applyAlignment="1">
      <alignment shrinkToFit="1"/>
    </xf>
    <xf numFmtId="4" fontId="0" fillId="0" borderId="80" xfId="0" applyNumberFormat="1" applyFont="1" applyFill="1" applyBorder="1" applyAlignment="1">
      <alignment vertical="center"/>
    </xf>
    <xf numFmtId="0" fontId="3" fillId="0" borderId="82" xfId="0" applyFont="1" applyFill="1" applyBorder="1"/>
    <xf numFmtId="4" fontId="20" fillId="0" borderId="140" xfId="0" applyNumberFormat="1" applyFont="1" applyFill="1" applyBorder="1" applyAlignment="1">
      <alignment shrinkToFit="1"/>
    </xf>
    <xf numFmtId="4" fontId="20" fillId="0" borderId="137" xfId="0" applyNumberFormat="1" applyFont="1" applyFill="1" applyBorder="1" applyAlignment="1">
      <alignment vertical="center" shrinkToFit="1"/>
    </xf>
    <xf numFmtId="4" fontId="0" fillId="0" borderId="140" xfId="0" applyNumberFormat="1" applyFont="1" applyFill="1" applyBorder="1" applyAlignment="1">
      <alignment vertical="center"/>
    </xf>
    <xf numFmtId="4" fontId="21" fillId="0" borderId="140" xfId="0" applyNumberFormat="1" applyFont="1" applyFill="1" applyBorder="1"/>
    <xf numFmtId="4" fontId="3" fillId="0" borderId="140" xfId="0" applyNumberFormat="1" applyFont="1" applyFill="1" applyBorder="1"/>
    <xf numFmtId="4" fontId="21" fillId="0" borderId="138" xfId="0" applyNumberFormat="1" applyFont="1" applyFill="1" applyBorder="1" applyAlignment="1">
      <alignment vertical="center" shrinkToFit="1"/>
    </xf>
    <xf numFmtId="4" fontId="21" fillId="0" borderId="83" xfId="0" applyNumberFormat="1" applyFont="1" applyFill="1" applyBorder="1" applyAlignment="1">
      <alignment vertical="center" shrinkToFit="1"/>
    </xf>
    <xf numFmtId="4" fontId="5" fillId="0" borderId="140" xfId="0" applyNumberFormat="1" applyFont="1" applyFill="1" applyBorder="1" applyAlignment="1">
      <alignment vertical="center"/>
    </xf>
    <xf numFmtId="4" fontId="3" fillId="0" borderId="140" xfId="0" applyNumberFormat="1" applyFont="1" applyFill="1" applyBorder="1" applyAlignment="1">
      <alignment vertical="center"/>
    </xf>
    <xf numFmtId="4" fontId="4" fillId="0" borderId="190" xfId="0" applyNumberFormat="1" applyFont="1" applyFill="1" applyBorder="1" applyAlignment="1">
      <alignment vertical="center"/>
    </xf>
    <xf numFmtId="4" fontId="0" fillId="0" borderId="190" xfId="0" applyNumberFormat="1" applyFont="1" applyFill="1" applyBorder="1" applyAlignment="1">
      <alignment vertical="center"/>
    </xf>
    <xf numFmtId="4" fontId="0" fillId="0" borderId="137" xfId="0" applyNumberFormat="1" applyFont="1" applyFill="1" applyBorder="1" applyAlignment="1">
      <alignment vertical="center"/>
    </xf>
    <xf numFmtId="4" fontId="0" fillId="0" borderId="140" xfId="0" applyNumberFormat="1" applyFont="1" applyFill="1" applyBorder="1"/>
    <xf numFmtId="4" fontId="24" fillId="0" borderId="119" xfId="0" applyNumberFormat="1" applyFont="1" applyFill="1" applyBorder="1"/>
    <xf numFmtId="4" fontId="0" fillId="0" borderId="119" xfId="0" applyNumberFormat="1" applyFont="1" applyFill="1" applyBorder="1"/>
    <xf numFmtId="4" fontId="0" fillId="0" borderId="65" xfId="0" applyNumberFormat="1" applyFont="1" applyFill="1" applyBorder="1" applyAlignment="1">
      <alignment vertical="center"/>
    </xf>
    <xf numFmtId="4" fontId="21" fillId="0" borderId="187" xfId="0" applyNumberFormat="1" applyFont="1" applyFill="1" applyBorder="1"/>
    <xf numFmtId="4" fontId="3" fillId="0" borderId="187" xfId="0" applyNumberFormat="1" applyFont="1" applyFill="1" applyBorder="1"/>
    <xf numFmtId="4" fontId="21" fillId="0" borderId="137" xfId="0" applyNumberFormat="1" applyFont="1" applyFill="1" applyBorder="1" applyAlignment="1">
      <alignment vertical="center" shrinkToFit="1"/>
    </xf>
    <xf numFmtId="4" fontId="47" fillId="0" borderId="138" xfId="0" applyNumberFormat="1" applyFont="1" applyFill="1" applyBorder="1" applyAlignment="1">
      <alignment vertical="center"/>
    </xf>
    <xf numFmtId="4" fontId="44" fillId="0" borderId="100" xfId="0" applyNumberFormat="1" applyFont="1" applyFill="1" applyBorder="1" applyAlignment="1">
      <alignment vertical="center"/>
    </xf>
    <xf numFmtId="4" fontId="47" fillId="0" borderId="100" xfId="0" applyNumberFormat="1" applyFont="1" applyFill="1" applyBorder="1" applyAlignment="1">
      <alignment vertical="center"/>
    </xf>
    <xf numFmtId="4" fontId="47" fillId="0" borderId="88" xfId="0" applyNumberFormat="1" applyFont="1" applyFill="1" applyBorder="1" applyAlignment="1">
      <alignment vertical="center"/>
    </xf>
    <xf numFmtId="4" fontId="47" fillId="0" borderId="71" xfId="0" applyNumberFormat="1" applyFont="1" applyFill="1" applyBorder="1" applyAlignment="1">
      <alignment vertical="center"/>
    </xf>
    <xf numFmtId="4" fontId="45" fillId="0" borderId="140" xfId="0" applyNumberFormat="1" applyFont="1" applyFill="1" applyBorder="1"/>
    <xf numFmtId="4" fontId="101" fillId="0" borderId="140" xfId="0" applyNumberFormat="1" applyFont="1" applyFill="1" applyBorder="1"/>
    <xf numFmtId="4" fontId="44" fillId="0" borderId="190" xfId="0" applyNumberFormat="1" applyFont="1" applyFill="1" applyBorder="1" applyAlignment="1">
      <alignment vertical="center"/>
    </xf>
    <xf numFmtId="4" fontId="47" fillId="0" borderId="190" xfId="0" applyNumberFormat="1" applyFont="1" applyFill="1" applyBorder="1" applyAlignment="1">
      <alignment vertical="center"/>
    </xf>
    <xf numFmtId="4" fontId="0" fillId="0" borderId="138" xfId="0" applyNumberFormat="1" applyFont="1" applyFill="1" applyBorder="1" applyAlignment="1">
      <alignment vertical="center"/>
    </xf>
    <xf numFmtId="4" fontId="16" fillId="0" borderId="138" xfId="0" applyNumberFormat="1" applyFont="1" applyFill="1" applyBorder="1" applyAlignment="1">
      <alignment vertical="center"/>
    </xf>
    <xf numFmtId="4" fontId="47" fillId="0" borderId="138" xfId="0" applyNumberFormat="1" applyFont="1" applyFill="1" applyBorder="1"/>
    <xf numFmtId="4" fontId="4" fillId="0" borderId="71" xfId="0" applyNumberFormat="1" applyFont="1" applyFill="1" applyBorder="1"/>
    <xf numFmtId="4" fontId="0" fillId="0" borderId="71" xfId="0" applyNumberFormat="1" applyFont="1" applyFill="1" applyBorder="1"/>
    <xf numFmtId="0" fontId="3" fillId="0" borderId="161" xfId="0" applyFont="1" applyFill="1" applyBorder="1"/>
    <xf numFmtId="4" fontId="21" fillId="0" borderId="138" xfId="0" applyNumberFormat="1" applyFont="1" applyFill="1" applyBorder="1" applyAlignment="1">
      <alignment vertical="center"/>
    </xf>
    <xf numFmtId="4" fontId="28" fillId="0" borderId="138" xfId="0" applyNumberFormat="1" applyFont="1" applyFill="1" applyBorder="1" applyAlignment="1">
      <alignment vertical="center"/>
    </xf>
    <xf numFmtId="2" fontId="5" fillId="0" borderId="160" xfId="0" applyNumberFormat="1" applyFont="1" applyFill="1" applyBorder="1"/>
    <xf numFmtId="4" fontId="21" fillId="0" borderId="140" xfId="0" applyNumberFormat="1" applyFont="1" applyFill="1" applyBorder="1" applyAlignment="1">
      <alignment vertical="center"/>
    </xf>
    <xf numFmtId="0" fontId="30" fillId="0" borderId="160" xfId="0" applyFont="1" applyFill="1" applyBorder="1"/>
    <xf numFmtId="4" fontId="21" fillId="0" borderId="121" xfId="0" applyNumberFormat="1" applyFont="1" applyFill="1" applyBorder="1" applyAlignment="1">
      <alignment vertical="center"/>
    </xf>
    <xf numFmtId="4" fontId="3" fillId="0" borderId="121" xfId="0" applyNumberFormat="1" applyFont="1" applyFill="1" applyBorder="1" applyAlignment="1">
      <alignment vertical="center"/>
    </xf>
    <xf numFmtId="4" fontId="0" fillId="0" borderId="160" xfId="0" applyNumberFormat="1" applyFont="1" applyFill="1" applyBorder="1"/>
    <xf numFmtId="4" fontId="21" fillId="0" borderId="122" xfId="0" applyNumberFormat="1" applyFont="1" applyFill="1" applyBorder="1"/>
    <xf numFmtId="4" fontId="3" fillId="0" borderId="122" xfId="0" applyNumberFormat="1" applyFont="1" applyFill="1" applyBorder="1"/>
    <xf numFmtId="4" fontId="28" fillId="0" borderId="122" xfId="0" applyNumberFormat="1" applyFont="1" applyFill="1" applyBorder="1"/>
    <xf numFmtId="4" fontId="21" fillId="0" borderId="196" xfId="0" applyNumberFormat="1" applyFont="1" applyFill="1" applyBorder="1" applyAlignment="1">
      <alignment vertical="center" shrinkToFit="1"/>
    </xf>
    <xf numFmtId="4" fontId="4" fillId="0" borderId="197" xfId="0" applyNumberFormat="1" applyFont="1" applyFill="1" applyBorder="1" applyAlignment="1">
      <alignment vertical="center" shrinkToFit="1"/>
    </xf>
    <xf numFmtId="4" fontId="4" fillId="0" borderId="85" xfId="0" applyNumberFormat="1" applyFont="1" applyFill="1" applyBorder="1" applyAlignment="1">
      <alignment vertical="center"/>
    </xf>
    <xf numFmtId="2" fontId="30" fillId="0" borderId="83" xfId="0" applyNumberFormat="1" applyFont="1" applyFill="1" applyBorder="1"/>
    <xf numFmtId="4" fontId="24" fillId="0" borderId="122" xfId="0" applyNumberFormat="1" applyFont="1" applyFill="1" applyBorder="1"/>
    <xf numFmtId="4" fontId="0" fillId="0" borderId="122" xfId="0" applyNumberFormat="1" applyFont="1" applyFill="1" applyBorder="1"/>
    <xf numFmtId="4" fontId="0" fillId="0" borderId="71" xfId="0" applyNumberFormat="1" applyFont="1" applyFill="1" applyBorder="1" applyAlignment="1">
      <alignment vertical="center"/>
    </xf>
    <xf numFmtId="4" fontId="0" fillId="0" borderId="198" xfId="0" applyNumberFormat="1" applyFont="1" applyFill="1" applyBorder="1" applyAlignment="1">
      <alignment vertical="center"/>
    </xf>
    <xf numFmtId="4" fontId="30" fillId="0" borderId="88" xfId="0" applyNumberFormat="1" applyFont="1" applyFill="1" applyBorder="1" applyAlignment="1">
      <alignment vertical="center"/>
    </xf>
    <xf numFmtId="4" fontId="3" fillId="0" borderId="88" xfId="0" applyNumberFormat="1" applyFont="1" applyFill="1" applyBorder="1" applyAlignment="1">
      <alignment vertical="center"/>
    </xf>
    <xf numFmtId="4" fontId="4" fillId="0" borderId="198" xfId="0" applyNumberFormat="1" applyFont="1" applyFill="1" applyBorder="1" applyAlignment="1">
      <alignment vertical="center"/>
    </xf>
    <xf numFmtId="4" fontId="16" fillId="0" borderId="122" xfId="0" applyNumberFormat="1" applyFont="1" applyFill="1" applyBorder="1"/>
    <xf numFmtId="4" fontId="24" fillId="0" borderId="122" xfId="0" applyNumberFormat="1" applyFont="1" applyFill="1" applyBorder="1" applyAlignment="1">
      <alignment vertical="center" shrinkToFit="1"/>
    </xf>
    <xf numFmtId="4" fontId="16" fillId="0" borderId="122" xfId="0" applyNumberFormat="1" applyFont="1" applyFill="1" applyBorder="1" applyAlignment="1">
      <alignment vertical="center" shrinkToFit="1"/>
    </xf>
    <xf numFmtId="4" fontId="4" fillId="0" borderId="198" xfId="0" applyNumberFormat="1" applyFont="1" applyFill="1" applyBorder="1" applyAlignment="1">
      <alignment vertical="center" shrinkToFit="1"/>
    </xf>
    <xf numFmtId="4" fontId="0" fillId="0" borderId="198" xfId="0" applyNumberFormat="1" applyFont="1" applyFill="1" applyBorder="1" applyAlignment="1">
      <alignment vertical="center" shrinkToFit="1"/>
    </xf>
    <xf numFmtId="0" fontId="3" fillId="0" borderId="160" xfId="0" applyFont="1" applyFill="1" applyBorder="1"/>
    <xf numFmtId="4" fontId="21" fillId="0" borderId="137" xfId="0" applyNumberFormat="1" applyFont="1" applyFill="1" applyBorder="1" applyAlignment="1">
      <alignment vertical="center"/>
    </xf>
    <xf numFmtId="4" fontId="28" fillId="0" borderId="137" xfId="0" applyNumberFormat="1" applyFont="1" applyFill="1" applyBorder="1" applyAlignment="1">
      <alignment vertical="center"/>
    </xf>
    <xf numFmtId="49" fontId="0" fillId="0" borderId="162" xfId="0" applyNumberFormat="1" applyFont="1" applyFill="1" applyBorder="1" applyAlignment="1">
      <alignment horizontal="right" vertical="center" wrapText="1"/>
    </xf>
    <xf numFmtId="4" fontId="21" fillId="0" borderId="138" xfId="0" applyNumberFormat="1" applyFont="1" applyFill="1" applyBorder="1"/>
    <xf numFmtId="4" fontId="0" fillId="0" borderId="100" xfId="0" applyNumberFormat="1" applyFont="1" applyBorder="1" applyAlignment="1">
      <alignment vertical="center"/>
    </xf>
    <xf numFmtId="4" fontId="0" fillId="0" borderId="83" xfId="0" applyNumberFormat="1" applyFont="1" applyFill="1" applyBorder="1" applyAlignment="1">
      <alignment vertical="center"/>
    </xf>
    <xf numFmtId="4" fontId="21" fillId="0" borderId="85" xfId="0" applyNumberFormat="1" applyFont="1" applyFill="1" applyBorder="1" applyAlignment="1">
      <alignment shrinkToFit="1"/>
    </xf>
    <xf numFmtId="4" fontId="3" fillId="0" borderId="85" xfId="0" applyNumberFormat="1" applyFont="1" applyFill="1" applyBorder="1" applyAlignment="1">
      <alignment shrinkToFit="1"/>
    </xf>
    <xf numFmtId="4" fontId="21" fillId="0" borderId="140" xfId="0" applyNumberFormat="1" applyFont="1" applyFill="1" applyBorder="1" applyAlignment="1">
      <alignment shrinkToFit="1"/>
    </xf>
    <xf numFmtId="4" fontId="0" fillId="0" borderId="140" xfId="0" applyNumberFormat="1" applyFont="1" applyFill="1" applyBorder="1" applyAlignment="1">
      <alignment shrinkToFit="1"/>
    </xf>
    <xf numFmtId="4" fontId="16" fillId="0" borderId="140" xfId="0" applyNumberFormat="1" applyFont="1" applyFill="1" applyBorder="1"/>
    <xf numFmtId="4" fontId="3" fillId="0" borderId="82" xfId="0" applyNumberFormat="1" applyFont="1" applyFill="1" applyBorder="1"/>
    <xf numFmtId="4" fontId="4" fillId="0" borderId="162" xfId="0" applyNumberFormat="1" applyFont="1" applyFill="1" applyBorder="1" applyAlignment="1">
      <alignment horizontal="right" vertical="center"/>
    </xf>
    <xf numFmtId="4" fontId="0" fillId="0" borderId="162" xfId="0" applyNumberFormat="1" applyFont="1" applyFill="1" applyBorder="1" applyAlignment="1">
      <alignment horizontal="right" vertical="center"/>
    </xf>
    <xf numFmtId="0" fontId="3" fillId="0" borderId="85" xfId="0" applyFont="1" applyFill="1" applyBorder="1" applyAlignment="1">
      <alignment vertical="center"/>
    </xf>
    <xf numFmtId="0" fontId="3" fillId="0" borderId="194" xfId="0" applyFont="1" applyFill="1" applyBorder="1"/>
    <xf numFmtId="4" fontId="16" fillId="0" borderId="121" xfId="0" applyNumberFormat="1" applyFont="1" applyFill="1" applyBorder="1" applyAlignment="1">
      <alignment vertical="center"/>
    </xf>
    <xf numFmtId="4" fontId="4" fillId="0" borderId="100" xfId="0" applyNumberFormat="1" applyFont="1" applyFill="1" applyBorder="1" applyAlignment="1">
      <alignment vertical="center"/>
    </xf>
    <xf numFmtId="0" fontId="3" fillId="0" borderId="73" xfId="0" applyFont="1" applyFill="1" applyBorder="1"/>
    <xf numFmtId="4" fontId="3" fillId="0" borderId="138" xfId="0" applyNumberFormat="1" applyFont="1" applyFill="1" applyBorder="1" applyAlignment="1">
      <alignment vertical="center"/>
    </xf>
    <xf numFmtId="4" fontId="49" fillId="0" borderId="88" xfId="0" applyNumberFormat="1" applyFont="1" applyFill="1" applyBorder="1" applyAlignment="1">
      <alignment vertical="center" shrinkToFit="1"/>
    </xf>
    <xf numFmtId="4" fontId="49" fillId="0" borderId="128" xfId="0" applyNumberFormat="1" applyFont="1" applyFill="1" applyBorder="1" applyAlignment="1">
      <alignment vertical="center" shrinkToFit="1"/>
    </xf>
    <xf numFmtId="4" fontId="49" fillId="0" borderId="193" xfId="0" applyNumberFormat="1" applyFont="1" applyFill="1" applyBorder="1" applyAlignment="1">
      <alignment vertical="center"/>
    </xf>
    <xf numFmtId="4" fontId="64" fillId="0" borderId="88" xfId="0" applyNumberFormat="1" applyFont="1" applyFill="1" applyBorder="1" applyAlignment="1">
      <alignment vertical="center" shrinkToFit="1"/>
    </xf>
    <xf numFmtId="4" fontId="64" fillId="0" borderId="128" xfId="0" applyNumberFormat="1" applyFont="1" applyFill="1" applyBorder="1" applyAlignment="1">
      <alignment vertical="center" shrinkToFit="1"/>
    </xf>
    <xf numFmtId="4" fontId="64" fillId="0" borderId="193" xfId="0" applyNumberFormat="1" applyFont="1" applyFill="1" applyBorder="1" applyAlignment="1">
      <alignment vertical="center"/>
    </xf>
    <xf numFmtId="4" fontId="64" fillId="0" borderId="162" xfId="0" applyNumberFormat="1" applyFont="1" applyFill="1" applyBorder="1" applyAlignment="1">
      <alignment vertical="center"/>
    </xf>
    <xf numFmtId="4" fontId="49" fillId="0" borderId="162" xfId="0" applyNumberFormat="1" applyFont="1" applyFill="1" applyBorder="1"/>
    <xf numFmtId="4" fontId="64" fillId="0" borderId="162" xfId="0" applyNumberFormat="1" applyFont="1" applyFill="1" applyBorder="1"/>
    <xf numFmtId="4" fontId="49" fillId="0" borderId="162" xfId="0" applyNumberFormat="1" applyFont="1" applyFill="1" applyBorder="1" applyAlignment="1">
      <alignment vertical="center"/>
    </xf>
    <xf numFmtId="0" fontId="0" fillId="0" borderId="160" xfId="0" applyFill="1" applyBorder="1"/>
    <xf numFmtId="4" fontId="29" fillId="0" borderId="140" xfId="0" applyNumberFormat="1" applyFont="1" applyFill="1" applyBorder="1" applyAlignment="1">
      <alignment vertical="center"/>
    </xf>
    <xf numFmtId="4" fontId="102" fillId="0" borderId="140" xfId="0" applyNumberFormat="1" applyFont="1" applyFill="1" applyBorder="1" applyAlignment="1">
      <alignment vertical="center"/>
    </xf>
    <xf numFmtId="4" fontId="24" fillId="0" borderId="140" xfId="0" applyNumberFormat="1" applyFont="1" applyFill="1" applyBorder="1" applyAlignment="1">
      <alignment vertical="center"/>
    </xf>
    <xf numFmtId="4" fontId="16" fillId="0" borderId="140" xfId="0" applyNumberFormat="1" applyFont="1" applyFill="1" applyBorder="1" applyAlignment="1">
      <alignment vertical="center"/>
    </xf>
    <xf numFmtId="0" fontId="55" fillId="0" borderId="82" xfId="0" applyFont="1" applyFill="1" applyBorder="1" applyAlignment="1">
      <alignment vertical="center"/>
    </xf>
    <xf numFmtId="4" fontId="28" fillId="0" borderId="67" xfId="0" applyNumberFormat="1" applyFont="1" applyFill="1" applyBorder="1"/>
    <xf numFmtId="0" fontId="3" fillId="0" borderId="190" xfId="0" applyFont="1" applyBorder="1"/>
    <xf numFmtId="0" fontId="21" fillId="0" borderId="190" xfId="0" applyFont="1" applyFill="1" applyBorder="1"/>
    <xf numFmtId="4" fontId="24" fillId="0" borderId="199" xfId="0" applyNumberFormat="1" applyFont="1" applyFill="1" applyBorder="1" applyAlignment="1">
      <alignment horizontal="center" vertical="center" wrapText="1"/>
    </xf>
    <xf numFmtId="0" fontId="6" fillId="0" borderId="88" xfId="0" applyFont="1" applyBorder="1"/>
    <xf numFmtId="0" fontId="6" fillId="0" borderId="88" xfId="0" applyFont="1" applyFill="1" applyBorder="1" applyAlignment="1">
      <alignment vertical="center" wrapText="1"/>
    </xf>
    <xf numFmtId="0" fontId="30" fillId="0" borderId="88" xfId="0" applyFont="1" applyBorder="1"/>
    <xf numFmtId="0" fontId="6" fillId="0" borderId="88" xfId="0" applyFont="1" applyFill="1" applyBorder="1"/>
    <xf numFmtId="0" fontId="30" fillId="3" borderId="88" xfId="0" applyFont="1" applyFill="1" applyBorder="1"/>
    <xf numFmtId="0" fontId="21" fillId="3" borderId="88" xfId="0" applyFont="1" applyFill="1" applyBorder="1"/>
    <xf numFmtId="0" fontId="21" fillId="0" borderId="88" xfId="0" applyFont="1" applyFill="1" applyBorder="1"/>
    <xf numFmtId="0" fontId="30" fillId="3" borderId="160" xfId="0" applyFont="1" applyFill="1" applyBorder="1"/>
    <xf numFmtId="0" fontId="6" fillId="0" borderId="160" xfId="0" applyFont="1" applyFill="1" applyBorder="1"/>
    <xf numFmtId="0" fontId="3" fillId="3" borderId="190" xfId="0" applyFont="1" applyFill="1" applyBorder="1"/>
    <xf numFmtId="4" fontId="6" fillId="0" borderId="200" xfId="0" applyNumberFormat="1" applyFont="1" applyFill="1" applyBorder="1"/>
    <xf numFmtId="4" fontId="18" fillId="0" borderId="200" xfId="0" applyNumberFormat="1" applyFont="1" applyFill="1" applyBorder="1" applyAlignment="1">
      <alignment vertical="center"/>
    </xf>
    <xf numFmtId="4" fontId="18" fillId="0" borderId="200" xfId="0" applyNumberFormat="1" applyFont="1" applyFill="1" applyBorder="1"/>
    <xf numFmtId="4" fontId="18" fillId="0" borderId="88" xfId="0" applyNumberFormat="1" applyFont="1" applyFill="1" applyBorder="1"/>
    <xf numFmtId="4" fontId="18" fillId="0" borderId="200" xfId="0" applyNumberFormat="1" applyFont="1" applyFill="1" applyBorder="1" applyAlignment="1">
      <alignment shrinkToFit="1"/>
    </xf>
    <xf numFmtId="0" fontId="6" fillId="0" borderId="88" xfId="0" applyFont="1" applyFill="1" applyBorder="1" applyAlignment="1">
      <alignment horizontal="center" vertical="center"/>
    </xf>
    <xf numFmtId="4" fontId="0" fillId="0" borderId="82" xfId="0" applyNumberFormat="1" applyFont="1" applyFill="1" applyBorder="1"/>
    <xf numFmtId="4" fontId="0" fillId="0" borderId="201" xfId="0" applyNumberFormat="1" applyFont="1" applyFill="1" applyBorder="1"/>
    <xf numFmtId="4" fontId="0" fillId="0" borderId="200" xfId="0" applyNumberFormat="1" applyFont="1" applyFill="1" applyBorder="1"/>
    <xf numFmtId="4" fontId="3" fillId="0" borderId="146" xfId="0" applyNumberFormat="1" applyFont="1" applyFill="1" applyBorder="1"/>
    <xf numFmtId="0" fontId="30" fillId="0" borderId="88" xfId="0" applyFont="1" applyFill="1" applyBorder="1"/>
    <xf numFmtId="0" fontId="0" fillId="0" borderId="88" xfId="0" applyFont="1" applyFill="1" applyBorder="1" applyAlignment="1">
      <alignment vertical="center"/>
    </xf>
    <xf numFmtId="0" fontId="0" fillId="0" borderId="72" xfId="0" applyFont="1" applyFill="1" applyBorder="1" applyAlignment="1">
      <alignment vertical="center" wrapText="1"/>
    </xf>
    <xf numFmtId="0" fontId="8" fillId="0" borderId="203" xfId="0" applyFont="1" applyFill="1" applyBorder="1" applyAlignment="1">
      <alignment vertical="center"/>
    </xf>
    <xf numFmtId="0" fontId="0" fillId="0" borderId="72" xfId="0" applyFont="1" applyFill="1" applyBorder="1" applyAlignment="1">
      <alignment vertical="center"/>
    </xf>
    <xf numFmtId="0" fontId="8" fillId="0" borderId="129" xfId="0" applyFont="1" applyFill="1" applyBorder="1" applyAlignment="1">
      <alignment vertical="center"/>
    </xf>
    <xf numFmtId="0" fontId="44" fillId="0" borderId="88" xfId="0" applyFont="1" applyFill="1" applyBorder="1" applyAlignment="1">
      <alignment vertical="center"/>
    </xf>
    <xf numFmtId="0" fontId="44" fillId="0" borderId="72" xfId="0" applyFont="1" applyFill="1" applyBorder="1" applyAlignment="1">
      <alignment vertical="center"/>
    </xf>
    <xf numFmtId="0" fontId="44" fillId="0" borderId="71" xfId="0" applyFont="1" applyFill="1" applyBorder="1" applyAlignment="1">
      <alignment vertical="center"/>
    </xf>
    <xf numFmtId="0" fontId="44" fillId="0" borderId="77" xfId="0" applyFont="1" applyFill="1" applyBorder="1" applyAlignment="1">
      <alignment vertical="center"/>
    </xf>
    <xf numFmtId="0" fontId="38" fillId="0" borderId="88" xfId="0" applyFont="1" applyFill="1" applyBorder="1" applyAlignment="1">
      <alignment vertical="center"/>
    </xf>
    <xf numFmtId="0" fontId="3" fillId="0" borderId="72" xfId="0" applyFont="1" applyFill="1" applyBorder="1" applyAlignment="1">
      <alignment vertical="center"/>
    </xf>
    <xf numFmtId="0" fontId="38" fillId="0" borderId="129" xfId="0" applyFont="1" applyFill="1" applyBorder="1" applyAlignment="1">
      <alignment vertical="center"/>
    </xf>
    <xf numFmtId="0" fontId="3" fillId="0" borderId="204" xfId="0" applyFont="1" applyFill="1" applyBorder="1" applyAlignment="1">
      <alignment vertical="center"/>
    </xf>
    <xf numFmtId="0" fontId="0" fillId="0" borderId="161" xfId="0" applyFont="1" applyFill="1" applyBorder="1" applyAlignment="1">
      <alignment vertical="center"/>
    </xf>
    <xf numFmtId="0" fontId="44" fillId="0" borderId="190" xfId="0" applyFont="1" applyFill="1" applyBorder="1" applyAlignment="1">
      <alignment vertical="center"/>
    </xf>
    <xf numFmtId="0" fontId="44" fillId="0" borderId="202" xfId="0" applyFont="1" applyFill="1" applyBorder="1" applyAlignment="1">
      <alignment vertical="center"/>
    </xf>
    <xf numFmtId="0" fontId="41" fillId="0" borderId="88" xfId="0" applyFont="1" applyBorder="1" applyAlignment="1">
      <alignment vertical="center"/>
    </xf>
    <xf numFmtId="0" fontId="0" fillId="6" borderId="72" xfId="0" applyFont="1" applyFill="1" applyBorder="1" applyAlignment="1">
      <alignment vertical="center"/>
    </xf>
    <xf numFmtId="0" fontId="4" fillId="6" borderId="88" xfId="0" applyFont="1" applyFill="1" applyBorder="1" applyAlignment="1">
      <alignment vertical="center"/>
    </xf>
    <xf numFmtId="4" fontId="4" fillId="6" borderId="89" xfId="0" applyNumberFormat="1" applyFont="1" applyFill="1" applyBorder="1" applyAlignment="1">
      <alignment vertical="center"/>
    </xf>
    <xf numFmtId="0" fontId="8" fillId="6" borderId="88" xfId="0" applyFont="1" applyFill="1" applyBorder="1" applyAlignment="1">
      <alignment vertical="center"/>
    </xf>
    <xf numFmtId="0" fontId="4" fillId="6" borderId="72" xfId="0" applyFont="1" applyFill="1" applyBorder="1" applyAlignment="1">
      <alignment vertical="center"/>
    </xf>
    <xf numFmtId="0" fontId="44" fillId="6" borderId="72" xfId="0" applyFont="1" applyFill="1" applyBorder="1" applyAlignment="1">
      <alignment vertical="center"/>
    </xf>
    <xf numFmtId="4" fontId="4" fillId="6" borderId="88" xfId="0" applyNumberFormat="1" applyFont="1" applyFill="1" applyBorder="1" applyAlignment="1">
      <alignment vertical="center"/>
    </xf>
    <xf numFmtId="0" fontId="41" fillId="0" borderId="161" xfId="0" applyFont="1" applyBorder="1" applyAlignment="1">
      <alignment vertical="center"/>
    </xf>
    <xf numFmtId="0" fontId="3" fillId="6" borderId="204" xfId="0" applyFont="1" applyFill="1" applyBorder="1" applyAlignment="1">
      <alignment vertical="center"/>
    </xf>
    <xf numFmtId="4" fontId="0" fillId="6" borderId="161" xfId="0" applyNumberFormat="1" applyFont="1" applyFill="1" applyBorder="1" applyAlignment="1">
      <alignment vertical="center"/>
    </xf>
    <xf numFmtId="0" fontId="44" fillId="0" borderId="205" xfId="0" applyFont="1" applyFill="1" applyBorder="1" applyAlignment="1">
      <alignment vertical="center"/>
    </xf>
    <xf numFmtId="4" fontId="44" fillId="0" borderId="206" xfId="0" applyNumberFormat="1" applyFont="1" applyFill="1" applyBorder="1" applyAlignment="1">
      <alignment vertical="center"/>
    </xf>
    <xf numFmtId="0" fontId="44" fillId="6" borderId="88" xfId="0" applyFont="1" applyFill="1" applyBorder="1" applyAlignment="1">
      <alignment vertical="center"/>
    </xf>
    <xf numFmtId="4" fontId="44" fillId="6" borderId="88" xfId="0" applyNumberFormat="1" applyFont="1" applyFill="1" applyBorder="1" applyAlignment="1">
      <alignment vertical="center"/>
    </xf>
    <xf numFmtId="0" fontId="44" fillId="6" borderId="71" xfId="0" applyFont="1" applyFill="1" applyBorder="1" applyAlignment="1">
      <alignment vertical="center"/>
    </xf>
    <xf numFmtId="0" fontId="44" fillId="6" borderId="205" xfId="0" applyFont="1" applyFill="1" applyBorder="1" applyAlignment="1">
      <alignment vertical="center"/>
    </xf>
    <xf numFmtId="4" fontId="44" fillId="6" borderId="71" xfId="0" applyNumberFormat="1" applyFont="1" applyFill="1" applyBorder="1" applyAlignment="1">
      <alignment vertical="center"/>
    </xf>
    <xf numFmtId="0" fontId="44" fillId="0" borderId="71" xfId="0" applyFont="1" applyFill="1" applyBorder="1"/>
    <xf numFmtId="0" fontId="44" fillId="0" borderId="205" xfId="0" applyFont="1" applyFill="1" applyBorder="1"/>
    <xf numFmtId="0" fontId="0" fillId="0" borderId="88" xfId="0" applyFont="1" applyFill="1" applyBorder="1"/>
    <xf numFmtId="4" fontId="4" fillId="0" borderId="88" xfId="0" applyNumberFormat="1" applyFont="1" applyFill="1" applyBorder="1"/>
    <xf numFmtId="0" fontId="8" fillId="0" borderId="88" xfId="0" applyFont="1" applyFill="1" applyBorder="1" applyAlignment="1">
      <alignment horizontal="left" vertical="center"/>
    </xf>
    <xf numFmtId="4" fontId="0" fillId="0" borderId="73" xfId="0" applyNumberFormat="1" applyFont="1" applyFill="1" applyBorder="1" applyAlignment="1">
      <alignment vertical="center" shrinkToFit="1"/>
    </xf>
    <xf numFmtId="4" fontId="0" fillId="0" borderId="207" xfId="0" applyNumberFormat="1" applyFont="1" applyFill="1" applyBorder="1" applyAlignment="1">
      <alignment vertical="center" shrinkToFit="1"/>
    </xf>
    <xf numFmtId="4" fontId="0" fillId="0" borderId="197" xfId="0" applyNumberFormat="1" applyFont="1" applyFill="1" applyBorder="1" applyAlignment="1">
      <alignment vertical="center" shrinkToFit="1"/>
    </xf>
    <xf numFmtId="0" fontId="44" fillId="0" borderId="208" xfId="0" applyFont="1" applyFill="1" applyBorder="1" applyAlignment="1">
      <alignment vertical="center"/>
    </xf>
    <xf numFmtId="0" fontId="4" fillId="0" borderId="72" xfId="0" applyFont="1" applyFill="1" applyBorder="1" applyAlignment="1">
      <alignment vertical="center"/>
    </xf>
    <xf numFmtId="0" fontId="3" fillId="0" borderId="74" xfId="0" applyFont="1" applyFill="1" applyBorder="1" applyAlignment="1">
      <alignment vertical="center"/>
    </xf>
    <xf numFmtId="0" fontId="11" fillId="0" borderId="209" xfId="0" applyFont="1" applyFill="1" applyBorder="1" applyAlignment="1" applyProtection="1">
      <alignment horizontal="right" vertical="center"/>
      <protection locked="0"/>
    </xf>
    <xf numFmtId="0" fontId="0" fillId="0" borderId="211" xfId="0" applyFont="1" applyFill="1" applyBorder="1" applyAlignment="1" applyProtection="1">
      <alignment vertical="center"/>
      <protection locked="0"/>
    </xf>
    <xf numFmtId="4" fontId="4" fillId="0" borderId="209" xfId="0" applyNumberFormat="1" applyFont="1" applyFill="1" applyBorder="1" applyAlignment="1">
      <alignment vertical="center"/>
    </xf>
    <xf numFmtId="0" fontId="30" fillId="0" borderId="160" xfId="0" applyFont="1" applyFill="1" applyBorder="1" applyAlignment="1">
      <alignment vertical="center"/>
    </xf>
    <xf numFmtId="0" fontId="30" fillId="0" borderId="117" xfId="0" applyFont="1" applyFill="1" applyBorder="1" applyAlignment="1">
      <alignment vertical="center"/>
    </xf>
    <xf numFmtId="4" fontId="0" fillId="6" borderId="89" xfId="0" applyNumberFormat="1" applyFont="1" applyFill="1" applyBorder="1" applyAlignment="1">
      <alignment vertical="center"/>
    </xf>
    <xf numFmtId="4" fontId="45" fillId="0" borderId="88" xfId="0" applyNumberFormat="1" applyFont="1" applyFill="1" applyBorder="1"/>
    <xf numFmtId="4" fontId="4" fillId="0" borderId="151" xfId="0" applyNumberFormat="1" applyFont="1" applyFill="1" applyBorder="1" applyAlignment="1">
      <alignment vertical="center"/>
    </xf>
    <xf numFmtId="4" fontId="24" fillId="0" borderId="212" xfId="0" applyNumberFormat="1" applyFont="1" applyFill="1" applyBorder="1" applyAlignment="1">
      <alignment vertical="center"/>
    </xf>
    <xf numFmtId="4" fontId="18" fillId="0" borderId="138" xfId="0" applyNumberFormat="1" applyFont="1" applyFill="1" applyBorder="1"/>
    <xf numFmtId="4" fontId="0" fillId="6" borderId="87" xfId="0" applyNumberFormat="1" applyFont="1" applyFill="1" applyBorder="1" applyAlignment="1">
      <alignment horizontal="right" vertical="center"/>
    </xf>
    <xf numFmtId="4" fontId="0" fillId="6" borderId="88" xfId="0" applyNumberFormat="1" applyFont="1" applyFill="1" applyBorder="1" applyAlignment="1">
      <alignment horizontal="right" vertical="center"/>
    </xf>
    <xf numFmtId="4" fontId="0" fillId="6" borderId="126" xfId="0" applyNumberFormat="1" applyFont="1" applyFill="1" applyBorder="1" applyAlignment="1">
      <alignment horizontal="right" vertical="center"/>
    </xf>
    <xf numFmtId="4" fontId="6" fillId="0" borderId="146" xfId="0" applyNumberFormat="1" applyFont="1" applyFill="1" applyBorder="1" applyAlignment="1">
      <alignment shrinkToFit="1"/>
    </xf>
    <xf numFmtId="4" fontId="21" fillId="0" borderId="200" xfId="0" applyNumberFormat="1" applyFont="1" applyFill="1" applyBorder="1" applyAlignment="1">
      <alignment vertical="center" shrinkToFit="1"/>
    </xf>
    <xf numFmtId="4" fontId="20" fillId="0" borderId="81" xfId="0" applyNumberFormat="1" applyFont="1" applyFill="1" applyBorder="1" applyAlignment="1">
      <alignment shrinkToFit="1"/>
    </xf>
    <xf numFmtId="0" fontId="17" fillId="3" borderId="88" xfId="0" applyFont="1" applyFill="1" applyBorder="1"/>
    <xf numFmtId="0" fontId="23" fillId="0" borderId="88" xfId="0" applyFont="1" applyFill="1" applyBorder="1"/>
    <xf numFmtId="0" fontId="14" fillId="0" borderId="0" xfId="0" applyFont="1"/>
    <xf numFmtId="0" fontId="30" fillId="0" borderId="213" xfId="0" applyFont="1" applyFill="1" applyBorder="1"/>
    <xf numFmtId="4" fontId="100" fillId="6" borderId="214" xfId="0" applyNumberFormat="1" applyFont="1" applyFill="1" applyBorder="1" applyAlignment="1">
      <alignment vertical="center"/>
    </xf>
    <xf numFmtId="4" fontId="100" fillId="6" borderId="128" xfId="0" applyNumberFormat="1" applyFont="1" applyFill="1" applyBorder="1" applyAlignment="1">
      <alignment vertical="center"/>
    </xf>
    <xf numFmtId="0" fontId="12" fillId="3" borderId="88" xfId="0" applyFont="1" applyFill="1" applyBorder="1"/>
    <xf numFmtId="0" fontId="12" fillId="0" borderId="0" xfId="0" applyFont="1"/>
    <xf numFmtId="0" fontId="6" fillId="3" borderId="88" xfId="0" applyFont="1" applyFill="1" applyBorder="1" applyAlignment="1">
      <alignment vertical="center"/>
    </xf>
    <xf numFmtId="0" fontId="6" fillId="0" borderId="88" xfId="0" applyFont="1" applyFill="1" applyBorder="1" applyAlignment="1">
      <alignment vertical="center"/>
    </xf>
    <xf numFmtId="0" fontId="6" fillId="0" borderId="0" xfId="0" applyFont="1" applyFill="1"/>
    <xf numFmtId="0" fontId="6" fillId="0" borderId="0" xfId="0" applyFont="1"/>
    <xf numFmtId="0" fontId="6" fillId="3" borderId="88" xfId="0" applyFont="1" applyFill="1" applyBorder="1"/>
    <xf numFmtId="0" fontId="6" fillId="0" borderId="88" xfId="0" applyFont="1" applyBorder="1" applyAlignment="1">
      <alignment vertical="center"/>
    </xf>
    <xf numFmtId="0" fontId="6" fillId="0" borderId="88" xfId="0" applyFont="1" applyBorder="1" applyAlignment="1">
      <alignment wrapText="1"/>
    </xf>
    <xf numFmtId="0" fontId="103" fillId="0" borderId="0" xfId="0" applyFont="1" applyAlignment="1">
      <alignment horizontal="right"/>
    </xf>
    <xf numFmtId="0" fontId="18" fillId="0" borderId="88" xfId="0" applyFont="1" applyFill="1" applyBorder="1" applyAlignment="1">
      <alignment vertical="center"/>
    </xf>
    <xf numFmtId="4" fontId="6" fillId="0" borderId="200" xfId="0" applyNumberFormat="1" applyFont="1" applyFill="1" applyBorder="1" applyAlignment="1">
      <alignment vertical="center"/>
    </xf>
    <xf numFmtId="0" fontId="22" fillId="0" borderId="0" xfId="0" applyFont="1"/>
    <xf numFmtId="0" fontId="18" fillId="0" borderId="88" xfId="0" applyFont="1" applyFill="1" applyBorder="1"/>
    <xf numFmtId="0" fontId="74" fillId="0" borderId="0" xfId="0" applyFont="1" applyAlignment="1">
      <alignment vertical="center"/>
    </xf>
    <xf numFmtId="0" fontId="18" fillId="0" borderId="160" xfId="0" applyFont="1" applyFill="1" applyBorder="1"/>
    <xf numFmtId="4" fontId="18" fillId="0" borderId="146" xfId="0" applyNumberFormat="1" applyFont="1" applyFill="1" applyBorder="1"/>
    <xf numFmtId="0" fontId="8" fillId="0" borderId="100" xfId="0" applyFont="1" applyFill="1" applyBorder="1" applyAlignment="1">
      <alignment vertical="center"/>
    </xf>
    <xf numFmtId="0" fontId="3" fillId="0" borderId="215" xfId="0" applyFont="1" applyFill="1" applyBorder="1" applyAlignment="1">
      <alignment vertical="center"/>
    </xf>
    <xf numFmtId="4" fontId="4" fillId="0" borderId="210" xfId="0" applyNumberFormat="1" applyFont="1" applyFill="1" applyBorder="1"/>
    <xf numFmtId="4" fontId="47" fillId="0" borderId="88" xfId="0" applyNumberFormat="1" applyFont="1" applyFill="1" applyBorder="1"/>
    <xf numFmtId="4" fontId="5" fillId="0" borderId="88" xfId="0" applyNumberFormat="1" applyFont="1" applyFill="1" applyBorder="1" applyAlignment="1">
      <alignment shrinkToFit="1"/>
    </xf>
    <xf numFmtId="0" fontId="6" fillId="0" borderId="216" xfId="0" applyFont="1" applyBorder="1" applyAlignment="1">
      <alignment horizontal="center" vertical="center" wrapText="1"/>
    </xf>
    <xf numFmtId="4" fontId="13" fillId="0" borderId="0" xfId="0" applyNumberFormat="1" applyFont="1"/>
    <xf numFmtId="4" fontId="3" fillId="0" borderId="0" xfId="0" applyNumberFormat="1" applyFont="1" applyBorder="1"/>
    <xf numFmtId="0" fontId="3" fillId="0" borderId="0" xfId="0" applyFont="1" applyAlignment="1">
      <alignment horizontal="right"/>
    </xf>
    <xf numFmtId="4" fontId="5" fillId="0" borderId="217" xfId="0" applyNumberFormat="1" applyFont="1" applyFill="1" applyBorder="1" applyAlignment="1">
      <alignment horizontal="right"/>
    </xf>
    <xf numFmtId="0" fontId="13" fillId="0" borderId="0" xfId="0" applyFont="1" applyFill="1" applyAlignment="1">
      <alignment horizontal="center"/>
    </xf>
    <xf numFmtId="0" fontId="13" fillId="0" borderId="0" xfId="0" applyFont="1"/>
    <xf numFmtId="4" fontId="5" fillId="0" borderId="0" xfId="0" applyNumberFormat="1" applyFont="1" applyFill="1" applyBorder="1" applyAlignment="1">
      <alignment horizontal="right"/>
    </xf>
    <xf numFmtId="4" fontId="3" fillId="0" borderId="0" xfId="0" applyNumberFormat="1" applyFont="1" applyFill="1" applyBorder="1"/>
    <xf numFmtId="4" fontId="3" fillId="0" borderId="0" xfId="0" applyNumberFormat="1" applyFont="1" applyFill="1" applyBorder="1" applyAlignment="1">
      <alignment horizontal="center"/>
    </xf>
    <xf numFmtId="0" fontId="3" fillId="0" borderId="0" xfId="0" applyFont="1" applyFill="1" applyAlignment="1">
      <alignment horizontal="center"/>
    </xf>
    <xf numFmtId="4" fontId="13" fillId="0" borderId="0" xfId="0" applyNumberFormat="1" applyFont="1" applyFill="1"/>
    <xf numFmtId="4" fontId="72" fillId="0" borderId="0" xfId="0" applyNumberFormat="1" applyFont="1" applyFill="1"/>
    <xf numFmtId="4" fontId="13" fillId="0" borderId="217" xfId="0" applyNumberFormat="1" applyFont="1" applyBorder="1"/>
    <xf numFmtId="4" fontId="72" fillId="0" borderId="0" xfId="0" applyNumberFormat="1" applyFont="1"/>
    <xf numFmtId="4" fontId="13" fillId="0" borderId="218" xfId="0" applyNumberFormat="1" applyFont="1" applyBorder="1"/>
    <xf numFmtId="4" fontId="104" fillId="0" borderId="0" xfId="0" applyNumberFormat="1" applyFont="1" applyBorder="1"/>
    <xf numFmtId="0" fontId="0" fillId="0" borderId="217" xfId="0" applyBorder="1"/>
    <xf numFmtId="4" fontId="72" fillId="0" borderId="217" xfId="0" applyNumberFormat="1" applyFont="1" applyBorder="1"/>
    <xf numFmtId="0" fontId="5" fillId="0" borderId="217" xfId="0" applyFont="1" applyBorder="1"/>
    <xf numFmtId="0" fontId="3" fillId="0" borderId="217" xfId="0" applyFont="1" applyBorder="1"/>
    <xf numFmtId="4" fontId="30" fillId="0" borderId="0" xfId="0" applyNumberFormat="1" applyFont="1" applyBorder="1"/>
    <xf numFmtId="4" fontId="5" fillId="0" borderId="217" xfId="0" applyNumberFormat="1" applyFont="1" applyBorder="1"/>
    <xf numFmtId="4" fontId="4" fillId="0" borderId="217" xfId="0" applyNumberFormat="1" applyFont="1" applyBorder="1"/>
    <xf numFmtId="4" fontId="0" fillId="0" borderId="0" xfId="0" applyNumberFormat="1"/>
    <xf numFmtId="4" fontId="3" fillId="0" borderId="218" xfId="0" applyNumberFormat="1" applyFont="1" applyBorder="1"/>
    <xf numFmtId="0" fontId="30" fillId="0" borderId="217" xfId="0" applyFont="1" applyBorder="1"/>
    <xf numFmtId="4" fontId="30" fillId="0" borderId="217" xfId="0" applyNumberFormat="1" applyFont="1" applyBorder="1"/>
    <xf numFmtId="0" fontId="8" fillId="0" borderId="0" xfId="0" applyFont="1"/>
    <xf numFmtId="4" fontId="3" fillId="0" borderId="0" xfId="0" applyNumberFormat="1" applyFont="1"/>
    <xf numFmtId="4" fontId="72" fillId="0" borderId="218" xfId="0" applyNumberFormat="1" applyFont="1" applyBorder="1"/>
    <xf numFmtId="0" fontId="72" fillId="0" borderId="0" xfId="0" applyFont="1"/>
    <xf numFmtId="0" fontId="24" fillId="0" borderId="0" xfId="0" applyFont="1"/>
    <xf numFmtId="4" fontId="24" fillId="0" borderId="0" xfId="0" applyNumberFormat="1" applyFont="1"/>
    <xf numFmtId="4" fontId="30" fillId="0" borderId="0" xfId="0" applyNumberFormat="1" applyFont="1"/>
    <xf numFmtId="0" fontId="9" fillId="0" borderId="0" xfId="0" applyFont="1"/>
    <xf numFmtId="4" fontId="9" fillId="0" borderId="0" xfId="0" applyNumberFormat="1" applyFont="1"/>
    <xf numFmtId="4" fontId="9" fillId="0" borderId="218" xfId="0" applyNumberFormat="1" applyFont="1" applyBorder="1"/>
    <xf numFmtId="4" fontId="9" fillId="0" borderId="217" xfId="0" applyNumberFormat="1" applyFont="1" applyBorder="1"/>
    <xf numFmtId="4" fontId="3" fillId="0" borderId="217" xfId="0" applyNumberFormat="1" applyFont="1" applyBorder="1"/>
    <xf numFmtId="0" fontId="9" fillId="0" borderId="217" xfId="0" applyFont="1" applyBorder="1"/>
    <xf numFmtId="4" fontId="10" fillId="0" borderId="217" xfId="0" applyNumberFormat="1" applyFont="1" applyBorder="1"/>
    <xf numFmtId="4" fontId="9" fillId="0" borderId="0" xfId="0" applyNumberFormat="1" applyFont="1" applyFill="1"/>
    <xf numFmtId="0" fontId="0" fillId="0" borderId="0" xfId="0" applyAlignment="1">
      <alignment horizontal="center"/>
    </xf>
    <xf numFmtId="0" fontId="4" fillId="0" borderId="217" xfId="0" applyFont="1" applyBorder="1"/>
    <xf numFmtId="4" fontId="3" fillId="0" borderId="218" xfId="0" applyNumberFormat="1" applyFont="1" applyFill="1" applyBorder="1"/>
    <xf numFmtId="4" fontId="44" fillId="0" borderId="88" xfId="0" applyNumberFormat="1" applyFont="1" applyFill="1" applyBorder="1"/>
    <xf numFmtId="4" fontId="44" fillId="0" borderId="88" xfId="0" applyNumberFormat="1" applyFont="1" applyFill="1" applyBorder="1" applyAlignment="1">
      <alignment shrinkToFit="1"/>
    </xf>
    <xf numFmtId="4" fontId="30" fillId="0" borderId="88" xfId="0" applyNumberFormat="1" applyFont="1" applyFill="1" applyBorder="1" applyAlignment="1">
      <alignment shrinkToFit="1"/>
    </xf>
    <xf numFmtId="0" fontId="8" fillId="6" borderId="129" xfId="0" applyFont="1" applyFill="1" applyBorder="1" applyAlignment="1">
      <alignment vertical="center"/>
    </xf>
    <xf numFmtId="0" fontId="3" fillId="6" borderId="117" xfId="0" applyFont="1" applyFill="1" applyBorder="1" applyAlignment="1">
      <alignment vertical="center"/>
    </xf>
    <xf numFmtId="4" fontId="0" fillId="6" borderId="129" xfId="0" applyNumberFormat="1" applyFont="1" applyFill="1" applyBorder="1" applyAlignment="1">
      <alignment vertical="center"/>
    </xf>
    <xf numFmtId="4" fontId="0" fillId="0" borderId="210" xfId="0" applyNumberFormat="1" applyFont="1" applyFill="1" applyBorder="1"/>
    <xf numFmtId="0" fontId="30" fillId="0" borderId="219" xfId="0" applyFont="1" applyBorder="1" applyAlignment="1">
      <alignment vertical="center"/>
    </xf>
    <xf numFmtId="4" fontId="0" fillId="0" borderId="219" xfId="0" applyNumberFormat="1" applyFont="1" applyBorder="1" applyAlignment="1">
      <alignment vertical="center"/>
    </xf>
    <xf numFmtId="0" fontId="47" fillId="0" borderId="0" xfId="0" applyFont="1" applyFill="1"/>
    <xf numFmtId="0" fontId="44" fillId="6" borderId="100" xfId="0" applyFont="1" applyFill="1" applyBorder="1"/>
    <xf numFmtId="0" fontId="44" fillId="6" borderId="215" xfId="0" applyFont="1" applyFill="1" applyBorder="1"/>
    <xf numFmtId="4" fontId="44" fillId="6" borderId="100" xfId="0" applyNumberFormat="1" applyFont="1" applyFill="1" applyBorder="1" applyAlignment="1">
      <alignment vertical="center"/>
    </xf>
    <xf numFmtId="4" fontId="44" fillId="0" borderId="100" xfId="0" applyNumberFormat="1" applyFont="1" applyFill="1" applyBorder="1" applyAlignment="1">
      <alignment shrinkToFit="1"/>
    </xf>
    <xf numFmtId="4" fontId="44" fillId="0" borderId="220" xfId="0" applyNumberFormat="1" applyFont="1" applyFill="1" applyBorder="1" applyAlignment="1">
      <alignment shrinkToFit="1"/>
    </xf>
    <xf numFmtId="4" fontId="44" fillId="0" borderId="215" xfId="0" applyNumberFormat="1" applyFont="1" applyFill="1" applyBorder="1" applyAlignment="1">
      <alignment shrinkToFit="1"/>
    </xf>
    <xf numFmtId="0" fontId="44" fillId="6" borderId="221" xfId="0" applyFont="1" applyFill="1" applyBorder="1" applyAlignment="1">
      <alignment vertical="center"/>
    </xf>
    <xf numFmtId="4" fontId="4" fillId="0" borderId="222" xfId="0" applyNumberFormat="1" applyFont="1" applyFill="1" applyBorder="1"/>
    <xf numFmtId="4" fontId="0" fillId="0" borderId="68" xfId="0" applyNumberFormat="1" applyFont="1" applyFill="1" applyBorder="1"/>
    <xf numFmtId="0" fontId="7" fillId="0" borderId="63" xfId="0" applyFont="1" applyFill="1" applyBorder="1" applyAlignment="1">
      <alignment horizontal="right" vertical="center"/>
    </xf>
    <xf numFmtId="0" fontId="0" fillId="6" borderId="223" xfId="0" applyFont="1" applyFill="1" applyBorder="1" applyAlignment="1">
      <alignment vertical="center"/>
    </xf>
    <xf numFmtId="0" fontId="0" fillId="6" borderId="224" xfId="0" applyFont="1" applyFill="1" applyBorder="1" applyAlignment="1">
      <alignment vertical="center"/>
    </xf>
    <xf numFmtId="0" fontId="3" fillId="0" borderId="219" xfId="0" applyFont="1" applyFill="1" applyBorder="1" applyAlignment="1">
      <alignment vertical="center"/>
    </xf>
    <xf numFmtId="4" fontId="0" fillId="0" borderId="225" xfId="0" applyNumberFormat="1" applyFont="1" applyFill="1" applyBorder="1" applyAlignment="1">
      <alignment vertical="center"/>
    </xf>
    <xf numFmtId="4" fontId="44" fillId="0" borderId="225" xfId="0" applyNumberFormat="1" applyFont="1" applyFill="1" applyBorder="1" applyAlignment="1">
      <alignment vertical="center"/>
    </xf>
    <xf numFmtId="0" fontId="44" fillId="0" borderId="225" xfId="0" applyFont="1" applyFill="1" applyBorder="1" applyAlignment="1">
      <alignment vertical="center"/>
    </xf>
    <xf numFmtId="0" fontId="44" fillId="0" borderId="226" xfId="0" applyFont="1" applyFill="1" applyBorder="1" applyAlignment="1">
      <alignment vertical="center"/>
    </xf>
    <xf numFmtId="4" fontId="0" fillId="0" borderId="225" xfId="0" applyNumberFormat="1" applyFont="1" applyFill="1" applyBorder="1" applyAlignment="1">
      <alignment vertical="center" shrinkToFit="1"/>
    </xf>
    <xf numFmtId="4" fontId="0" fillId="0" borderId="227" xfId="0" applyNumberFormat="1" applyFont="1" applyFill="1" applyBorder="1" applyAlignment="1">
      <alignment vertical="center" shrinkToFit="1"/>
    </xf>
    <xf numFmtId="0" fontId="8" fillId="0" borderId="209" xfId="0" applyFont="1" applyFill="1" applyBorder="1" applyAlignment="1" applyProtection="1">
      <alignment vertical="center"/>
      <protection locked="0"/>
    </xf>
    <xf numFmtId="0" fontId="0" fillId="0" borderId="209" xfId="0" applyFont="1" applyFill="1" applyBorder="1" applyAlignment="1" applyProtection="1">
      <alignment vertical="center"/>
      <protection locked="0"/>
    </xf>
    <xf numFmtId="4" fontId="0" fillId="0" borderId="209" xfId="0" applyNumberFormat="1" applyFont="1" applyFill="1" applyBorder="1" applyAlignment="1">
      <alignment vertical="center"/>
    </xf>
    <xf numFmtId="4" fontId="0" fillId="0" borderId="209" xfId="0" applyNumberFormat="1" applyFont="1" applyFill="1" applyBorder="1" applyAlignment="1">
      <alignment vertical="center" shrinkToFit="1"/>
    </xf>
    <xf numFmtId="4" fontId="4" fillId="0" borderId="200" xfId="0" applyNumberFormat="1" applyFont="1" applyFill="1" applyBorder="1"/>
    <xf numFmtId="0" fontId="45" fillId="0" borderId="88" xfId="0" applyFont="1" applyFill="1" applyBorder="1"/>
    <xf numFmtId="4" fontId="45" fillId="0" borderId="88" xfId="0" applyNumberFormat="1" applyFont="1" applyFill="1" applyBorder="1" applyAlignment="1">
      <alignment vertical="center"/>
    </xf>
    <xf numFmtId="4" fontId="101" fillId="0" borderId="88" xfId="0" applyNumberFormat="1" applyFont="1" applyFill="1" applyBorder="1" applyAlignment="1">
      <alignment vertical="center"/>
    </xf>
    <xf numFmtId="4" fontId="0" fillId="0" borderId="138" xfId="0" applyNumberFormat="1" applyFont="1" applyFill="1" applyBorder="1" applyAlignment="1">
      <alignment vertical="center" shrinkToFit="1"/>
    </xf>
    <xf numFmtId="4" fontId="0" fillId="0" borderId="228" xfId="0" applyNumberFormat="1" applyFont="1" applyFill="1" applyBorder="1" applyAlignment="1">
      <alignment vertical="center" shrinkToFit="1"/>
    </xf>
    <xf numFmtId="4" fontId="0" fillId="0" borderId="196" xfId="0" applyNumberFormat="1" applyFont="1" applyFill="1" applyBorder="1"/>
    <xf numFmtId="4" fontId="4" fillId="0" borderId="88" xfId="0" applyNumberFormat="1" applyFont="1" applyFill="1" applyBorder="1" applyAlignment="1">
      <alignment shrinkToFit="1"/>
    </xf>
    <xf numFmtId="4" fontId="74" fillId="0" borderId="229" xfId="0" applyNumberFormat="1" applyFont="1" applyFill="1" applyBorder="1"/>
    <xf numFmtId="4" fontId="74" fillId="0" borderId="229" xfId="0" applyNumberFormat="1" applyFont="1" applyFill="1" applyBorder="1" applyAlignment="1">
      <alignment vertical="center"/>
    </xf>
    <xf numFmtId="4" fontId="100" fillId="0" borderId="230" xfId="0" applyNumberFormat="1" applyFont="1" applyFill="1" applyBorder="1" applyAlignment="1">
      <alignment vertical="center"/>
    </xf>
    <xf numFmtId="0" fontId="7" fillId="6" borderId="63" xfId="0" applyFont="1" applyFill="1" applyBorder="1" applyAlignment="1">
      <alignment horizontal="right" vertical="center"/>
    </xf>
    <xf numFmtId="4" fontId="4" fillId="0" borderId="69" xfId="0" applyNumberFormat="1" applyFont="1" applyFill="1" applyBorder="1" applyAlignment="1">
      <alignment vertical="center"/>
    </xf>
    <xf numFmtId="0" fontId="8" fillId="0" borderId="225" xfId="0" applyFont="1" applyFill="1" applyBorder="1" applyAlignment="1">
      <alignment vertical="center"/>
    </xf>
    <xf numFmtId="0" fontId="3" fillId="0" borderId="226" xfId="0" applyFont="1" applyFill="1" applyBorder="1" applyAlignment="1">
      <alignment vertical="center"/>
    </xf>
    <xf numFmtId="4" fontId="0" fillId="0" borderId="231" xfId="0" applyNumberFormat="1" applyFont="1" applyFill="1" applyBorder="1"/>
    <xf numFmtId="4" fontId="101" fillId="0" borderId="138" xfId="0" applyNumberFormat="1" applyFont="1" applyFill="1" applyBorder="1" applyAlignment="1">
      <alignment vertical="center"/>
    </xf>
    <xf numFmtId="4" fontId="47" fillId="0" borderId="140" xfId="0" applyNumberFormat="1" applyFont="1" applyFill="1" applyBorder="1"/>
    <xf numFmtId="0" fontId="41" fillId="0" borderId="219" xfId="0" applyFont="1" applyBorder="1" applyAlignment="1">
      <alignment vertical="center"/>
    </xf>
    <xf numFmtId="0" fontId="3" fillId="6" borderId="221" xfId="0" applyFont="1" applyFill="1" applyBorder="1" applyAlignment="1">
      <alignment vertical="center"/>
    </xf>
    <xf numFmtId="4" fontId="0" fillId="6" borderId="219" xfId="0" applyNumberFormat="1" applyFont="1" applyFill="1" applyBorder="1" applyAlignment="1">
      <alignment vertical="center"/>
    </xf>
    <xf numFmtId="0" fontId="4" fillId="6" borderId="219" xfId="0" applyFont="1" applyFill="1" applyBorder="1" applyAlignment="1">
      <alignment vertical="center"/>
    </xf>
    <xf numFmtId="0" fontId="4" fillId="6" borderId="221" xfId="0" applyFont="1" applyFill="1" applyBorder="1" applyAlignment="1">
      <alignment vertical="center"/>
    </xf>
    <xf numFmtId="4" fontId="4" fillId="6" borderId="232" xfId="0" applyNumberFormat="1" applyFont="1" applyFill="1" applyBorder="1" applyAlignment="1">
      <alignment vertical="center"/>
    </xf>
    <xf numFmtId="4" fontId="4" fillId="6" borderId="219" xfId="0" applyNumberFormat="1" applyFont="1" applyFill="1" applyBorder="1" applyAlignment="1">
      <alignment vertical="center"/>
    </xf>
    <xf numFmtId="4" fontId="4" fillId="0" borderId="73" xfId="0" applyNumberFormat="1" applyFont="1" applyFill="1" applyBorder="1" applyAlignment="1">
      <alignment vertical="center"/>
    </xf>
    <xf numFmtId="4" fontId="4" fillId="0" borderId="225" xfId="0" applyNumberFormat="1" applyFont="1" applyFill="1" applyBorder="1" applyAlignment="1">
      <alignment vertical="center"/>
    </xf>
    <xf numFmtId="4" fontId="4" fillId="0" borderId="82" xfId="0" applyNumberFormat="1" applyFont="1" applyFill="1" applyBorder="1"/>
    <xf numFmtId="0" fontId="30" fillId="0" borderId="87" xfId="0" applyFont="1" applyFill="1" applyBorder="1"/>
    <xf numFmtId="0" fontId="30" fillId="0" borderId="219" xfId="0" applyFont="1" applyFill="1" applyBorder="1" applyAlignment="1">
      <alignment vertical="center"/>
    </xf>
    <xf numFmtId="0" fontId="4" fillId="0" borderId="208" xfId="0" applyFont="1" applyFill="1" applyBorder="1" applyAlignment="1">
      <alignment horizontal="right" vertical="center"/>
    </xf>
    <xf numFmtId="0" fontId="30" fillId="0" borderId="233" xfId="0" applyFont="1" applyFill="1" applyBorder="1" applyAlignment="1">
      <alignment vertical="center"/>
    </xf>
    <xf numFmtId="4" fontId="3" fillId="0" borderId="85" xfId="0" applyNumberFormat="1" applyFont="1" applyFill="1" applyBorder="1" applyAlignment="1">
      <alignment vertical="center"/>
    </xf>
    <xf numFmtId="4" fontId="6" fillId="0" borderId="85" xfId="0" applyNumberFormat="1" applyFont="1" applyFill="1" applyBorder="1" applyAlignment="1">
      <alignment vertical="center"/>
    </xf>
    <xf numFmtId="4" fontId="4" fillId="0" borderId="63" xfId="0" applyNumberFormat="1" applyFont="1" applyFill="1" applyBorder="1"/>
    <xf numFmtId="4" fontId="49" fillId="0" borderId="63" xfId="0" applyNumberFormat="1" applyFont="1" applyFill="1" applyBorder="1"/>
    <xf numFmtId="0" fontId="7" fillId="0" borderId="99" xfId="0" applyFont="1" applyFill="1" applyBorder="1" applyAlignment="1">
      <alignment horizontal="right" vertical="center" wrapText="1"/>
    </xf>
    <xf numFmtId="4" fontId="6" fillId="0" borderId="140" xfId="0" applyNumberFormat="1" applyFont="1" applyFill="1" applyBorder="1"/>
    <xf numFmtId="4" fontId="12" fillId="0" borderId="140" xfId="0" applyNumberFormat="1" applyFont="1" applyFill="1" applyBorder="1"/>
    <xf numFmtId="4" fontId="6" fillId="0" borderId="140" xfId="0" applyNumberFormat="1" applyFont="1" applyFill="1" applyBorder="1" applyAlignment="1">
      <alignment shrinkToFit="1"/>
    </xf>
    <xf numFmtId="0" fontId="12" fillId="0" borderId="0" xfId="0" applyFont="1" applyFill="1"/>
    <xf numFmtId="0" fontId="109" fillId="0" borderId="0" xfId="0" applyFont="1" applyAlignment="1">
      <alignment horizontal="right"/>
    </xf>
    <xf numFmtId="4" fontId="3" fillId="0" borderId="0" xfId="0" applyNumberFormat="1" applyFont="1" applyFill="1" applyAlignment="1">
      <alignment vertical="center"/>
    </xf>
    <xf numFmtId="4" fontId="47" fillId="0" borderId="0" xfId="0" applyNumberFormat="1" applyFont="1" applyFill="1"/>
    <xf numFmtId="4" fontId="39" fillId="0" borderId="0" xfId="0" applyNumberFormat="1" applyFont="1"/>
    <xf numFmtId="4" fontId="64" fillId="0" borderId="0" xfId="0" applyNumberFormat="1" applyFont="1"/>
    <xf numFmtId="4" fontId="56" fillId="0" borderId="0" xfId="0" applyNumberFormat="1" applyFont="1" applyAlignment="1">
      <alignment vertical="center"/>
    </xf>
    <xf numFmtId="4" fontId="3" fillId="0" borderId="0" xfId="0" applyNumberFormat="1" applyFont="1" applyAlignment="1">
      <alignment vertical="center"/>
    </xf>
    <xf numFmtId="4" fontId="6" fillId="0" borderId="67" xfId="0" applyNumberFormat="1" applyFont="1" applyFill="1" applyBorder="1"/>
    <xf numFmtId="4" fontId="12" fillId="0" borderId="67" xfId="0" applyNumberFormat="1" applyFont="1" applyFill="1" applyBorder="1"/>
    <xf numFmtId="4" fontId="6" fillId="0" borderId="119" xfId="0" applyNumberFormat="1" applyFont="1" applyFill="1" applyBorder="1" applyAlignment="1">
      <alignment shrinkToFit="1"/>
    </xf>
    <xf numFmtId="4" fontId="6" fillId="0" borderId="137" xfId="0" applyNumberFormat="1" applyFont="1" applyFill="1" applyBorder="1"/>
    <xf numFmtId="4" fontId="12" fillId="0" borderId="137" xfId="0" applyNumberFormat="1" applyFont="1" applyFill="1" applyBorder="1"/>
    <xf numFmtId="4" fontId="12" fillId="0" borderId="140" xfId="0" applyNumberFormat="1" applyFont="1" applyFill="1" applyBorder="1" applyAlignment="1">
      <alignment shrinkToFit="1"/>
    </xf>
    <xf numFmtId="4" fontId="6" fillId="0" borderId="82" xfId="0" applyNumberFormat="1" applyFont="1" applyFill="1" applyBorder="1" applyAlignment="1">
      <alignment shrinkToFit="1"/>
    </xf>
    <xf numFmtId="4" fontId="71" fillId="0" borderId="0" xfId="0" applyNumberFormat="1" applyFont="1"/>
    <xf numFmtId="4" fontId="3" fillId="0" borderId="0" xfId="0" applyNumberFormat="1" applyFont="1" applyBorder="1" applyAlignment="1">
      <alignment vertical="center"/>
    </xf>
    <xf numFmtId="4" fontId="0" fillId="0" borderId="0" xfId="0" applyNumberFormat="1" applyFont="1" applyBorder="1" applyAlignment="1">
      <alignment vertical="center"/>
    </xf>
    <xf numFmtId="4" fontId="6" fillId="0" borderId="138" xfId="0" applyNumberFormat="1" applyFont="1" applyFill="1" applyBorder="1"/>
    <xf numFmtId="4" fontId="12" fillId="0" borderId="138" xfId="0" applyNumberFormat="1" applyFont="1" applyFill="1" applyBorder="1"/>
    <xf numFmtId="4" fontId="12" fillId="0" borderId="119" xfId="0" applyNumberFormat="1" applyFont="1" applyFill="1" applyBorder="1" applyAlignment="1">
      <alignment shrinkToFit="1"/>
    </xf>
    <xf numFmtId="4" fontId="21" fillId="0" borderId="119" xfId="0" applyNumberFormat="1" applyFont="1" applyFill="1" applyBorder="1" applyAlignment="1">
      <alignment shrinkToFit="1"/>
    </xf>
    <xf numFmtId="4" fontId="21" fillId="0" borderId="67" xfId="0" applyNumberFormat="1" applyFont="1" applyFill="1" applyBorder="1" applyAlignment="1">
      <alignment vertical="center"/>
    </xf>
    <xf numFmtId="4" fontId="28" fillId="0" borderId="67" xfId="0" applyNumberFormat="1" applyFont="1" applyFill="1" applyBorder="1" applyAlignment="1">
      <alignment vertical="center"/>
    </xf>
    <xf numFmtId="4" fontId="21" fillId="0" borderId="140" xfId="0" applyNumberFormat="1" applyFont="1" applyFill="1" applyBorder="1" applyAlignment="1">
      <alignment vertical="center" shrinkToFit="1"/>
    </xf>
    <xf numFmtId="0" fontId="7" fillId="0" borderId="99" xfId="0" applyFont="1" applyFill="1" applyBorder="1" applyAlignment="1">
      <alignment horizontal="right" vertical="center"/>
    </xf>
    <xf numFmtId="0" fontId="56" fillId="6" borderId="234" xfId="0" applyFont="1" applyFill="1" applyBorder="1"/>
    <xf numFmtId="4" fontId="56" fillId="6" borderId="219" xfId="0" applyNumberFormat="1" applyFont="1" applyFill="1" applyBorder="1" applyAlignment="1">
      <alignment vertical="center"/>
    </xf>
    <xf numFmtId="4" fontId="0" fillId="0" borderId="219" xfId="0" applyNumberFormat="1" applyFont="1" applyFill="1" applyBorder="1" applyAlignment="1">
      <alignment vertical="center"/>
    </xf>
    <xf numFmtId="4" fontId="0" fillId="0" borderId="219" xfId="0" applyNumberFormat="1" applyFont="1" applyFill="1" applyBorder="1" applyAlignment="1">
      <alignment vertical="center" shrinkToFit="1"/>
    </xf>
    <xf numFmtId="0" fontId="3" fillId="0" borderId="235" xfId="0" applyFont="1" applyFill="1" applyBorder="1" applyAlignment="1">
      <alignment vertical="center"/>
    </xf>
    <xf numFmtId="4" fontId="0" fillId="0" borderId="235" xfId="0" applyNumberFormat="1" applyFont="1" applyFill="1" applyBorder="1" applyAlignment="1">
      <alignment vertical="center"/>
    </xf>
    <xf numFmtId="0" fontId="28" fillId="0" borderId="85" xfId="0" applyFont="1" applyFill="1" applyBorder="1"/>
    <xf numFmtId="0" fontId="21" fillId="0" borderId="116" xfId="0" applyFont="1" applyFill="1" applyBorder="1"/>
    <xf numFmtId="4" fontId="6" fillId="0" borderId="66" xfId="0" applyNumberFormat="1" applyFont="1" applyFill="1" applyBorder="1"/>
    <xf numFmtId="4" fontId="21" fillId="0" borderId="66" xfId="0" applyNumberFormat="1" applyFont="1" applyFill="1" applyBorder="1"/>
    <xf numFmtId="4" fontId="3" fillId="0" borderId="66" xfId="0" applyNumberFormat="1" applyFont="1" applyFill="1" applyBorder="1"/>
    <xf numFmtId="4" fontId="6" fillId="0" borderId="85" xfId="0" applyNumberFormat="1" applyFont="1" applyFill="1" applyBorder="1" applyAlignment="1">
      <alignment shrinkToFit="1"/>
    </xf>
    <xf numFmtId="4" fontId="21" fillId="0" borderId="85" xfId="0" applyNumberFormat="1" applyFont="1" applyFill="1" applyBorder="1" applyAlignment="1">
      <alignment vertical="center" shrinkToFit="1"/>
    </xf>
    <xf numFmtId="0" fontId="8" fillId="0" borderId="236" xfId="0" applyFont="1" applyFill="1" applyBorder="1" applyAlignment="1">
      <alignment vertical="center"/>
    </xf>
    <xf numFmtId="0" fontId="3" fillId="0" borderId="78" xfId="0" applyFont="1" applyFill="1" applyBorder="1" applyAlignment="1">
      <alignment vertical="center"/>
    </xf>
    <xf numFmtId="4" fontId="0" fillId="0" borderId="237" xfId="0" applyNumberFormat="1" applyFont="1" applyFill="1" applyBorder="1" applyAlignment="1">
      <alignment vertical="center"/>
    </xf>
    <xf numFmtId="4" fontId="0" fillId="0" borderId="236" xfId="0" applyNumberFormat="1" applyFont="1" applyFill="1" applyBorder="1" applyAlignment="1">
      <alignment vertical="center" shrinkToFit="1"/>
    </xf>
    <xf numFmtId="4" fontId="0" fillId="0" borderId="238" xfId="0" applyNumberFormat="1" applyFont="1" applyFill="1" applyBorder="1" applyAlignment="1">
      <alignment vertical="center" shrinkToFit="1"/>
    </xf>
    <xf numFmtId="4" fontId="0" fillId="0" borderId="239" xfId="0" applyNumberFormat="1" applyFont="1" applyFill="1" applyBorder="1"/>
    <xf numFmtId="0" fontId="44" fillId="0" borderId="209" xfId="0" applyFont="1" applyFill="1" applyBorder="1" applyAlignment="1">
      <alignment vertical="center"/>
    </xf>
    <xf numFmtId="0" fontId="44" fillId="0" borderId="240" xfId="0" applyFont="1" applyFill="1" applyBorder="1" applyAlignment="1">
      <alignment vertical="center"/>
    </xf>
    <xf numFmtId="4" fontId="44" fillId="0" borderId="209" xfId="0" applyNumberFormat="1" applyFont="1" applyFill="1" applyBorder="1" applyAlignment="1">
      <alignment vertical="center"/>
    </xf>
    <xf numFmtId="4" fontId="44" fillId="0" borderId="209" xfId="0" applyNumberFormat="1" applyFont="1" applyFill="1" applyBorder="1"/>
    <xf numFmtId="4" fontId="47" fillId="0" borderId="209" xfId="0" applyNumberFormat="1" applyFont="1" applyFill="1" applyBorder="1"/>
    <xf numFmtId="4" fontId="4" fillId="0" borderId="209" xfId="0" applyNumberFormat="1" applyFont="1" applyFill="1" applyBorder="1" applyAlignment="1">
      <alignment vertical="center" shrinkToFit="1"/>
    </xf>
    <xf numFmtId="4" fontId="4" fillId="0" borderId="210" xfId="0" applyNumberFormat="1" applyFont="1" applyFill="1" applyBorder="1" applyAlignment="1">
      <alignment vertical="center"/>
    </xf>
    <xf numFmtId="0" fontId="30" fillId="0" borderId="67" xfId="0" applyFont="1" applyFill="1" applyBorder="1" applyAlignment="1">
      <alignment vertical="center"/>
    </xf>
    <xf numFmtId="0" fontId="29" fillId="0" borderId="78" xfId="0" applyFont="1" applyFill="1" applyBorder="1" applyAlignment="1">
      <alignment vertical="center"/>
    </xf>
    <xf numFmtId="4" fontId="18" fillId="0" borderId="67" xfId="0" applyNumberFormat="1" applyFont="1" applyFill="1" applyBorder="1" applyAlignment="1">
      <alignment vertical="center"/>
    </xf>
    <xf numFmtId="4" fontId="3" fillId="0" borderId="239" xfId="0" applyNumberFormat="1" applyFont="1" applyFill="1" applyBorder="1"/>
    <xf numFmtId="0" fontId="95" fillId="0" borderId="181" xfId="6" applyFont="1" applyBorder="1" applyAlignment="1">
      <alignment horizontal="left" vertical="center" wrapText="1"/>
    </xf>
    <xf numFmtId="0" fontId="95" fillId="0" borderId="182" xfId="6" applyFont="1" applyBorder="1" applyAlignment="1">
      <alignment horizontal="left" vertical="center" wrapText="1"/>
    </xf>
    <xf numFmtId="0" fontId="95" fillId="0" borderId="183" xfId="6" applyFont="1" applyBorder="1" applyAlignment="1">
      <alignment horizontal="left" vertical="center" wrapText="1"/>
    </xf>
    <xf numFmtId="0" fontId="95" fillId="8" borderId="154" xfId="6" applyFont="1" applyFill="1" applyBorder="1" applyAlignment="1">
      <alignment vertical="center"/>
    </xf>
    <xf numFmtId="0" fontId="98" fillId="8" borderId="150" xfId="6" applyFont="1" applyFill="1" applyBorder="1" applyAlignment="1">
      <alignment vertical="center"/>
    </xf>
    <xf numFmtId="0" fontId="98" fillId="8" borderId="184" xfId="6" applyFont="1" applyFill="1" applyBorder="1" applyAlignment="1">
      <alignment vertical="center"/>
    </xf>
    <xf numFmtId="0" fontId="95" fillId="0" borderId="68" xfId="6" applyFont="1" applyBorder="1" applyAlignment="1">
      <alignment horizontal="left" vertical="center" wrapText="1"/>
    </xf>
    <xf numFmtId="0" fontId="95" fillId="0" borderId="0" xfId="6" applyFont="1" applyAlignment="1">
      <alignment horizontal="left" vertical="center" wrapText="1"/>
    </xf>
    <xf numFmtId="0" fontId="95" fillId="0" borderId="95" xfId="6" applyFont="1" applyBorder="1" applyAlignment="1">
      <alignment horizontal="left" vertical="center" wrapText="1"/>
    </xf>
    <xf numFmtId="0" fontId="96" fillId="0" borderId="0" xfId="6" applyFont="1" applyAlignment="1">
      <alignment horizontal="left" vertical="center" wrapText="1"/>
    </xf>
    <xf numFmtId="0" fontId="96" fillId="0" borderId="95" xfId="6" applyFont="1" applyBorder="1" applyAlignment="1">
      <alignment horizontal="left" vertical="center" wrapText="1"/>
    </xf>
    <xf numFmtId="0" fontId="93" fillId="0" borderId="0" xfId="6" applyFont="1" applyAlignment="1">
      <alignment horizontal="center" vertical="center" wrapText="1"/>
    </xf>
    <xf numFmtId="3" fontId="95" fillId="8" borderId="165" xfId="6" applyNumberFormat="1" applyFont="1" applyFill="1" applyBorder="1" applyAlignment="1">
      <alignment horizontal="center" vertical="center" wrapText="1"/>
    </xf>
    <xf numFmtId="3" fontId="95" fillId="8" borderId="172" xfId="6" applyNumberFormat="1" applyFont="1" applyFill="1" applyBorder="1" applyAlignment="1">
      <alignment horizontal="center" vertical="center" wrapText="1"/>
    </xf>
    <xf numFmtId="0" fontId="96" fillId="8" borderId="166" xfId="6" applyFont="1" applyFill="1" applyBorder="1" applyAlignment="1">
      <alignment horizontal="center" vertical="center"/>
    </xf>
    <xf numFmtId="0" fontId="96" fillId="8" borderId="173" xfId="6" applyFont="1" applyFill="1" applyBorder="1" applyAlignment="1">
      <alignment horizontal="center" vertical="center"/>
    </xf>
    <xf numFmtId="0" fontId="95" fillId="8" borderId="167" xfId="6" applyFont="1" applyFill="1" applyBorder="1" applyAlignment="1">
      <alignment horizontal="center" vertical="center"/>
    </xf>
    <xf numFmtId="0" fontId="95" fillId="8" borderId="174" xfId="6" applyFont="1" applyFill="1" applyBorder="1" applyAlignment="1">
      <alignment horizontal="center" vertical="center"/>
    </xf>
    <xf numFmtId="3" fontId="95" fillId="8" borderId="168" xfId="6" applyNumberFormat="1" applyFont="1" applyFill="1" applyBorder="1" applyAlignment="1">
      <alignment horizontal="center" vertical="center" wrapText="1"/>
    </xf>
    <xf numFmtId="3" fontId="95" fillId="8" borderId="175" xfId="6" applyNumberFormat="1" applyFont="1" applyFill="1" applyBorder="1" applyAlignment="1">
      <alignment horizontal="center" vertical="center" wrapText="1"/>
    </xf>
    <xf numFmtId="3" fontId="95" fillId="8" borderId="169" xfId="6" applyNumberFormat="1" applyFont="1" applyFill="1" applyBorder="1" applyAlignment="1">
      <alignment horizontal="center" vertical="center" wrapText="1"/>
    </xf>
    <xf numFmtId="0" fontId="90" fillId="8" borderId="169" xfId="6" applyFont="1" applyFill="1" applyBorder="1" applyAlignment="1">
      <alignment horizontal="center" vertical="center" wrapText="1"/>
    </xf>
    <xf numFmtId="0" fontId="90" fillId="8" borderId="170" xfId="6" applyFont="1" applyFill="1" applyBorder="1" applyAlignment="1">
      <alignment horizontal="center" vertical="center" wrapText="1"/>
    </xf>
    <xf numFmtId="0" fontId="95" fillId="8" borderId="171" xfId="6" applyFont="1" applyFill="1" applyBorder="1" applyAlignment="1">
      <alignment horizontal="center" vertical="center"/>
    </xf>
    <xf numFmtId="0" fontId="95" fillId="8" borderId="176" xfId="6" applyFont="1" applyFill="1" applyBorder="1" applyAlignment="1">
      <alignment horizontal="center" vertical="center"/>
    </xf>
    <xf numFmtId="167" fontId="0" fillId="0" borderId="0" xfId="0" applyNumberFormat="1" applyFont="1" applyFill="1" applyAlignment="1">
      <alignment horizontal="left"/>
    </xf>
  </cellXfs>
  <cellStyles count="8">
    <cellStyle name="Čárka" xfId="1" builtinId="3"/>
    <cellStyle name="Čárka 2" xfId="5"/>
    <cellStyle name="Excel_BuiltIn_Poznámka 1" xfId="2"/>
    <cellStyle name="Normální" xfId="0" builtinId="0"/>
    <cellStyle name="normální 2" xfId="3"/>
    <cellStyle name="Normální 2 2 2" xfId="4"/>
    <cellStyle name="Normální 3" xfId="6"/>
    <cellStyle name="normální_List1"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DEDED"/>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ku\Users\stankova2598\AppData\Local\Microsoft\Windows\INetCache\Content.Outlook\P53HJRV8\ORJ14_P&#345;ehled%20projekt&#367;%202014-2020_n&#225;vrh%202020_nov&#253;.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kce%20reprodukce%20majetku%20kraj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daje dle STAVU"/>
      <sheetName val="Výdaje podle odvětví"/>
      <sheetName val="Příjmy podle odvětví"/>
      <sheetName val="ZÁLOHOVÉ PROJEKTY"/>
      <sheetName val="rozhodnutí"/>
      <sheetName val="rekapitulace"/>
      <sheetName val="Projekty P.O."/>
      <sheetName val="Udržitelnost podle odvětví"/>
      <sheetName val="List1"/>
      <sheetName val="neinvestiční projekty"/>
      <sheetName val="usnesení"/>
    </sheetNames>
    <sheetDataSet>
      <sheetData sheetId="0" refreshError="1"/>
      <sheetData sheetId="1"/>
      <sheetData sheetId="2" refreshError="1"/>
      <sheetData sheetId="3"/>
      <sheetData sheetId="4">
        <row r="31">
          <cell r="N31">
            <v>25.54</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kce reprodukce majetku kraje"/>
    </sheetNames>
    <sheetDataSet>
      <sheetData sheetId="0"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2"/>
    <pageSetUpPr fitToPage="1"/>
  </sheetPr>
  <dimension ref="A1:IV926"/>
  <sheetViews>
    <sheetView topLeftCell="B1" zoomScaleSheetLayoutView="100" workbookViewId="0">
      <pane ySplit="2" topLeftCell="A3" activePane="bottomLeft" state="frozen"/>
      <selection activeCell="B1" sqref="B1"/>
      <selection pane="bottomLeft" activeCell="J7" sqref="J7"/>
    </sheetView>
  </sheetViews>
  <sheetFormatPr defaultColWidth="9.5703125" defaultRowHeight="12.75" x14ac:dyDescent="0.2"/>
  <cols>
    <col min="1" max="1" width="20.85546875" style="1" customWidth="1"/>
    <col min="2" max="2" width="97" style="1" customWidth="1"/>
    <col min="3" max="3" width="24.85546875" style="1" customWidth="1"/>
    <col min="4" max="4" width="28.42578125" style="1" customWidth="1"/>
    <col min="5" max="5" width="24.28515625" style="1" customWidth="1"/>
    <col min="6" max="6" width="0.140625" style="2" customWidth="1"/>
    <col min="7" max="7" width="24.28515625" style="1" customWidth="1"/>
    <col min="8" max="8" width="16.42578125" style="1" customWidth="1"/>
    <col min="9" max="16384" width="9.5703125" style="1"/>
  </cols>
  <sheetData>
    <row r="1" spans="1:8" ht="18.75" customHeight="1" x14ac:dyDescent="0.25">
      <c r="C1" s="3"/>
      <c r="D1" s="3"/>
      <c r="E1" s="4"/>
      <c r="F1" s="5"/>
      <c r="G1" s="6" t="s">
        <v>0</v>
      </c>
      <c r="H1" s="7"/>
    </row>
    <row r="2" spans="1:8" s="12" customFormat="1" ht="60" customHeight="1" x14ac:dyDescent="0.2">
      <c r="A2" s="8" t="s">
        <v>1</v>
      </c>
      <c r="B2" s="9" t="s">
        <v>2</v>
      </c>
      <c r="C2" s="10" t="s">
        <v>3</v>
      </c>
      <c r="D2" s="11" t="s">
        <v>4</v>
      </c>
      <c r="E2" s="11" t="s">
        <v>5</v>
      </c>
      <c r="F2" s="11" t="s">
        <v>6</v>
      </c>
      <c r="G2" s="11" t="s">
        <v>7</v>
      </c>
      <c r="H2" s="7"/>
    </row>
    <row r="3" spans="1:8" s="19" customFormat="1" ht="18" customHeight="1" x14ac:dyDescent="0.25">
      <c r="A3" s="13"/>
      <c r="B3" s="14" t="s">
        <v>8</v>
      </c>
      <c r="C3" s="15"/>
      <c r="D3" s="15"/>
      <c r="E3" s="16"/>
      <c r="F3" s="17"/>
      <c r="G3" s="18"/>
      <c r="H3" s="7"/>
    </row>
    <row r="4" spans="1:8" s="24" customFormat="1" ht="15.75" customHeight="1" x14ac:dyDescent="0.2">
      <c r="A4" s="20"/>
      <c r="B4" s="21" t="s">
        <v>9</v>
      </c>
      <c r="C4" s="22">
        <f>C53</f>
        <v>444580702</v>
      </c>
      <c r="D4" s="22">
        <f>D53</f>
        <v>371511957.44</v>
      </c>
      <c r="E4" s="22">
        <v>370879661.44</v>
      </c>
      <c r="F4" s="22">
        <f>F53</f>
        <v>255798528.65000004</v>
      </c>
      <c r="G4" s="22">
        <v>388416000</v>
      </c>
      <c r="H4" s="23"/>
    </row>
    <row r="5" spans="1:8" s="24" customFormat="1" ht="15.75" customHeight="1" x14ac:dyDescent="0.2">
      <c r="A5" s="25"/>
      <c r="B5" s="21" t="s">
        <v>10</v>
      </c>
      <c r="C5" s="26">
        <f>C87</f>
        <v>127930181</v>
      </c>
      <c r="D5" s="26">
        <f>D87</f>
        <v>68787440.480000004</v>
      </c>
      <c r="E5" s="26">
        <v>123158006.55</v>
      </c>
      <c r="F5" s="26">
        <f>F87</f>
        <v>86272625.189999998</v>
      </c>
      <c r="G5" s="26">
        <v>127407541.26000001</v>
      </c>
      <c r="H5" s="23"/>
    </row>
    <row r="6" spans="1:8" s="24" customFormat="1" ht="15.75" customHeight="1" x14ac:dyDescent="0.2">
      <c r="A6" s="21"/>
      <c r="B6" s="21" t="s">
        <v>11</v>
      </c>
      <c r="C6" s="26">
        <f>C177</f>
        <v>52475517</v>
      </c>
      <c r="D6" s="26">
        <f>D177</f>
        <v>52226112.700000003</v>
      </c>
      <c r="E6" s="26">
        <v>16516319.699999999</v>
      </c>
      <c r="F6" s="26">
        <f>F177</f>
        <v>15702229.899999999</v>
      </c>
      <c r="G6" s="26">
        <f>G177</f>
        <v>109511899.31</v>
      </c>
      <c r="H6" s="23"/>
    </row>
    <row r="7" spans="1:8" s="24" customFormat="1" ht="15.75" customHeight="1" x14ac:dyDescent="0.2">
      <c r="A7" s="21"/>
      <c r="B7" s="21" t="s">
        <v>12</v>
      </c>
      <c r="C7" s="26">
        <f>C198</f>
        <v>59771600.0035</v>
      </c>
      <c r="D7" s="26">
        <f>D198</f>
        <v>138526988.82350001</v>
      </c>
      <c r="E7" s="26">
        <v>134539129.30000001</v>
      </c>
      <c r="F7" s="26">
        <f>F198</f>
        <v>120624289.91999999</v>
      </c>
      <c r="G7" s="26">
        <v>81229895.709999993</v>
      </c>
      <c r="H7" s="23"/>
    </row>
    <row r="8" spans="1:8" s="19" customFormat="1" ht="18" x14ac:dyDescent="0.25">
      <c r="A8" s="27"/>
      <c r="B8" s="28" t="s">
        <v>13</v>
      </c>
      <c r="C8" s="29">
        <v>684761000</v>
      </c>
      <c r="D8" s="29">
        <f>D252</f>
        <v>631052499.44350004</v>
      </c>
      <c r="E8" s="29">
        <v>645093116.99000001</v>
      </c>
      <c r="F8" s="29">
        <f>F252</f>
        <v>478397673.65999997</v>
      </c>
      <c r="G8" s="29">
        <v>706565336.27999997</v>
      </c>
      <c r="H8" s="30"/>
    </row>
    <row r="9" spans="1:8" s="24" customFormat="1" ht="15" x14ac:dyDescent="0.2">
      <c r="A9" s="31"/>
      <c r="B9" s="31" t="s">
        <v>14</v>
      </c>
      <c r="C9" s="32">
        <f>C254</f>
        <v>185331265.00000003</v>
      </c>
      <c r="D9" s="32">
        <f>D254</f>
        <v>169553420.91000003</v>
      </c>
      <c r="E9" s="32">
        <v>135875963.61000001</v>
      </c>
      <c r="F9" s="32">
        <f>F254</f>
        <v>-56083079.149999999</v>
      </c>
      <c r="G9" s="32">
        <v>195741180.47</v>
      </c>
      <c r="H9" s="33"/>
    </row>
    <row r="10" spans="1:8" s="38" customFormat="1" ht="23.25" x14ac:dyDescent="0.35">
      <c r="A10" s="34"/>
      <c r="B10" s="35" t="s">
        <v>15</v>
      </c>
      <c r="C10" s="36">
        <f>C263</f>
        <v>870089265.00349998</v>
      </c>
      <c r="D10" s="36">
        <f>D263</f>
        <v>800605920.35350013</v>
      </c>
      <c r="E10" s="36">
        <v>780969080.60000002</v>
      </c>
      <c r="F10" s="36">
        <f>F263</f>
        <v>422314594.50999999</v>
      </c>
      <c r="G10" s="36">
        <v>902306516.75</v>
      </c>
      <c r="H10" s="37"/>
    </row>
    <row r="11" spans="1:8" s="19" customFormat="1" ht="18" x14ac:dyDescent="0.25">
      <c r="A11" s="13"/>
      <c r="B11" s="14" t="s">
        <v>16</v>
      </c>
      <c r="C11" s="39"/>
      <c r="D11" s="39"/>
      <c r="E11" s="39"/>
      <c r="F11" s="40"/>
      <c r="G11" s="41"/>
      <c r="H11" s="30"/>
    </row>
    <row r="12" spans="1:8" s="19" customFormat="1" ht="18" x14ac:dyDescent="0.25">
      <c r="A12" s="13"/>
      <c r="B12" s="21" t="s">
        <v>17</v>
      </c>
      <c r="C12" s="42">
        <f>C50-C13</f>
        <v>603990895</v>
      </c>
      <c r="D12" s="42">
        <f>D50-D13</f>
        <v>661093281.42999995</v>
      </c>
      <c r="E12" s="42">
        <f>E50-E13</f>
        <v>619317145.48000002</v>
      </c>
      <c r="F12" s="42">
        <f>F50-F13</f>
        <v>426567811.58000004</v>
      </c>
      <c r="G12" s="42">
        <f>G50-G13</f>
        <v>640650917.12</v>
      </c>
      <c r="H12" s="33"/>
    </row>
    <row r="13" spans="1:8" s="19" customFormat="1" ht="18.75" customHeight="1" x14ac:dyDescent="0.25">
      <c r="A13" s="13"/>
      <c r="B13" s="21" t="s">
        <v>18</v>
      </c>
      <c r="C13" s="42">
        <v>266098370</v>
      </c>
      <c r="D13" s="42">
        <v>205239504.96000001</v>
      </c>
      <c r="E13" s="43">
        <v>161651935.12</v>
      </c>
      <c r="F13" s="43">
        <v>68757015.640000001</v>
      </c>
      <c r="G13" s="44">
        <v>261655599.63</v>
      </c>
      <c r="H13" s="33"/>
    </row>
    <row r="14" spans="1:8" s="19" customFormat="1" ht="15.75" customHeight="1" x14ac:dyDescent="0.25">
      <c r="A14" s="13"/>
      <c r="B14" s="45" t="s">
        <v>19</v>
      </c>
      <c r="C14" s="39"/>
      <c r="D14" s="39"/>
      <c r="E14" s="46"/>
      <c r="F14" s="47"/>
      <c r="G14" s="46"/>
    </row>
    <row r="15" spans="1:8" s="19" customFormat="1" ht="18.75" x14ac:dyDescent="0.25">
      <c r="A15" s="13"/>
      <c r="B15" s="48" t="s">
        <v>20</v>
      </c>
      <c r="C15" s="49">
        <f t="shared" ref="C15:G16" si="0">C266</f>
        <v>52448677</v>
      </c>
      <c r="D15" s="49">
        <f t="shared" si="0"/>
        <v>50917338</v>
      </c>
      <c r="E15" s="49">
        <f t="shared" si="0"/>
        <v>47778764.609999999</v>
      </c>
      <c r="F15" s="49">
        <f t="shared" si="0"/>
        <v>26310888.520000003</v>
      </c>
      <c r="G15" s="49">
        <f t="shared" si="0"/>
        <v>47057788.329999998</v>
      </c>
    </row>
    <row r="16" spans="1:8" s="24" customFormat="1" ht="15.75" customHeight="1" x14ac:dyDescent="0.25">
      <c r="A16" s="50"/>
      <c r="B16" s="51" t="s">
        <v>21</v>
      </c>
      <c r="C16" s="26">
        <f t="shared" si="0"/>
        <v>1895000</v>
      </c>
      <c r="D16" s="26">
        <f t="shared" si="0"/>
        <v>1895000</v>
      </c>
      <c r="E16" s="26">
        <f t="shared" si="0"/>
        <v>1895000</v>
      </c>
      <c r="F16" s="26">
        <f t="shared" si="0"/>
        <v>440288.54000000004</v>
      </c>
      <c r="G16" s="26">
        <f t="shared" si="0"/>
        <v>1985000</v>
      </c>
      <c r="H16" s="23"/>
    </row>
    <row r="17" spans="1:84" s="24" customFormat="1" ht="15.75" customHeight="1" x14ac:dyDescent="0.2">
      <c r="A17" s="21"/>
      <c r="B17" s="52" t="s">
        <v>22</v>
      </c>
      <c r="C17" s="26">
        <f>C280</f>
        <v>28251000</v>
      </c>
      <c r="D17" s="26">
        <f>D280</f>
        <v>26869575</v>
      </c>
      <c r="E17" s="26">
        <f>E280</f>
        <v>24033615</v>
      </c>
      <c r="F17" s="26">
        <f>F280</f>
        <v>14287648.27</v>
      </c>
      <c r="G17" s="26">
        <f>G280</f>
        <v>27050000</v>
      </c>
      <c r="H17" s="23"/>
    </row>
    <row r="18" spans="1:84" s="24" customFormat="1" ht="15.75" customHeight="1" x14ac:dyDescent="0.2">
      <c r="A18" s="52"/>
      <c r="B18" s="52" t="s">
        <v>23</v>
      </c>
      <c r="C18" s="22">
        <f>C301</f>
        <v>6934000</v>
      </c>
      <c r="D18" s="22">
        <f>D301</f>
        <v>6934000</v>
      </c>
      <c r="E18" s="22">
        <f>E301</f>
        <v>6639123.5999999996</v>
      </c>
      <c r="F18" s="22">
        <f>F301</f>
        <v>3111784.6</v>
      </c>
      <c r="G18" s="22">
        <f>G301</f>
        <v>2334000</v>
      </c>
      <c r="H18" s="23"/>
    </row>
    <row r="19" spans="1:84" s="24" customFormat="1" ht="15.75" customHeight="1" x14ac:dyDescent="0.2">
      <c r="A19" s="53"/>
      <c r="B19" s="53" t="s">
        <v>24</v>
      </c>
      <c r="C19" s="32">
        <f>C315</f>
        <v>15368677</v>
      </c>
      <c r="D19" s="32">
        <f>D315</f>
        <v>15218763</v>
      </c>
      <c r="E19" s="32">
        <f>E315</f>
        <v>15211026.01</v>
      </c>
      <c r="F19" s="32">
        <f>F315</f>
        <v>8471167.1100000013</v>
      </c>
      <c r="G19" s="32">
        <f>G315</f>
        <v>15688788.33</v>
      </c>
      <c r="H19" s="23"/>
    </row>
    <row r="20" spans="1:84" s="24" customFormat="1" ht="18.75" x14ac:dyDescent="0.25">
      <c r="A20" s="52"/>
      <c r="B20" s="54" t="s">
        <v>25</v>
      </c>
      <c r="C20" s="49">
        <f t="shared" ref="C20:F21" si="1">C354</f>
        <v>79701343</v>
      </c>
      <c r="D20" s="49">
        <f t="shared" si="1"/>
        <v>69000343</v>
      </c>
      <c r="E20" s="49">
        <f t="shared" si="1"/>
        <v>1689192.23</v>
      </c>
      <c r="F20" s="49">
        <f t="shared" si="1"/>
        <v>5818563.0100000007</v>
      </c>
      <c r="G20" s="49">
        <f>SUM(G21:G25)</f>
        <v>114484000</v>
      </c>
      <c r="H20" s="19"/>
    </row>
    <row r="21" spans="1:84" s="24" customFormat="1" ht="15.75" customHeight="1" x14ac:dyDescent="0.2">
      <c r="A21" s="21"/>
      <c r="B21" s="51" t="s">
        <v>26</v>
      </c>
      <c r="C21" s="26">
        <f t="shared" si="1"/>
        <v>1000000</v>
      </c>
      <c r="D21" s="26">
        <f t="shared" si="1"/>
        <v>1004840</v>
      </c>
      <c r="E21" s="26">
        <f t="shared" si="1"/>
        <v>374258.72</v>
      </c>
      <c r="F21" s="26">
        <f t="shared" si="1"/>
        <v>380258.72</v>
      </c>
      <c r="G21" s="26">
        <f>G355</f>
        <v>5530000</v>
      </c>
      <c r="H21" s="23"/>
    </row>
    <row r="22" spans="1:84" s="24" customFormat="1" ht="15.75" customHeight="1" x14ac:dyDescent="0.2">
      <c r="A22" s="21"/>
      <c r="B22" s="52" t="s">
        <v>27</v>
      </c>
      <c r="C22" s="26">
        <f>C370</f>
        <v>28360000</v>
      </c>
      <c r="D22" s="26">
        <f>D370</f>
        <v>26188160</v>
      </c>
      <c r="E22" s="26">
        <f>E370</f>
        <v>850886.86</v>
      </c>
      <c r="F22" s="26">
        <f>F370</f>
        <v>3217923.7600000002</v>
      </c>
      <c r="G22" s="26">
        <v>38460500</v>
      </c>
      <c r="H22" s="23"/>
    </row>
    <row r="23" spans="1:84" s="24" customFormat="1" ht="15.75" customHeight="1" x14ac:dyDescent="0.2">
      <c r="A23" s="21"/>
      <c r="B23" s="52" t="s">
        <v>28</v>
      </c>
      <c r="C23" s="26">
        <f>C432</f>
        <v>10270000</v>
      </c>
      <c r="D23" s="26">
        <f>D432</f>
        <v>4360000</v>
      </c>
      <c r="E23" s="26">
        <f>E432</f>
        <v>1000</v>
      </c>
      <c r="F23" s="26">
        <f>F432</f>
        <v>1152211.8800000001</v>
      </c>
      <c r="G23" s="26">
        <f>G432</f>
        <v>6295000</v>
      </c>
      <c r="H23" s="23"/>
    </row>
    <row r="24" spans="1:84" s="24" customFormat="1" ht="15.75" customHeight="1" x14ac:dyDescent="0.2">
      <c r="A24" s="21"/>
      <c r="B24" s="21" t="s">
        <v>29</v>
      </c>
      <c r="C24" s="26">
        <f>C445</f>
        <v>38897343</v>
      </c>
      <c r="D24" s="26">
        <f>D445</f>
        <v>36797343</v>
      </c>
      <c r="E24" s="26">
        <f>E445</f>
        <v>313046.65000000002</v>
      </c>
      <c r="F24" s="26">
        <f>F445</f>
        <v>963168.65</v>
      </c>
      <c r="G24" s="26">
        <v>63726000</v>
      </c>
      <c r="H24" s="23"/>
    </row>
    <row r="25" spans="1:84" s="24" customFormat="1" ht="15.75" customHeight="1" x14ac:dyDescent="0.2">
      <c r="A25" s="55"/>
      <c r="B25" s="56" t="s">
        <v>30</v>
      </c>
      <c r="C25" s="57">
        <f>C476</f>
        <v>1174000</v>
      </c>
      <c r="D25" s="57">
        <f>D476</f>
        <v>650000</v>
      </c>
      <c r="E25" s="57">
        <f>E476</f>
        <v>150000</v>
      </c>
      <c r="F25" s="57">
        <f>F476</f>
        <v>105000</v>
      </c>
      <c r="G25" s="57">
        <f>G476</f>
        <v>472500</v>
      </c>
      <c r="H25" s="23"/>
    </row>
    <row r="26" spans="1:84" s="24" customFormat="1" ht="18.75" x14ac:dyDescent="0.3">
      <c r="A26" s="58"/>
      <c r="B26" s="59" t="s">
        <v>31</v>
      </c>
      <c r="C26" s="60">
        <f>C481</f>
        <v>3086000</v>
      </c>
      <c r="D26" s="60">
        <f>D481</f>
        <v>4456000</v>
      </c>
      <c r="E26" s="60">
        <f>E481</f>
        <v>4273000</v>
      </c>
      <c r="F26" s="60">
        <f>F481</f>
        <v>3290243</v>
      </c>
      <c r="G26" s="60">
        <f>G481</f>
        <v>3640000</v>
      </c>
    </row>
    <row r="27" spans="1:84" s="63" customFormat="1" ht="18.75" x14ac:dyDescent="0.3">
      <c r="A27" s="53"/>
      <c r="B27" s="61" t="s">
        <v>32</v>
      </c>
      <c r="C27" s="62">
        <f>C486</f>
        <v>10612697</v>
      </c>
      <c r="D27" s="62">
        <v>9354593</v>
      </c>
      <c r="E27" s="62">
        <v>9354593</v>
      </c>
      <c r="F27" s="62">
        <v>5300735.47</v>
      </c>
      <c r="G27" s="62">
        <v>10752956</v>
      </c>
    </row>
    <row r="28" spans="1:84" s="24" customFormat="1" ht="18.75" x14ac:dyDescent="0.3">
      <c r="A28" s="58"/>
      <c r="B28" s="59" t="s">
        <v>33</v>
      </c>
      <c r="C28" s="60">
        <f>C492</f>
        <v>6426417</v>
      </c>
      <c r="D28" s="60">
        <f>D492</f>
        <v>6357417</v>
      </c>
      <c r="E28" s="60">
        <f>E492</f>
        <v>6413417</v>
      </c>
      <c r="F28" s="60">
        <f>F492</f>
        <v>4365980.75</v>
      </c>
      <c r="G28" s="60">
        <f>G492</f>
        <v>7038417</v>
      </c>
    </row>
    <row r="29" spans="1:84" s="24" customFormat="1" ht="18.75" x14ac:dyDescent="0.3">
      <c r="A29" s="55"/>
      <c r="B29" s="64" t="s">
        <v>34</v>
      </c>
      <c r="C29" s="65">
        <f>C503</f>
        <v>112000</v>
      </c>
      <c r="D29" s="65">
        <f>D503</f>
        <v>112000</v>
      </c>
      <c r="E29" s="65">
        <f>E503</f>
        <v>73000</v>
      </c>
      <c r="F29" s="65">
        <f>F503</f>
        <v>33098</v>
      </c>
      <c r="G29" s="65">
        <f>G503</f>
        <v>112000</v>
      </c>
      <c r="H29" s="23"/>
    </row>
    <row r="30" spans="1:84" s="69" customFormat="1" ht="18.75" x14ac:dyDescent="0.25">
      <c r="A30" s="66"/>
      <c r="B30" s="67" t="s">
        <v>35</v>
      </c>
      <c r="C30" s="68">
        <f>C507</f>
        <v>500000</v>
      </c>
      <c r="D30" s="68">
        <f>D507</f>
        <v>1201000</v>
      </c>
      <c r="E30" s="68">
        <f>E507</f>
        <v>701000</v>
      </c>
      <c r="F30" s="68">
        <f>F507</f>
        <v>1201000</v>
      </c>
      <c r="G30" s="68">
        <f>G507</f>
        <v>500000</v>
      </c>
      <c r="H30" s="23"/>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row>
    <row r="31" spans="1:84" s="24" customFormat="1" ht="18.75" x14ac:dyDescent="0.3">
      <c r="A31" s="70"/>
      <c r="B31" s="71" t="s">
        <v>36</v>
      </c>
      <c r="C31" s="72">
        <f t="shared" ref="C31:F32" si="2">C511</f>
        <v>117286140</v>
      </c>
      <c r="D31" s="73">
        <f t="shared" si="2"/>
        <v>125496783.28</v>
      </c>
      <c r="E31" s="73">
        <f t="shared" si="2"/>
        <v>125496783.28</v>
      </c>
      <c r="F31" s="73">
        <f t="shared" si="2"/>
        <v>82606294.439999998</v>
      </c>
      <c r="G31" s="73">
        <f>SUM(G32:G34)</f>
        <v>165843398.80000001</v>
      </c>
    </row>
    <row r="32" spans="1:84" s="24" customFormat="1" ht="15.75" customHeight="1" x14ac:dyDescent="0.25">
      <c r="A32" s="50"/>
      <c r="B32" s="21" t="s">
        <v>37</v>
      </c>
      <c r="C32" s="26">
        <f t="shared" si="2"/>
        <v>55530000</v>
      </c>
      <c r="D32" s="26">
        <f t="shared" si="2"/>
        <v>50086908.670000002</v>
      </c>
      <c r="E32" s="26">
        <f t="shared" si="2"/>
        <v>50086908.670000002</v>
      </c>
      <c r="F32" s="26">
        <f t="shared" si="2"/>
        <v>24467486.900000002</v>
      </c>
      <c r="G32" s="26">
        <v>84320582.799999997</v>
      </c>
      <c r="H32" s="23"/>
    </row>
    <row r="33" spans="1:8" s="24" customFormat="1" ht="15.75" customHeight="1" x14ac:dyDescent="0.2">
      <c r="A33" s="21"/>
      <c r="B33" s="21" t="s">
        <v>38</v>
      </c>
      <c r="C33" s="26">
        <v>39914000</v>
      </c>
      <c r="D33" s="26">
        <f>D564</f>
        <v>60000</v>
      </c>
      <c r="E33" s="26">
        <v>39435236.609999999</v>
      </c>
      <c r="F33" s="26">
        <f>F564</f>
        <v>23782.41</v>
      </c>
      <c r="G33" s="26">
        <v>63946000</v>
      </c>
      <c r="H33" s="23"/>
    </row>
    <row r="34" spans="1:8" s="24" customFormat="1" ht="15.75" customHeight="1" x14ac:dyDescent="0.2">
      <c r="A34" s="53"/>
      <c r="B34" s="56" t="s">
        <v>39</v>
      </c>
      <c r="C34" s="32">
        <v>21842.14</v>
      </c>
      <c r="D34" s="32">
        <f>D589</f>
        <v>150000</v>
      </c>
      <c r="E34" s="32">
        <v>35974638</v>
      </c>
      <c r="F34" s="32">
        <f>F589</f>
        <v>59769</v>
      </c>
      <c r="G34" s="32">
        <v>17576816</v>
      </c>
      <c r="H34" s="23"/>
    </row>
    <row r="35" spans="1:8" s="24" customFormat="1" ht="18.75" x14ac:dyDescent="0.3">
      <c r="A35" s="56"/>
      <c r="B35" s="74" t="s">
        <v>40</v>
      </c>
      <c r="C35" s="75">
        <f>C604</f>
        <v>24216100</v>
      </c>
      <c r="D35" s="75">
        <f>D604</f>
        <v>26216100</v>
      </c>
      <c r="E35" s="75">
        <f>E604</f>
        <v>26000000</v>
      </c>
      <c r="F35" s="75">
        <f>F604</f>
        <v>16002050.35</v>
      </c>
      <c r="G35" s="75">
        <f>G604</f>
        <v>24084500</v>
      </c>
    </row>
    <row r="36" spans="1:8" s="24" customFormat="1" ht="18.75" x14ac:dyDescent="0.3">
      <c r="A36" s="56"/>
      <c r="B36" s="74" t="s">
        <v>41</v>
      </c>
      <c r="C36" s="75">
        <f>C608</f>
        <v>36789421</v>
      </c>
      <c r="D36" s="75">
        <f>D608</f>
        <v>33301421</v>
      </c>
      <c r="E36" s="75">
        <f>E608</f>
        <v>30587183.09</v>
      </c>
      <c r="F36" s="75">
        <f>F608</f>
        <v>14768627.58</v>
      </c>
      <c r="G36" s="75">
        <f>G608</f>
        <v>34895800</v>
      </c>
    </row>
    <row r="37" spans="1:8" s="24" customFormat="1" ht="18.75" x14ac:dyDescent="0.2">
      <c r="A37" s="58"/>
      <c r="B37" s="76" t="s">
        <v>42</v>
      </c>
      <c r="C37" s="77">
        <f>C625</f>
        <v>153267660</v>
      </c>
      <c r="D37" s="78">
        <f>D625</f>
        <v>152405979</v>
      </c>
      <c r="E37" s="78">
        <f>E625</f>
        <v>152405979</v>
      </c>
      <c r="F37" s="78">
        <f>F625</f>
        <v>87122082</v>
      </c>
      <c r="G37" s="78">
        <f>G625</f>
        <v>149365960</v>
      </c>
    </row>
    <row r="38" spans="1:8" s="24" customFormat="1" ht="18.75" x14ac:dyDescent="0.3">
      <c r="A38" s="79"/>
      <c r="B38" s="71" t="s">
        <v>43</v>
      </c>
      <c r="C38" s="73">
        <f t="shared" ref="C38:G39" si="3">C633</f>
        <v>10199000</v>
      </c>
      <c r="D38" s="73">
        <f t="shared" si="3"/>
        <v>10026000</v>
      </c>
      <c r="E38" s="73">
        <f t="shared" si="3"/>
        <v>8890100</v>
      </c>
      <c r="F38" s="73">
        <f t="shared" si="3"/>
        <v>6802858.8700000001</v>
      </c>
      <c r="G38" s="73">
        <f t="shared" si="3"/>
        <v>10937288</v>
      </c>
      <c r="H38" s="23"/>
    </row>
    <row r="39" spans="1:8" s="24" customFormat="1" ht="16.5" customHeight="1" x14ac:dyDescent="0.2">
      <c r="A39" s="80"/>
      <c r="B39" s="80" t="s">
        <v>44</v>
      </c>
      <c r="C39" s="26">
        <f t="shared" si="3"/>
        <v>3459000</v>
      </c>
      <c r="D39" s="26">
        <f t="shared" si="3"/>
        <v>3286000</v>
      </c>
      <c r="E39" s="26">
        <f t="shared" si="3"/>
        <v>2734100</v>
      </c>
      <c r="F39" s="26">
        <f t="shared" si="3"/>
        <v>769858.87000000011</v>
      </c>
      <c r="G39" s="26">
        <f t="shared" si="3"/>
        <v>3067000</v>
      </c>
      <c r="H39" s="23"/>
    </row>
    <row r="40" spans="1:8" s="24" customFormat="1" ht="16.5" customHeight="1" x14ac:dyDescent="0.2">
      <c r="A40" s="53"/>
      <c r="B40" s="53" t="s">
        <v>45</v>
      </c>
      <c r="C40" s="32">
        <f>C662</f>
        <v>6740000</v>
      </c>
      <c r="D40" s="32">
        <f>D662</f>
        <v>6740000</v>
      </c>
      <c r="E40" s="32">
        <f>E662</f>
        <v>6156000</v>
      </c>
      <c r="F40" s="32">
        <f>F662</f>
        <v>6033000</v>
      </c>
      <c r="G40" s="32">
        <f>G662</f>
        <v>7870288</v>
      </c>
    </row>
    <row r="41" spans="1:8" s="24" customFormat="1" ht="18.75" x14ac:dyDescent="0.3">
      <c r="A41" s="79"/>
      <c r="B41" s="81" t="s">
        <v>46</v>
      </c>
      <c r="C41" s="82">
        <f>C673</f>
        <v>14255100</v>
      </c>
      <c r="D41" s="82">
        <f>D673</f>
        <v>20033588</v>
      </c>
      <c r="E41" s="82">
        <f>E673</f>
        <v>20033588</v>
      </c>
      <c r="F41" s="82">
        <f>F673</f>
        <v>7184316.8099999996</v>
      </c>
      <c r="G41" s="82">
        <f>G673</f>
        <v>13505100</v>
      </c>
    </row>
    <row r="42" spans="1:8" s="24" customFormat="1" ht="16.5" customHeight="1" x14ac:dyDescent="0.3">
      <c r="A42" s="21"/>
      <c r="B42" s="83" t="s">
        <v>47</v>
      </c>
      <c r="C42" s="84">
        <f t="shared" ref="C42:G44" si="4">C675</f>
        <v>6911500</v>
      </c>
      <c r="D42" s="84">
        <f t="shared" si="4"/>
        <v>10203820</v>
      </c>
      <c r="E42" s="84">
        <f t="shared" si="4"/>
        <v>10203820</v>
      </c>
      <c r="F42" s="84">
        <f t="shared" si="4"/>
        <v>3433058.91</v>
      </c>
      <c r="G42" s="84">
        <f t="shared" si="4"/>
        <v>6835500</v>
      </c>
    </row>
    <row r="43" spans="1:8" s="24" customFormat="1" ht="16.5" customHeight="1" x14ac:dyDescent="0.3">
      <c r="A43" s="52"/>
      <c r="B43" s="85" t="s">
        <v>48</v>
      </c>
      <c r="C43" s="73">
        <f t="shared" si="4"/>
        <v>1796800</v>
      </c>
      <c r="D43" s="73">
        <f t="shared" si="4"/>
        <v>2479432</v>
      </c>
      <c r="E43" s="73">
        <f t="shared" si="4"/>
        <v>2479432</v>
      </c>
      <c r="F43" s="73">
        <f t="shared" si="4"/>
        <v>763396.3</v>
      </c>
      <c r="G43" s="73">
        <f t="shared" si="4"/>
        <v>1739300</v>
      </c>
    </row>
    <row r="44" spans="1:8" s="24" customFormat="1" ht="16.5" customHeight="1" x14ac:dyDescent="0.3">
      <c r="A44" s="56"/>
      <c r="B44" s="86" t="s">
        <v>49</v>
      </c>
      <c r="C44" s="75">
        <f t="shared" si="4"/>
        <v>5546800</v>
      </c>
      <c r="D44" s="75">
        <f t="shared" si="4"/>
        <v>7350336</v>
      </c>
      <c r="E44" s="75">
        <f t="shared" si="4"/>
        <v>7350336</v>
      </c>
      <c r="F44" s="75">
        <f t="shared" si="4"/>
        <v>2987864.6</v>
      </c>
      <c r="G44" s="75">
        <f t="shared" si="4"/>
        <v>4930300</v>
      </c>
      <c r="H44" s="23"/>
    </row>
    <row r="45" spans="1:8" s="24" customFormat="1" ht="18.75" x14ac:dyDescent="0.3">
      <c r="A45" s="87"/>
      <c r="B45" s="59" t="s">
        <v>50</v>
      </c>
      <c r="C45" s="60">
        <f>C679</f>
        <v>48341000</v>
      </c>
      <c r="D45" s="60">
        <f>D679</f>
        <v>48246622</v>
      </c>
      <c r="E45" s="60">
        <f>E679</f>
        <v>48220555</v>
      </c>
      <c r="F45" s="60">
        <f>F679</f>
        <v>26931631</v>
      </c>
      <c r="G45" s="60">
        <f>G679</f>
        <v>58483000</v>
      </c>
    </row>
    <row r="46" spans="1:8" s="24" customFormat="1" ht="18.75" customHeight="1" x14ac:dyDescent="0.3">
      <c r="A46" s="87"/>
      <c r="B46" s="59" t="s">
        <v>51</v>
      </c>
      <c r="C46" s="88">
        <f>C702</f>
        <v>272420000</v>
      </c>
      <c r="D46" s="60">
        <f>D702</f>
        <v>198055883.74000001</v>
      </c>
      <c r="E46" s="60">
        <v>183951155.44</v>
      </c>
      <c r="F46" s="60">
        <f>F702</f>
        <v>96334031.909999996</v>
      </c>
      <c r="G46" s="60">
        <v>224822000</v>
      </c>
      <c r="H46" s="89"/>
    </row>
    <row r="47" spans="1:8" s="24" customFormat="1" ht="19.5" customHeight="1" x14ac:dyDescent="0.3">
      <c r="A47" s="79"/>
      <c r="B47" s="90" t="s">
        <v>52</v>
      </c>
      <c r="C47" s="82">
        <f>C885</f>
        <v>1211750</v>
      </c>
      <c r="D47" s="82">
        <f>D885</f>
        <v>637750</v>
      </c>
      <c r="E47" s="82">
        <f>E885</f>
        <v>379640</v>
      </c>
      <c r="F47" s="82">
        <f>F885</f>
        <v>120303.64</v>
      </c>
      <c r="G47" s="82">
        <f>G885</f>
        <v>600000</v>
      </c>
      <c r="H47" s="12"/>
    </row>
    <row r="48" spans="1:8" s="24" customFormat="1" ht="15.75" customHeight="1" x14ac:dyDescent="0.2">
      <c r="A48" s="56"/>
      <c r="B48" s="91" t="s">
        <v>53</v>
      </c>
      <c r="C48" s="57">
        <f>C896</f>
        <v>574000</v>
      </c>
      <c r="D48" s="57">
        <f>D896</f>
        <v>0</v>
      </c>
      <c r="E48" s="57">
        <f>E896</f>
        <v>0</v>
      </c>
      <c r="F48" s="57">
        <f>F896</f>
        <v>0</v>
      </c>
      <c r="G48" s="57">
        <f>G896</f>
        <v>0</v>
      </c>
      <c r="H48" s="92"/>
    </row>
    <row r="49" spans="1:8" s="24" customFormat="1" ht="18.75" x14ac:dyDescent="0.3">
      <c r="A49" s="55"/>
      <c r="B49" s="71" t="s">
        <v>54</v>
      </c>
      <c r="C49" s="73">
        <f>C899</f>
        <v>39215960</v>
      </c>
      <c r="D49" s="73">
        <f>D899</f>
        <v>110513968.37</v>
      </c>
      <c r="E49" s="73">
        <f>E899</f>
        <v>104362912.75</v>
      </c>
      <c r="F49" s="73">
        <f>F899</f>
        <v>111132121.87</v>
      </c>
      <c r="G49" s="73">
        <f>G899</f>
        <v>36184308.620000005</v>
      </c>
      <c r="H49" s="92"/>
    </row>
    <row r="50" spans="1:8" s="19" customFormat="1" ht="23.25" customHeight="1" x14ac:dyDescent="0.3">
      <c r="A50" s="93"/>
      <c r="B50" s="94" t="s">
        <v>55</v>
      </c>
      <c r="C50" s="95">
        <f>C922</f>
        <v>870089265</v>
      </c>
      <c r="D50" s="95">
        <f>D922</f>
        <v>866332786.38999999</v>
      </c>
      <c r="E50" s="95">
        <v>780969080.60000002</v>
      </c>
      <c r="F50" s="95">
        <f>F922</f>
        <v>495324827.22000003</v>
      </c>
      <c r="G50" s="95">
        <v>902306516.75</v>
      </c>
      <c r="H50" s="96"/>
    </row>
    <row r="51" spans="1:8" s="19" customFormat="1" ht="23.25" hidden="1" customHeight="1" x14ac:dyDescent="0.3">
      <c r="A51" s="93"/>
      <c r="B51" s="94"/>
      <c r="C51" s="97"/>
      <c r="D51" s="97"/>
      <c r="E51" s="97"/>
      <c r="F51" s="97"/>
      <c r="G51" s="97"/>
      <c r="H51" s="96"/>
    </row>
    <row r="52" spans="1:8" s="12" customFormat="1" ht="22.5" hidden="1" customHeight="1" x14ac:dyDescent="0.3">
      <c r="A52" s="98"/>
      <c r="B52" s="99" t="s">
        <v>56</v>
      </c>
      <c r="C52" s="100"/>
      <c r="D52" s="100"/>
      <c r="E52" s="101"/>
      <c r="F52" s="102"/>
      <c r="G52" s="103"/>
      <c r="H52" s="96"/>
    </row>
    <row r="53" spans="1:8" s="107" customFormat="1" ht="18" hidden="1" x14ac:dyDescent="0.25">
      <c r="A53" s="104"/>
      <c r="B53" s="105" t="s">
        <v>57</v>
      </c>
      <c r="C53" s="106">
        <f>SUM(C54:C66,C70,C73:C76,C83:C85)</f>
        <v>444580702</v>
      </c>
      <c r="D53" s="106">
        <f>SUM(D54:D66,D70,D73:D76,D83:D85)</f>
        <v>371511957.44</v>
      </c>
      <c r="E53" s="106">
        <f>SUM(E54:E66,E70,E73:E76,E83:E85)</f>
        <v>371694661.44</v>
      </c>
      <c r="F53" s="106">
        <f>SUM(F54:F66,F70,F73:F76,F83:F85)</f>
        <v>255798528.65000004</v>
      </c>
      <c r="G53" s="106">
        <f>SUM(G54:G66,G70,G73:G76,G83:G85)</f>
        <v>387416000</v>
      </c>
      <c r="H53" s="96"/>
    </row>
    <row r="54" spans="1:8" s="107" customFormat="1" ht="12.75" hidden="1" customHeight="1" x14ac:dyDescent="0.2">
      <c r="A54" s="108">
        <v>1111</v>
      </c>
      <c r="B54" s="109" t="s">
        <v>58</v>
      </c>
      <c r="C54" s="110">
        <f>(55413000*0.164351/100)*1000-0.63</f>
        <v>91071819</v>
      </c>
      <c r="D54" s="110">
        <f>(55413000*0.164351/100)*1000-0.63-18000000</f>
        <v>73071819</v>
      </c>
      <c r="E54" s="110">
        <f>(55413000*0.164351/100)*1000-0.63-18000000</f>
        <v>73071819</v>
      </c>
      <c r="F54" s="110">
        <v>48301217.43</v>
      </c>
      <c r="G54" s="111">
        <f>(85460000-83860000)/2+83860000</f>
        <v>84660000</v>
      </c>
      <c r="H54" s="96"/>
    </row>
    <row r="55" spans="1:8" s="116" customFormat="1" ht="12.75" hidden="1" customHeight="1" x14ac:dyDescent="0.2">
      <c r="A55" s="112">
        <v>1111</v>
      </c>
      <c r="B55" s="113" t="s">
        <v>59</v>
      </c>
      <c r="C55" s="114">
        <f>(3525000*0.272848/100)*1000</f>
        <v>9617892</v>
      </c>
      <c r="D55" s="114">
        <v>7617892</v>
      </c>
      <c r="E55" s="114">
        <v>7617892</v>
      </c>
      <c r="F55" s="115">
        <v>5100983.9800000004</v>
      </c>
      <c r="G55" s="111">
        <f>(8650000-8490000)/2+8490000</f>
        <v>8570000</v>
      </c>
      <c r="H55" s="96"/>
    </row>
    <row r="56" spans="1:8" s="116" customFormat="1" ht="12.75" hidden="1" customHeight="1" x14ac:dyDescent="0.2">
      <c r="A56" s="112">
        <v>1112</v>
      </c>
      <c r="B56" s="113" t="s">
        <v>60</v>
      </c>
      <c r="C56" s="110">
        <f>(1100000*0.164351/100)*1000</f>
        <v>1807861</v>
      </c>
      <c r="D56" s="110">
        <v>970159</v>
      </c>
      <c r="E56" s="110">
        <v>970159</v>
      </c>
      <c r="F56" s="110">
        <v>574554.49</v>
      </c>
      <c r="G56" s="111">
        <f>(1280000-1140000)/2+1140000</f>
        <v>1210000</v>
      </c>
      <c r="H56" s="96"/>
    </row>
    <row r="57" spans="1:8" s="116" customFormat="1" ht="12.75" hidden="1" customHeight="1" x14ac:dyDescent="0.2">
      <c r="A57" s="112">
        <v>1113</v>
      </c>
      <c r="B57" s="113" t="s">
        <v>61</v>
      </c>
      <c r="C57" s="110">
        <f>(4900000*0.164351/100)*1000</f>
        <v>8053199.0000000009</v>
      </c>
      <c r="D57" s="110">
        <f>(4900000*0.164351/100)*1000-2000000</f>
        <v>6053199.0000000009</v>
      </c>
      <c r="E57" s="110">
        <f>(4900000*0.164351/100)*1000-2000000</f>
        <v>6053199.0000000009</v>
      </c>
      <c r="F57" s="115">
        <v>5051465.68</v>
      </c>
      <c r="G57" s="111">
        <v>8425000</v>
      </c>
      <c r="H57" s="96"/>
    </row>
    <row r="58" spans="1:8" s="116" customFormat="1" ht="12.75" hidden="1" customHeight="1" x14ac:dyDescent="0.2">
      <c r="A58" s="112">
        <v>1121</v>
      </c>
      <c r="B58" s="113" t="s">
        <v>62</v>
      </c>
      <c r="C58" s="110">
        <f>(45100000*0.164351/100)*1000</f>
        <v>74122300.999999985</v>
      </c>
      <c r="D58" s="110">
        <f>(45100000*0.164351/100)*1000-16000000</f>
        <v>58122300.999999985</v>
      </c>
      <c r="E58" s="110">
        <f>(45100000*0.164351/100)*1000-16000000</f>
        <v>58122300.999999985</v>
      </c>
      <c r="F58" s="115">
        <v>33335383.719999999</v>
      </c>
      <c r="G58" s="111">
        <f>(50430000-49560000)/2+49560000</f>
        <v>49995000</v>
      </c>
      <c r="H58" s="96"/>
    </row>
    <row r="59" spans="1:8" s="116" customFormat="1" ht="12.75" hidden="1" customHeight="1" x14ac:dyDescent="0.2">
      <c r="A59" s="112">
        <v>1122</v>
      </c>
      <c r="B59" s="113" t="s">
        <v>63</v>
      </c>
      <c r="C59" s="115">
        <v>25000000</v>
      </c>
      <c r="D59" s="115">
        <v>22015870</v>
      </c>
      <c r="E59" s="115">
        <v>22015870</v>
      </c>
      <c r="F59" s="115">
        <v>22015870</v>
      </c>
      <c r="G59" s="115">
        <v>23000000</v>
      </c>
      <c r="H59" s="96"/>
    </row>
    <row r="60" spans="1:8" s="116" customFormat="1" ht="12.75" hidden="1" customHeight="1" x14ac:dyDescent="0.2">
      <c r="A60" s="112">
        <v>1211</v>
      </c>
      <c r="B60" s="113" t="s">
        <v>64</v>
      </c>
      <c r="C60" s="110">
        <f>(113000000*0.164351/100)*1000</f>
        <v>185716630</v>
      </c>
      <c r="D60" s="110">
        <f>(113000000*0.164351/100)*1000-26000000</f>
        <v>159716630</v>
      </c>
      <c r="E60" s="110">
        <f>(113000000*0.164351/100)*1000-26000000</f>
        <v>159716630</v>
      </c>
      <c r="F60" s="115">
        <v>105223217.38</v>
      </c>
      <c r="G60" s="111">
        <f>(168370000-160100000)/2+160100000</f>
        <v>164235000</v>
      </c>
      <c r="H60" s="96"/>
    </row>
    <row r="61" spans="1:8" s="116" customFormat="1" ht="12.75" hidden="1" customHeight="1" x14ac:dyDescent="0.2">
      <c r="A61" s="112">
        <v>1334</v>
      </c>
      <c r="B61" s="113" t="s">
        <v>65</v>
      </c>
      <c r="C61" s="115">
        <v>50000</v>
      </c>
      <c r="D61" s="115">
        <v>53936.2</v>
      </c>
      <c r="E61" s="115">
        <v>53936.2</v>
      </c>
      <c r="F61" s="114">
        <v>104468.8</v>
      </c>
      <c r="G61" s="111">
        <v>50000</v>
      </c>
      <c r="H61" s="96"/>
    </row>
    <row r="62" spans="1:8" s="116" customFormat="1" ht="12.75" hidden="1" customHeight="1" x14ac:dyDescent="0.2">
      <c r="A62" s="112">
        <v>1335</v>
      </c>
      <c r="B62" s="113" t="s">
        <v>66</v>
      </c>
      <c r="C62" s="115">
        <v>5000</v>
      </c>
      <c r="D62" s="115">
        <v>19055.240000000002</v>
      </c>
      <c r="E62" s="115">
        <v>19055.240000000002</v>
      </c>
      <c r="F62" s="115">
        <v>23555.24</v>
      </c>
      <c r="G62" s="111">
        <v>5000</v>
      </c>
      <c r="H62" s="96"/>
    </row>
    <row r="63" spans="1:8" s="116" customFormat="1" ht="12.75" hidden="1" customHeight="1" x14ac:dyDescent="0.2">
      <c r="A63" s="112">
        <v>1336</v>
      </c>
      <c r="B63" s="113" t="s">
        <v>67</v>
      </c>
      <c r="C63" s="115">
        <v>0</v>
      </c>
      <c r="D63" s="115">
        <v>2800</v>
      </c>
      <c r="E63" s="115">
        <v>2800</v>
      </c>
      <c r="F63" s="115">
        <v>2800</v>
      </c>
      <c r="G63" s="111">
        <v>0</v>
      </c>
      <c r="H63" s="96"/>
    </row>
    <row r="64" spans="1:8" s="116" customFormat="1" ht="26.25" hidden="1" customHeight="1" x14ac:dyDescent="0.2">
      <c r="A64" s="112">
        <v>1340</v>
      </c>
      <c r="B64" s="117" t="s">
        <v>68</v>
      </c>
      <c r="C64" s="115">
        <v>13000000</v>
      </c>
      <c r="D64" s="115">
        <v>13000000</v>
      </c>
      <c r="E64" s="115">
        <v>13000000</v>
      </c>
      <c r="F64" s="115">
        <v>11581542.619999999</v>
      </c>
      <c r="G64" s="115">
        <v>13000000</v>
      </c>
      <c r="H64" s="96"/>
    </row>
    <row r="65" spans="1:34" s="116" customFormat="1" ht="12.75" hidden="1" customHeight="1" x14ac:dyDescent="0.2">
      <c r="A65" s="112">
        <v>1341</v>
      </c>
      <c r="B65" s="113" t="s">
        <v>69</v>
      </c>
      <c r="C65" s="115">
        <v>650000</v>
      </c>
      <c r="D65" s="115">
        <v>650000</v>
      </c>
      <c r="E65" s="115">
        <v>650000</v>
      </c>
      <c r="F65" s="115">
        <v>593763.6</v>
      </c>
      <c r="G65" s="111">
        <v>650000</v>
      </c>
      <c r="H65" s="96"/>
    </row>
    <row r="66" spans="1:34" s="116" customFormat="1" ht="12.75" hidden="1" customHeight="1" x14ac:dyDescent="0.2">
      <c r="A66" s="112">
        <v>1343</v>
      </c>
      <c r="B66" s="113" t="s">
        <v>70</v>
      </c>
      <c r="C66" s="114">
        <f>SUM(C67:C69)</f>
        <v>405000</v>
      </c>
      <c r="D66" s="114">
        <f>SUM(D67:D69)</f>
        <v>305000</v>
      </c>
      <c r="E66" s="114">
        <f>SUM(E67:E69)</f>
        <v>280000</v>
      </c>
      <c r="F66" s="114">
        <f>SUM(F67:F69)</f>
        <v>200753</v>
      </c>
      <c r="G66" s="114">
        <f>SUM(G67:G69)</f>
        <v>385000</v>
      </c>
      <c r="H66" s="118"/>
    </row>
    <row r="67" spans="1:34" ht="12.75" hidden="1" customHeight="1" x14ac:dyDescent="0.2">
      <c r="A67" s="119"/>
      <c r="B67" s="120" t="s">
        <v>71</v>
      </c>
      <c r="C67" s="121">
        <v>300000</v>
      </c>
      <c r="D67" s="121">
        <v>200000</v>
      </c>
      <c r="E67" s="121">
        <v>180000</v>
      </c>
      <c r="F67" s="121">
        <v>153032</v>
      </c>
      <c r="G67" s="122">
        <v>300000</v>
      </c>
      <c r="H67" s="96"/>
    </row>
    <row r="68" spans="1:34" ht="12.75" hidden="1" customHeight="1" x14ac:dyDescent="0.2">
      <c r="A68" s="119"/>
      <c r="B68" s="120" t="s">
        <v>72</v>
      </c>
      <c r="C68" s="121">
        <v>55000</v>
      </c>
      <c r="D68" s="121">
        <v>55000</v>
      </c>
      <c r="E68" s="121">
        <v>50000</v>
      </c>
      <c r="F68" s="121">
        <v>35271</v>
      </c>
      <c r="G68" s="122">
        <v>60000</v>
      </c>
      <c r="H68" s="96"/>
    </row>
    <row r="69" spans="1:34" ht="12.75" hidden="1" customHeight="1" x14ac:dyDescent="0.2">
      <c r="A69" s="119"/>
      <c r="B69" s="120" t="s">
        <v>73</v>
      </c>
      <c r="C69" s="121">
        <v>50000</v>
      </c>
      <c r="D69" s="121">
        <v>50000</v>
      </c>
      <c r="E69" s="121">
        <v>50000</v>
      </c>
      <c r="F69" s="121">
        <v>12450</v>
      </c>
      <c r="G69" s="122">
        <v>25000</v>
      </c>
      <c r="H69" s="96"/>
    </row>
    <row r="70" spans="1:34" s="107" customFormat="1" ht="34.5" hidden="1" customHeight="1" x14ac:dyDescent="0.2">
      <c r="A70" s="123">
        <v>1346</v>
      </c>
      <c r="B70" s="124" t="s">
        <v>74</v>
      </c>
      <c r="C70" s="114">
        <f>SUM(C71:C72)</f>
        <v>90000</v>
      </c>
      <c r="D70" s="114">
        <f>SUM(D71:D72)</f>
        <v>122296</v>
      </c>
      <c r="E70" s="114">
        <f>SUM(E71:E72)</f>
        <v>156000</v>
      </c>
      <c r="F70" s="114">
        <f>SUM(F71:F72)</f>
        <v>132518</v>
      </c>
      <c r="G70" s="111">
        <f>SUM(G71:G72)</f>
        <v>95000</v>
      </c>
      <c r="H70" s="118"/>
    </row>
    <row r="71" spans="1:34" s="129" customFormat="1" hidden="1" x14ac:dyDescent="0.2">
      <c r="A71" s="125"/>
      <c r="B71" s="126" t="s">
        <v>75</v>
      </c>
      <c r="C71" s="127">
        <v>0</v>
      </c>
      <c r="D71" s="127">
        <v>7580</v>
      </c>
      <c r="E71" s="128">
        <v>16000</v>
      </c>
      <c r="F71" s="128">
        <v>12120</v>
      </c>
      <c r="G71" s="122">
        <v>5000</v>
      </c>
      <c r="H71" s="118"/>
    </row>
    <row r="72" spans="1:34" s="136" customFormat="1" hidden="1" x14ac:dyDescent="0.2">
      <c r="A72" s="130"/>
      <c r="B72" s="131" t="s">
        <v>76</v>
      </c>
      <c r="C72" s="132">
        <v>90000</v>
      </c>
      <c r="D72" s="132">
        <v>114716</v>
      </c>
      <c r="E72" s="133">
        <v>140000</v>
      </c>
      <c r="F72" s="133">
        <v>120398</v>
      </c>
      <c r="G72" s="134">
        <v>90000</v>
      </c>
      <c r="H72" s="135"/>
    </row>
    <row r="73" spans="1:34" s="107" customFormat="1" ht="12.75" hidden="1" customHeight="1" x14ac:dyDescent="0.2">
      <c r="A73" s="123">
        <v>1353</v>
      </c>
      <c r="B73" s="137" t="s">
        <v>77</v>
      </c>
      <c r="C73" s="138">
        <v>575000</v>
      </c>
      <c r="D73" s="138">
        <v>575000</v>
      </c>
      <c r="E73" s="115">
        <v>500000</v>
      </c>
      <c r="F73" s="115">
        <v>297300</v>
      </c>
      <c r="G73" s="111">
        <v>600000</v>
      </c>
      <c r="H73" s="96"/>
    </row>
    <row r="74" spans="1:34" s="116" customFormat="1" ht="12.75" hidden="1" customHeight="1" x14ac:dyDescent="0.2">
      <c r="A74" s="112">
        <v>1356</v>
      </c>
      <c r="B74" s="113" t="s">
        <v>78</v>
      </c>
      <c r="C74" s="115">
        <v>250000</v>
      </c>
      <c r="D74" s="115">
        <v>250000</v>
      </c>
      <c r="E74" s="115">
        <v>250000</v>
      </c>
      <c r="F74" s="115">
        <v>242547.84</v>
      </c>
      <c r="G74" s="115">
        <v>250000</v>
      </c>
      <c r="H74" s="118"/>
    </row>
    <row r="75" spans="1:34" s="116" customFormat="1" ht="12.75" hidden="1" customHeight="1" x14ac:dyDescent="0.2">
      <c r="A75" s="112">
        <v>1359</v>
      </c>
      <c r="B75" s="113" t="s">
        <v>79</v>
      </c>
      <c r="C75" s="115">
        <v>0</v>
      </c>
      <c r="D75" s="115">
        <v>0</v>
      </c>
      <c r="E75" s="115">
        <v>0</v>
      </c>
      <c r="F75" s="115">
        <v>45000</v>
      </c>
      <c r="G75" s="111">
        <v>0</v>
      </c>
      <c r="H75" s="118"/>
    </row>
    <row r="76" spans="1:34" s="116" customFormat="1" ht="12.75" hidden="1" customHeight="1" x14ac:dyDescent="0.2">
      <c r="A76" s="112">
        <v>1361</v>
      </c>
      <c r="B76" s="113" t="s">
        <v>80</v>
      </c>
      <c r="C76" s="114">
        <f>SUM(C77:C82)</f>
        <v>8666000</v>
      </c>
      <c r="D76" s="114">
        <f>SUM(D77:D82)</f>
        <v>7466000</v>
      </c>
      <c r="E76" s="114">
        <f>SUM(E77:E82)</f>
        <v>7515000</v>
      </c>
      <c r="F76" s="114">
        <f>SUM(F77:F82)</f>
        <v>6006885</v>
      </c>
      <c r="G76" s="114">
        <f>SUM(G77:G82)</f>
        <v>8086000</v>
      </c>
      <c r="H76" s="96"/>
    </row>
    <row r="77" spans="1:34" s="12" customFormat="1" ht="12.75" hidden="1" customHeight="1" x14ac:dyDescent="0.2">
      <c r="A77" s="139"/>
      <c r="B77" s="140" t="s">
        <v>81</v>
      </c>
      <c r="C77" s="127">
        <v>5000000</v>
      </c>
      <c r="D77" s="127">
        <v>5000000</v>
      </c>
      <c r="E77" s="121">
        <v>5000000</v>
      </c>
      <c r="F77" s="121">
        <v>4004540</v>
      </c>
      <c r="G77" s="122">
        <v>5500000</v>
      </c>
      <c r="H77" s="96"/>
    </row>
    <row r="78" spans="1:34" ht="39" hidden="1" customHeight="1" x14ac:dyDescent="0.2">
      <c r="A78" s="119"/>
      <c r="B78" s="141" t="s">
        <v>82</v>
      </c>
      <c r="C78" s="121">
        <f>(378+2+30+10)*1000</f>
        <v>420000</v>
      </c>
      <c r="D78" s="121">
        <v>300000</v>
      </c>
      <c r="E78" s="121">
        <v>391000</v>
      </c>
      <c r="F78" s="121">
        <v>276560</v>
      </c>
      <c r="G78" s="122">
        <v>400000</v>
      </c>
      <c r="H78" s="118"/>
    </row>
    <row r="79" spans="1:34" ht="12.75" hidden="1" customHeight="1" x14ac:dyDescent="0.2">
      <c r="A79" s="119"/>
      <c r="B79" s="120" t="s">
        <v>83</v>
      </c>
      <c r="C79" s="121">
        <v>1300000</v>
      </c>
      <c r="D79" s="121">
        <v>1000000</v>
      </c>
      <c r="E79" s="121">
        <v>1000000</v>
      </c>
      <c r="F79" s="121">
        <v>752450</v>
      </c>
      <c r="G79" s="122">
        <v>1000000</v>
      </c>
      <c r="H79" s="96"/>
    </row>
    <row r="80" spans="1:34" s="146" customFormat="1" ht="12.75" hidden="1" customHeight="1" x14ac:dyDescent="0.2">
      <c r="A80" s="142"/>
      <c r="B80" s="143" t="s">
        <v>84</v>
      </c>
      <c r="C80" s="132">
        <v>1780000</v>
      </c>
      <c r="D80" s="132">
        <v>1000000</v>
      </c>
      <c r="E80" s="132">
        <v>950000</v>
      </c>
      <c r="F80" s="132">
        <v>803265</v>
      </c>
      <c r="G80" s="134">
        <v>1000000</v>
      </c>
      <c r="H80" s="144"/>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row>
    <row r="81" spans="1:8" ht="12.75" hidden="1" customHeight="1" x14ac:dyDescent="0.2">
      <c r="A81" s="119"/>
      <c r="B81" s="120" t="s">
        <v>85</v>
      </c>
      <c r="C81" s="121">
        <v>162000</v>
      </c>
      <c r="D81" s="121">
        <v>162000</v>
      </c>
      <c r="E81" s="121">
        <v>170000</v>
      </c>
      <c r="F81" s="121">
        <v>167170</v>
      </c>
      <c r="G81" s="121">
        <v>182000</v>
      </c>
      <c r="H81" s="96"/>
    </row>
    <row r="82" spans="1:8" ht="12.75" hidden="1" customHeight="1" x14ac:dyDescent="0.2">
      <c r="A82" s="119"/>
      <c r="B82" s="120" t="s">
        <v>86</v>
      </c>
      <c r="C82" s="121">
        <v>4000</v>
      </c>
      <c r="D82" s="121">
        <f>1200+2800</f>
        <v>4000</v>
      </c>
      <c r="E82" s="121">
        <v>4000</v>
      </c>
      <c r="F82" s="121">
        <f>100+2800</f>
        <v>2900</v>
      </c>
      <c r="G82" s="122">
        <v>4000</v>
      </c>
      <c r="H82" s="96"/>
    </row>
    <row r="83" spans="1:8" ht="12.75" hidden="1" customHeight="1" x14ac:dyDescent="0.2">
      <c r="A83" s="147">
        <v>1381</v>
      </c>
      <c r="B83" s="148" t="s">
        <v>87</v>
      </c>
      <c r="C83" s="115">
        <v>1500000</v>
      </c>
      <c r="D83" s="115">
        <v>1500000</v>
      </c>
      <c r="E83" s="115">
        <v>1700000</v>
      </c>
      <c r="F83" s="115">
        <v>1597761.76</v>
      </c>
      <c r="G83" s="111">
        <v>1700000</v>
      </c>
      <c r="H83" s="96"/>
    </row>
    <row r="84" spans="1:8" ht="12.75" hidden="1" customHeight="1" x14ac:dyDescent="0.2">
      <c r="A84" s="147">
        <v>1385</v>
      </c>
      <c r="B84" s="148" t="s">
        <v>88</v>
      </c>
      <c r="C84" s="115">
        <v>12000000</v>
      </c>
      <c r="D84" s="115">
        <v>8000000</v>
      </c>
      <c r="E84" s="115">
        <v>8000000</v>
      </c>
      <c r="F84" s="115">
        <v>6888358.1799999997</v>
      </c>
      <c r="G84" s="111">
        <v>10000000</v>
      </c>
      <c r="H84" s="96"/>
    </row>
    <row r="85" spans="1:8" s="116" customFormat="1" ht="12.75" hidden="1" customHeight="1" x14ac:dyDescent="0.2">
      <c r="A85" s="112">
        <v>1511</v>
      </c>
      <c r="B85" s="113" t="s">
        <v>89</v>
      </c>
      <c r="C85" s="115">
        <f>11000000+1000000</f>
        <v>12000000</v>
      </c>
      <c r="D85" s="115">
        <f>11000000+1000000</f>
        <v>12000000</v>
      </c>
      <c r="E85" s="115">
        <f>11000000+1000000</f>
        <v>12000000</v>
      </c>
      <c r="F85" s="115">
        <v>8478581.9299999997</v>
      </c>
      <c r="G85" s="115">
        <v>12500000</v>
      </c>
      <c r="H85" s="96"/>
    </row>
    <row r="86" spans="1:8" s="116" customFormat="1" ht="12.75" hidden="1" customHeight="1" x14ac:dyDescent="0.2">
      <c r="A86" s="149"/>
      <c r="B86" s="150"/>
      <c r="C86" s="151"/>
      <c r="D86" s="151"/>
      <c r="E86" s="152"/>
      <c r="F86" s="153"/>
      <c r="G86" s="154"/>
      <c r="H86" s="96"/>
    </row>
    <row r="87" spans="1:8" s="116" customFormat="1" ht="18.75" hidden="1" customHeight="1" x14ac:dyDescent="0.25">
      <c r="A87" s="155"/>
      <c r="B87" s="156" t="s">
        <v>10</v>
      </c>
      <c r="C87" s="157">
        <f>SUM(C88,C101:C104,C116:C117,C128:C129,C142:C145,C162:C163,C175)</f>
        <v>127930181</v>
      </c>
      <c r="D87" s="157">
        <f>SUM(D88,D101:D104,D116:D117,D128:D129,D142:D145,D162:D163,D175)</f>
        <v>68787440.480000004</v>
      </c>
      <c r="E87" s="157">
        <f>SUM(E88,E101:E104,E116:E117,E128:E129,E142:E145,E162:E163,E175)</f>
        <v>121409960.75000001</v>
      </c>
      <c r="F87" s="157">
        <f>SUM(F88,F101:F104,F116:F117,F128:F129,F142:F145,F162:F163,F175)</f>
        <v>86272625.189999998</v>
      </c>
      <c r="G87" s="157">
        <f>SUM(G88,G101:G104,G116:G117,G128:G129,G142:G145,G162:G163,G175)</f>
        <v>127897541.26000001</v>
      </c>
      <c r="H87" s="96"/>
    </row>
    <row r="88" spans="1:8" s="116" customFormat="1" ht="12.75" hidden="1" customHeight="1" x14ac:dyDescent="0.2">
      <c r="A88" s="158">
        <v>2111</v>
      </c>
      <c r="B88" s="159" t="s">
        <v>90</v>
      </c>
      <c r="C88" s="160">
        <f>SUM(C89:C100)</f>
        <v>13114500</v>
      </c>
      <c r="D88" s="160">
        <f>SUM(D89:D100)</f>
        <v>13361889.02</v>
      </c>
      <c r="E88" s="160">
        <f>SUM(E89:E100)</f>
        <v>12789499.02</v>
      </c>
      <c r="F88" s="160">
        <f>SUM(F89:F100)</f>
        <v>9157928.2999999989</v>
      </c>
      <c r="G88" s="160">
        <f>SUM(G89:G100)</f>
        <v>13681500</v>
      </c>
      <c r="H88" s="96"/>
    </row>
    <row r="89" spans="1:8" ht="12.75" hidden="1" customHeight="1" x14ac:dyDescent="0.2">
      <c r="A89" s="161"/>
      <c r="B89" s="143" t="s">
        <v>91</v>
      </c>
      <c r="C89" s="132">
        <v>0</v>
      </c>
      <c r="D89" s="132">
        <v>0</v>
      </c>
      <c r="E89" s="121">
        <v>510</v>
      </c>
      <c r="F89" s="121">
        <v>510</v>
      </c>
      <c r="G89" s="122">
        <v>0</v>
      </c>
      <c r="H89" s="96"/>
    </row>
    <row r="90" spans="1:8" ht="12.75" hidden="1" customHeight="1" x14ac:dyDescent="0.2">
      <c r="A90" s="161"/>
      <c r="B90" s="143" t="s">
        <v>92</v>
      </c>
      <c r="C90" s="132">
        <v>1000000</v>
      </c>
      <c r="D90" s="127">
        <v>1000000</v>
      </c>
      <c r="E90" s="127">
        <v>1000000</v>
      </c>
      <c r="F90" s="127">
        <v>241188</v>
      </c>
      <c r="G90" s="162">
        <v>1000000</v>
      </c>
      <c r="H90" s="96"/>
    </row>
    <row r="91" spans="1:8" s="145" customFormat="1" ht="12.75" hidden="1" customHeight="1" x14ac:dyDescent="0.2">
      <c r="A91" s="142"/>
      <c r="B91" s="143" t="s">
        <v>93</v>
      </c>
      <c r="C91" s="132">
        <v>720000</v>
      </c>
      <c r="D91" s="132">
        <v>440588</v>
      </c>
      <c r="E91" s="132">
        <v>440588</v>
      </c>
      <c r="F91" s="132">
        <v>367675.18</v>
      </c>
      <c r="G91" s="134">
        <v>720000</v>
      </c>
      <c r="H91" s="144"/>
    </row>
    <row r="92" spans="1:8" ht="12.75" hidden="1" customHeight="1" x14ac:dyDescent="0.2">
      <c r="A92" s="142"/>
      <c r="B92" s="143" t="s">
        <v>94</v>
      </c>
      <c r="C92" s="132">
        <v>10000</v>
      </c>
      <c r="D92" s="132">
        <v>8000</v>
      </c>
      <c r="E92" s="121">
        <v>7000</v>
      </c>
      <c r="F92" s="121">
        <v>6360</v>
      </c>
      <c r="G92" s="122">
        <v>0</v>
      </c>
      <c r="H92" s="96"/>
    </row>
    <row r="93" spans="1:8" ht="12.75" hidden="1" customHeight="1" x14ac:dyDescent="0.2">
      <c r="A93" s="142"/>
      <c r="B93" s="143" t="s">
        <v>95</v>
      </c>
      <c r="C93" s="132">
        <v>5000000</v>
      </c>
      <c r="D93" s="132">
        <v>3950000</v>
      </c>
      <c r="E93" s="132">
        <v>3950000</v>
      </c>
      <c r="F93" s="132">
        <v>2939196.16</v>
      </c>
      <c r="G93" s="122">
        <v>5200000</v>
      </c>
      <c r="H93" s="96"/>
    </row>
    <row r="94" spans="1:8" ht="12.75" hidden="1" customHeight="1" x14ac:dyDescent="0.2">
      <c r="A94" s="142"/>
      <c r="B94" s="143" t="s">
        <v>96</v>
      </c>
      <c r="C94" s="132">
        <v>1248000</v>
      </c>
      <c r="D94" s="132">
        <v>1248000</v>
      </c>
      <c r="E94" s="127">
        <v>800000</v>
      </c>
      <c r="F94" s="121">
        <v>670841.93999999994</v>
      </c>
      <c r="G94" s="122">
        <v>1600000</v>
      </c>
      <c r="H94" s="96"/>
    </row>
    <row r="95" spans="1:8" ht="12.75" hidden="1" customHeight="1" x14ac:dyDescent="0.2">
      <c r="A95" s="142"/>
      <c r="B95" s="143" t="s">
        <v>97</v>
      </c>
      <c r="C95" s="132">
        <v>2685000</v>
      </c>
      <c r="D95" s="132">
        <v>2685000</v>
      </c>
      <c r="E95" s="132">
        <v>2685000</v>
      </c>
      <c r="F95" s="121">
        <v>1781568</v>
      </c>
      <c r="G95" s="122">
        <v>2610000</v>
      </c>
      <c r="H95" s="96"/>
    </row>
    <row r="96" spans="1:8" ht="12.75" hidden="1" customHeight="1" x14ac:dyDescent="0.2">
      <c r="A96" s="142"/>
      <c r="B96" s="143" t="s">
        <v>98</v>
      </c>
      <c r="C96" s="132">
        <v>0</v>
      </c>
      <c r="D96" s="132">
        <v>1578801.02</v>
      </c>
      <c r="E96" s="132">
        <v>1578801.02</v>
      </c>
      <c r="F96" s="132">
        <v>1578801.02</v>
      </c>
      <c r="G96" s="163">
        <v>0</v>
      </c>
      <c r="H96" s="96"/>
    </row>
    <row r="97" spans="1:8" ht="12.75" hidden="1" customHeight="1" x14ac:dyDescent="0.2">
      <c r="A97" s="142"/>
      <c r="B97" s="143" t="s">
        <v>99</v>
      </c>
      <c r="C97" s="132">
        <v>0</v>
      </c>
      <c r="D97" s="132">
        <v>0</v>
      </c>
      <c r="E97" s="121">
        <v>2100</v>
      </c>
      <c r="F97" s="121">
        <v>2100</v>
      </c>
      <c r="G97" s="122">
        <v>0</v>
      </c>
      <c r="H97" s="96"/>
    </row>
    <row r="98" spans="1:8" ht="12.75" hidden="1" customHeight="1" x14ac:dyDescent="0.2">
      <c r="A98" s="142"/>
      <c r="B98" s="143" t="s">
        <v>100</v>
      </c>
      <c r="C98" s="132">
        <v>2400000</v>
      </c>
      <c r="D98" s="132">
        <v>2400000</v>
      </c>
      <c r="E98" s="127">
        <v>2300000</v>
      </c>
      <c r="F98" s="127">
        <v>1569489</v>
      </c>
      <c r="G98" s="122">
        <v>2500000</v>
      </c>
      <c r="H98" s="96"/>
    </row>
    <row r="99" spans="1:8" ht="12.75" hidden="1" customHeight="1" x14ac:dyDescent="0.2">
      <c r="A99" s="142"/>
      <c r="B99" s="143" t="s">
        <v>101</v>
      </c>
      <c r="C99" s="132">
        <v>51000</v>
      </c>
      <c r="D99" s="132">
        <v>51000</v>
      </c>
      <c r="E99" s="164">
        <v>25000</v>
      </c>
      <c r="F99" s="164">
        <v>0</v>
      </c>
      <c r="G99" s="122">
        <v>51000</v>
      </c>
      <c r="H99" s="96"/>
    </row>
    <row r="100" spans="1:8" ht="12.75" hidden="1" customHeight="1" x14ac:dyDescent="0.2">
      <c r="A100" s="142"/>
      <c r="B100" s="143" t="s">
        <v>102</v>
      </c>
      <c r="C100" s="132">
        <v>500</v>
      </c>
      <c r="D100" s="132">
        <v>500</v>
      </c>
      <c r="E100" s="121">
        <v>500</v>
      </c>
      <c r="F100" s="121">
        <v>199</v>
      </c>
      <c r="G100" s="122">
        <v>500</v>
      </c>
      <c r="H100" s="96"/>
    </row>
    <row r="101" spans="1:8" s="116" customFormat="1" ht="12.75" hidden="1" customHeight="1" x14ac:dyDescent="0.2">
      <c r="A101" s="161">
        <v>2119</v>
      </c>
      <c r="B101" s="165" t="s">
        <v>103</v>
      </c>
      <c r="C101" s="166">
        <v>1000000</v>
      </c>
      <c r="D101" s="166">
        <v>1000000</v>
      </c>
      <c r="E101" s="115">
        <v>500000</v>
      </c>
      <c r="F101" s="115">
        <v>318632.28000000003</v>
      </c>
      <c r="G101" s="111">
        <v>1700000</v>
      </c>
      <c r="H101" s="96"/>
    </row>
    <row r="102" spans="1:8" s="116" customFormat="1" ht="12.75" hidden="1" customHeight="1" x14ac:dyDescent="0.2">
      <c r="A102" s="161">
        <v>2122</v>
      </c>
      <c r="B102" s="165" t="s">
        <v>104</v>
      </c>
      <c r="C102" s="166">
        <v>2697894</v>
      </c>
      <c r="D102" s="166">
        <v>2697894</v>
      </c>
      <c r="E102" s="166">
        <v>2697894</v>
      </c>
      <c r="F102" s="115">
        <v>668259.12</v>
      </c>
      <c r="G102" s="111">
        <v>2798840.36</v>
      </c>
      <c r="H102" s="96"/>
    </row>
    <row r="103" spans="1:8" s="116" customFormat="1" ht="27" hidden="1" customHeight="1" x14ac:dyDescent="0.2">
      <c r="A103" s="161">
        <v>2131</v>
      </c>
      <c r="B103" s="167" t="s">
        <v>105</v>
      </c>
      <c r="C103" s="166">
        <v>2000000</v>
      </c>
      <c r="D103" s="166">
        <v>2000000</v>
      </c>
      <c r="E103" s="115">
        <v>1200000</v>
      </c>
      <c r="F103" s="121">
        <v>798850.94</v>
      </c>
      <c r="G103" s="111">
        <v>1650000</v>
      </c>
      <c r="H103" s="96"/>
    </row>
    <row r="104" spans="1:8" s="116" customFormat="1" ht="12.75" hidden="1" customHeight="1" x14ac:dyDescent="0.2">
      <c r="A104" s="161">
        <v>2132</v>
      </c>
      <c r="B104" s="165" t="s">
        <v>106</v>
      </c>
      <c r="C104" s="166">
        <f>SUM(C105:C115)</f>
        <v>88887787</v>
      </c>
      <c r="D104" s="166">
        <f>SUM(D105:D115)</f>
        <v>33418124</v>
      </c>
      <c r="E104" s="166">
        <f>SUM(E105:E115)</f>
        <v>88081881</v>
      </c>
      <c r="F104" s="166">
        <f>SUM(F105:F115)</f>
        <v>64267915.219999999</v>
      </c>
      <c r="G104" s="166">
        <f>SUM(G105:G115)</f>
        <v>92969200.900000006</v>
      </c>
      <c r="H104" s="96"/>
    </row>
    <row r="105" spans="1:8" ht="12.75" hidden="1" customHeight="1" x14ac:dyDescent="0.2">
      <c r="A105" s="142"/>
      <c r="B105" s="143" t="s">
        <v>107</v>
      </c>
      <c r="C105" s="132">
        <v>689530</v>
      </c>
      <c r="D105" s="132">
        <v>713477</v>
      </c>
      <c r="E105" s="121">
        <v>750000</v>
      </c>
      <c r="F105" s="121">
        <v>738822.71</v>
      </c>
      <c r="G105" s="122">
        <v>750000</v>
      </c>
      <c r="H105" s="96"/>
    </row>
    <row r="106" spans="1:8" ht="12.75" hidden="1" customHeight="1" x14ac:dyDescent="0.2">
      <c r="A106" s="142"/>
      <c r="B106" s="143" t="s">
        <v>108</v>
      </c>
      <c r="C106" s="132">
        <v>200</v>
      </c>
      <c r="D106" s="132">
        <v>200</v>
      </c>
      <c r="E106" s="121">
        <v>301</v>
      </c>
      <c r="F106" s="121">
        <v>301</v>
      </c>
      <c r="G106" s="122">
        <v>0</v>
      </c>
      <c r="H106" s="96"/>
    </row>
    <row r="107" spans="1:8" ht="12.75" hidden="1" customHeight="1" x14ac:dyDescent="0.2">
      <c r="A107" s="142"/>
      <c r="B107" s="143" t="s">
        <v>109</v>
      </c>
      <c r="C107" s="132">
        <v>600000</v>
      </c>
      <c r="D107" s="132">
        <v>600000</v>
      </c>
      <c r="E107" s="121">
        <v>800000</v>
      </c>
      <c r="F107" s="121">
        <v>624638.59</v>
      </c>
      <c r="G107" s="122">
        <v>600000</v>
      </c>
      <c r="H107" s="96"/>
    </row>
    <row r="108" spans="1:8" ht="12.75" hidden="1" customHeight="1" x14ac:dyDescent="0.2">
      <c r="A108" s="142"/>
      <c r="B108" s="143" t="s">
        <v>110</v>
      </c>
      <c r="C108" s="132">
        <v>270000</v>
      </c>
      <c r="D108" s="132">
        <v>275040</v>
      </c>
      <c r="E108" s="121">
        <v>275040</v>
      </c>
      <c r="F108" s="121">
        <v>254790</v>
      </c>
      <c r="G108" s="122">
        <v>276000</v>
      </c>
      <c r="H108" s="96"/>
    </row>
    <row r="109" spans="1:8" ht="25.5" hidden="1" customHeight="1" x14ac:dyDescent="0.2">
      <c r="A109" s="142"/>
      <c r="B109" s="168" t="s">
        <v>111</v>
      </c>
      <c r="C109" s="132">
        <v>50941650</v>
      </c>
      <c r="D109" s="127"/>
      <c r="E109" s="127">
        <v>50000000</v>
      </c>
      <c r="F109" s="121">
        <v>33165192.109999999</v>
      </c>
      <c r="G109" s="122">
        <v>52865000</v>
      </c>
      <c r="H109" s="96"/>
    </row>
    <row r="110" spans="1:8" ht="12.75" hidden="1" customHeight="1" x14ac:dyDescent="0.2">
      <c r="A110" s="142"/>
      <c r="B110" s="143" t="s">
        <v>112</v>
      </c>
      <c r="C110" s="132">
        <v>7405</v>
      </c>
      <c r="D110" s="132">
        <v>7405</v>
      </c>
      <c r="E110" s="121">
        <v>14000</v>
      </c>
      <c r="F110" s="121">
        <v>10430</v>
      </c>
      <c r="G110" s="122">
        <f>83405+3+1194792.9</f>
        <v>1278200.8999999999</v>
      </c>
      <c r="H110" s="96"/>
    </row>
    <row r="111" spans="1:8" ht="12.75" hidden="1" customHeight="1" x14ac:dyDescent="0.2">
      <c r="A111" s="142"/>
      <c r="B111" s="143" t="s">
        <v>113</v>
      </c>
      <c r="C111" s="132">
        <v>325002</v>
      </c>
      <c r="D111" s="132">
        <v>325002</v>
      </c>
      <c r="E111" s="121">
        <v>325002</v>
      </c>
      <c r="F111" s="121">
        <v>238617.99</v>
      </c>
      <c r="G111" s="122">
        <v>420000</v>
      </c>
      <c r="H111" s="96"/>
    </row>
    <row r="112" spans="1:8" ht="36.75" hidden="1" customHeight="1" x14ac:dyDescent="0.2">
      <c r="A112" s="142"/>
      <c r="B112" s="131" t="s">
        <v>114</v>
      </c>
      <c r="C112" s="132">
        <f>13000000+3000000+240000+12000+726000+150000</f>
        <v>17128000</v>
      </c>
      <c r="D112" s="132">
        <f>(13000000-1400000)+726000+12000+240000</f>
        <v>12578000</v>
      </c>
      <c r="E112" s="132">
        <v>17000000</v>
      </c>
      <c r="F112" s="121">
        <v>10326987.32</v>
      </c>
      <c r="G112" s="122">
        <f>13500000+3000000+240000+20000+746000+216000+134000</f>
        <v>17856000</v>
      </c>
      <c r="H112" s="96"/>
    </row>
    <row r="113" spans="1:47" ht="12.75" hidden="1" customHeight="1" x14ac:dyDescent="0.2">
      <c r="A113" s="142"/>
      <c r="B113" s="143" t="s">
        <v>115</v>
      </c>
      <c r="C113" s="132">
        <v>18881000</v>
      </c>
      <c r="D113" s="132">
        <v>18881000</v>
      </c>
      <c r="E113" s="121">
        <v>18881538</v>
      </c>
      <c r="F113" s="121">
        <v>18881538</v>
      </c>
      <c r="G113" s="122">
        <v>18881000</v>
      </c>
      <c r="H113" s="96"/>
    </row>
    <row r="114" spans="1:47" ht="12.75" hidden="1" customHeight="1" x14ac:dyDescent="0.2">
      <c r="A114" s="142"/>
      <c r="B114" s="143" t="s">
        <v>116</v>
      </c>
      <c r="C114" s="132">
        <v>18000</v>
      </c>
      <c r="D114" s="132">
        <v>18000</v>
      </c>
      <c r="E114" s="132">
        <v>18000</v>
      </c>
      <c r="F114" s="121">
        <f>9300+3056.5</f>
        <v>12356.5</v>
      </c>
      <c r="G114" s="122">
        <v>18000</v>
      </c>
      <c r="H114" s="169"/>
    </row>
    <row r="115" spans="1:47" ht="12.75" hidden="1" customHeight="1" x14ac:dyDescent="0.2">
      <c r="A115" s="142"/>
      <c r="B115" s="143" t="s">
        <v>117</v>
      </c>
      <c r="C115" s="132">
        <v>27000</v>
      </c>
      <c r="D115" s="132">
        <v>20000</v>
      </c>
      <c r="E115" s="121">
        <v>18000</v>
      </c>
      <c r="F115" s="121">
        <v>14241</v>
      </c>
      <c r="G115" s="122">
        <v>25000</v>
      </c>
      <c r="H115" s="96"/>
    </row>
    <row r="116" spans="1:47" s="116" customFormat="1" ht="12.75" hidden="1" customHeight="1" x14ac:dyDescent="0.2">
      <c r="A116" s="161">
        <v>2141</v>
      </c>
      <c r="B116" s="165" t="s">
        <v>118</v>
      </c>
      <c r="C116" s="166">
        <v>750000</v>
      </c>
      <c r="D116" s="166">
        <v>1000000</v>
      </c>
      <c r="E116" s="115">
        <v>1050000</v>
      </c>
      <c r="F116" s="115">
        <v>983498.08</v>
      </c>
      <c r="G116" s="111">
        <v>300000</v>
      </c>
      <c r="H116" s="96"/>
    </row>
    <row r="117" spans="1:47" s="116" customFormat="1" ht="12.75" hidden="1" customHeight="1" x14ac:dyDescent="0.2">
      <c r="A117" s="161">
        <v>2212</v>
      </c>
      <c r="B117" s="165" t="s">
        <v>119</v>
      </c>
      <c r="C117" s="166">
        <f>SUM(C118:C127)</f>
        <v>15260000</v>
      </c>
      <c r="D117" s="166">
        <f>SUM(D118:D127)</f>
        <v>10130000</v>
      </c>
      <c r="E117" s="166">
        <f>SUM(E118:E127)</f>
        <v>10025670.600000001</v>
      </c>
      <c r="F117" s="166">
        <f>SUM(F118:F127)</f>
        <v>5942047.5999999996</v>
      </c>
      <c r="G117" s="166">
        <f>SUM(G118:G127)</f>
        <v>11127000</v>
      </c>
      <c r="H117" s="96"/>
    </row>
    <row r="118" spans="1:47" ht="12.75" hidden="1" customHeight="1" x14ac:dyDescent="0.2">
      <c r="A118" s="142"/>
      <c r="B118" s="143" t="s">
        <v>120</v>
      </c>
      <c r="C118" s="132">
        <v>10000</v>
      </c>
      <c r="D118" s="132">
        <v>10000</v>
      </c>
      <c r="E118" s="121">
        <v>13000</v>
      </c>
      <c r="F118" s="121">
        <v>11100</v>
      </c>
      <c r="G118" s="122">
        <v>12000</v>
      </c>
      <c r="H118" s="96"/>
    </row>
    <row r="119" spans="1:47" ht="12.75" hidden="1" customHeight="1" x14ac:dyDescent="0.2">
      <c r="A119" s="142"/>
      <c r="B119" s="143" t="s">
        <v>121</v>
      </c>
      <c r="C119" s="132">
        <v>50000</v>
      </c>
      <c r="D119" s="132">
        <v>50000</v>
      </c>
      <c r="E119" s="121">
        <v>50000</v>
      </c>
      <c r="F119" s="121">
        <v>75300</v>
      </c>
      <c r="G119" s="122">
        <v>50000</v>
      </c>
      <c r="H119" s="96"/>
    </row>
    <row r="120" spans="1:47" ht="12.75" hidden="1" customHeight="1" x14ac:dyDescent="0.2">
      <c r="A120" s="142"/>
      <c r="B120" s="143" t="s">
        <v>122</v>
      </c>
      <c r="C120" s="132">
        <v>2600000</v>
      </c>
      <c r="D120" s="132">
        <v>2600000</v>
      </c>
      <c r="E120" s="121">
        <v>1800000</v>
      </c>
      <c r="F120" s="121">
        <v>1189645</v>
      </c>
      <c r="G120" s="122">
        <v>2000000</v>
      </c>
      <c r="H120" s="96"/>
    </row>
    <row r="121" spans="1:47" ht="12.75" hidden="1" customHeight="1" x14ac:dyDescent="0.2">
      <c r="A121" s="142"/>
      <c r="B121" s="143" t="s">
        <v>123</v>
      </c>
      <c r="C121" s="132">
        <v>11500000</v>
      </c>
      <c r="D121" s="132">
        <v>6500000</v>
      </c>
      <c r="E121" s="121">
        <v>7000000</v>
      </c>
      <c r="F121" s="121">
        <v>3920133</v>
      </c>
      <c r="G121" s="122">
        <v>8000000</v>
      </c>
      <c r="H121" s="96"/>
    </row>
    <row r="122" spans="1:47" ht="12.75" hidden="1" customHeight="1" x14ac:dyDescent="0.2">
      <c r="A122" s="142"/>
      <c r="B122" s="143" t="s">
        <v>124</v>
      </c>
      <c r="C122" s="132">
        <v>0</v>
      </c>
      <c r="D122" s="132">
        <v>0</v>
      </c>
      <c r="E122" s="121">
        <v>183943.8</v>
      </c>
      <c r="F122" s="121">
        <v>183943.8</v>
      </c>
      <c r="G122" s="122">
        <v>0</v>
      </c>
      <c r="H122" s="96"/>
    </row>
    <row r="123" spans="1:47" ht="12.75" hidden="1" customHeight="1" x14ac:dyDescent="0.2">
      <c r="A123" s="142"/>
      <c r="B123" s="143" t="s">
        <v>125</v>
      </c>
      <c r="C123" s="132">
        <v>0</v>
      </c>
      <c r="D123" s="132">
        <v>0</v>
      </c>
      <c r="E123" s="121">
        <v>3726.8</v>
      </c>
      <c r="F123" s="121">
        <v>3726.8</v>
      </c>
      <c r="G123" s="122">
        <v>0</v>
      </c>
      <c r="H123" s="96"/>
    </row>
    <row r="124" spans="1:47" ht="12.75" hidden="1" customHeight="1" x14ac:dyDescent="0.2">
      <c r="A124" s="142"/>
      <c r="B124" s="143" t="s">
        <v>126</v>
      </c>
      <c r="C124" s="132">
        <v>0</v>
      </c>
      <c r="D124" s="127">
        <v>0</v>
      </c>
      <c r="E124" s="127">
        <v>10000</v>
      </c>
      <c r="F124" s="127">
        <v>0</v>
      </c>
      <c r="G124" s="162">
        <v>0</v>
      </c>
      <c r="H124" s="96"/>
    </row>
    <row r="125" spans="1:47" ht="12.75" hidden="1" customHeight="1" x14ac:dyDescent="0.2">
      <c r="A125" s="142"/>
      <c r="B125" s="143" t="s">
        <v>127</v>
      </c>
      <c r="C125" s="132">
        <v>650000</v>
      </c>
      <c r="D125" s="132">
        <v>550000</v>
      </c>
      <c r="E125" s="121">
        <v>550000</v>
      </c>
      <c r="F125" s="121">
        <v>274358</v>
      </c>
      <c r="G125" s="122">
        <v>650000</v>
      </c>
      <c r="H125" s="96"/>
    </row>
    <row r="126" spans="1:47" ht="12.75" hidden="1" customHeight="1" x14ac:dyDescent="0.2">
      <c r="A126" s="142"/>
      <c r="B126" s="143" t="s">
        <v>128</v>
      </c>
      <c r="C126" s="132">
        <v>350000</v>
      </c>
      <c r="D126" s="132">
        <v>350000</v>
      </c>
      <c r="E126" s="121">
        <v>350000</v>
      </c>
      <c r="F126" s="121">
        <v>231991</v>
      </c>
      <c r="G126" s="122">
        <v>350000</v>
      </c>
      <c r="H126" s="96"/>
    </row>
    <row r="127" spans="1:47" s="146" customFormat="1" ht="12.75" hidden="1" customHeight="1" x14ac:dyDescent="0.2">
      <c r="A127" s="139"/>
      <c r="B127" s="140" t="s">
        <v>129</v>
      </c>
      <c r="C127" s="170">
        <v>100000</v>
      </c>
      <c r="D127" s="170">
        <v>70000</v>
      </c>
      <c r="E127" s="127">
        <v>65000</v>
      </c>
      <c r="F127" s="127">
        <v>51850</v>
      </c>
      <c r="G127" s="162">
        <v>65000</v>
      </c>
      <c r="H127" s="9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row>
    <row r="128" spans="1:47" s="116" customFormat="1" ht="12.75" hidden="1" customHeight="1" x14ac:dyDescent="0.2">
      <c r="A128" s="161">
        <v>2222</v>
      </c>
      <c r="B128" s="165" t="s">
        <v>130</v>
      </c>
      <c r="C128" s="166">
        <v>0</v>
      </c>
      <c r="D128" s="166">
        <v>18066.169999999998</v>
      </c>
      <c r="E128" s="166">
        <v>18066.169999999998</v>
      </c>
      <c r="F128" s="166">
        <v>18066.169999999998</v>
      </c>
      <c r="G128" s="111">
        <v>0</v>
      </c>
      <c r="H128" s="96"/>
    </row>
    <row r="129" spans="1:14" s="12" customFormat="1" ht="12.75" hidden="1" customHeight="1" x14ac:dyDescent="0.2">
      <c r="A129" s="123">
        <v>2229</v>
      </c>
      <c r="B129" s="137" t="s">
        <v>131</v>
      </c>
      <c r="C129" s="171">
        <f>SUM(C130:C141)</f>
        <v>0</v>
      </c>
      <c r="D129" s="171">
        <f>SUM(D130:D141)</f>
        <v>664078.59000000008</v>
      </c>
      <c r="E129" s="171">
        <f>SUM(E130:E141)</f>
        <v>755988.00000000012</v>
      </c>
      <c r="F129" s="171">
        <f>SUM(F130:F141)</f>
        <v>755988.00000000012</v>
      </c>
      <c r="G129" s="171">
        <f>SUM(G130:G141)</f>
        <v>0</v>
      </c>
      <c r="H129" s="172"/>
      <c r="N129" s="173"/>
    </row>
    <row r="130" spans="1:14" s="12" customFormat="1" ht="12.75" hidden="1" customHeight="1" x14ac:dyDescent="0.2">
      <c r="A130" s="140"/>
      <c r="B130" s="140" t="s">
        <v>132</v>
      </c>
      <c r="C130" s="174">
        <v>0</v>
      </c>
      <c r="D130" s="174">
        <v>452562.59</v>
      </c>
      <c r="E130" s="174">
        <v>452562.59</v>
      </c>
      <c r="F130" s="174">
        <v>452562.59</v>
      </c>
      <c r="G130" s="122">
        <v>0</v>
      </c>
      <c r="H130" s="172"/>
      <c r="N130" s="173"/>
    </row>
    <row r="131" spans="1:14" s="12" customFormat="1" ht="12.75" hidden="1" customHeight="1" x14ac:dyDescent="0.2">
      <c r="A131" s="140"/>
      <c r="B131" s="140" t="s">
        <v>133</v>
      </c>
      <c r="C131" s="174">
        <v>0</v>
      </c>
      <c r="D131" s="174">
        <v>7004</v>
      </c>
      <c r="E131" s="174">
        <v>7004</v>
      </c>
      <c r="F131" s="175">
        <v>7004</v>
      </c>
      <c r="G131" s="122">
        <v>0</v>
      </c>
      <c r="H131" s="172"/>
      <c r="N131" s="173"/>
    </row>
    <row r="132" spans="1:14" ht="12.75" hidden="1" customHeight="1" x14ac:dyDescent="0.2">
      <c r="A132" s="120"/>
      <c r="B132" s="120" t="s">
        <v>134</v>
      </c>
      <c r="C132" s="176">
        <v>0</v>
      </c>
      <c r="D132" s="176">
        <v>204512</v>
      </c>
      <c r="E132" s="177">
        <v>296297</v>
      </c>
      <c r="F132" s="177">
        <v>296297</v>
      </c>
      <c r="G132" s="122">
        <v>0</v>
      </c>
      <c r="H132" s="178"/>
      <c r="N132" s="179"/>
    </row>
    <row r="133" spans="1:14" s="12" customFormat="1" ht="12.75" hidden="1" customHeight="1" x14ac:dyDescent="0.2">
      <c r="A133" s="140"/>
      <c r="B133" s="140" t="s">
        <v>135</v>
      </c>
      <c r="C133" s="174">
        <v>0</v>
      </c>
      <c r="D133" s="174"/>
      <c r="E133" s="174"/>
      <c r="F133" s="175"/>
      <c r="G133" s="122">
        <v>0</v>
      </c>
      <c r="H133" s="172"/>
      <c r="N133" s="173"/>
    </row>
    <row r="134" spans="1:14" s="12" customFormat="1" ht="12.75" hidden="1" customHeight="1" x14ac:dyDescent="0.2">
      <c r="A134" s="140"/>
      <c r="B134" s="140" t="s">
        <v>136</v>
      </c>
      <c r="C134" s="174">
        <v>0</v>
      </c>
      <c r="D134" s="174"/>
      <c r="E134" s="174"/>
      <c r="F134" s="175"/>
      <c r="G134" s="122">
        <v>0</v>
      </c>
      <c r="H134" s="172"/>
      <c r="N134" s="173"/>
    </row>
    <row r="135" spans="1:14" s="12" customFormat="1" ht="12.75" hidden="1" customHeight="1" x14ac:dyDescent="0.2">
      <c r="A135" s="140"/>
      <c r="B135" s="140" t="s">
        <v>137</v>
      </c>
      <c r="C135" s="174">
        <v>0</v>
      </c>
      <c r="D135" s="174"/>
      <c r="E135" s="174"/>
      <c r="F135" s="175"/>
      <c r="G135" s="122">
        <v>0</v>
      </c>
      <c r="H135" s="172"/>
      <c r="N135" s="173"/>
    </row>
    <row r="136" spans="1:14" s="12" customFormat="1" ht="12.75" hidden="1" customHeight="1" x14ac:dyDescent="0.2">
      <c r="A136" s="140"/>
      <c r="B136" s="140" t="s">
        <v>138</v>
      </c>
      <c r="C136" s="174">
        <v>0</v>
      </c>
      <c r="D136" s="174"/>
      <c r="E136" s="174"/>
      <c r="F136" s="175"/>
      <c r="G136" s="122">
        <v>0</v>
      </c>
      <c r="H136" s="172"/>
      <c r="N136" s="173"/>
    </row>
    <row r="137" spans="1:14" s="12" customFormat="1" ht="12.75" hidden="1" customHeight="1" x14ac:dyDescent="0.2">
      <c r="A137" s="140"/>
      <c r="B137" s="140" t="s">
        <v>139</v>
      </c>
      <c r="C137" s="174">
        <v>0</v>
      </c>
      <c r="D137" s="174"/>
      <c r="E137" s="174"/>
      <c r="F137" s="175"/>
      <c r="G137" s="122">
        <v>0</v>
      </c>
      <c r="H137" s="172"/>
      <c r="N137" s="173"/>
    </row>
    <row r="138" spans="1:14" ht="12.75" hidden="1" customHeight="1" x14ac:dyDescent="0.2">
      <c r="A138" s="120"/>
      <c r="B138" s="120" t="s">
        <v>140</v>
      </c>
      <c r="C138" s="176">
        <v>0</v>
      </c>
      <c r="D138" s="176"/>
      <c r="E138" s="176"/>
      <c r="F138" s="177"/>
      <c r="G138" s="122">
        <v>0</v>
      </c>
      <c r="H138" s="178"/>
      <c r="N138" s="179"/>
    </row>
    <row r="139" spans="1:14" ht="12.75" hidden="1" customHeight="1" x14ac:dyDescent="0.2">
      <c r="A139" s="120"/>
      <c r="B139" s="120" t="s">
        <v>141</v>
      </c>
      <c r="C139" s="176">
        <v>0</v>
      </c>
      <c r="D139" s="176"/>
      <c r="E139" s="176"/>
      <c r="F139" s="177"/>
      <c r="G139" s="122">
        <v>0</v>
      </c>
      <c r="H139" s="178"/>
      <c r="N139" s="179"/>
    </row>
    <row r="140" spans="1:14" ht="12.75" hidden="1" customHeight="1" x14ac:dyDescent="0.2">
      <c r="A140" s="120"/>
      <c r="B140" s="120" t="s">
        <v>142</v>
      </c>
      <c r="C140" s="176">
        <v>0</v>
      </c>
      <c r="D140" s="176"/>
      <c r="E140" s="176"/>
      <c r="F140" s="177"/>
      <c r="G140" s="122">
        <v>0</v>
      </c>
      <c r="H140" s="178"/>
      <c r="N140" s="179"/>
    </row>
    <row r="141" spans="1:14" ht="12.75" hidden="1" customHeight="1" x14ac:dyDescent="0.2">
      <c r="A141" s="120"/>
      <c r="B141" s="120" t="s">
        <v>143</v>
      </c>
      <c r="C141" s="176">
        <v>0</v>
      </c>
      <c r="D141" s="176">
        <v>0</v>
      </c>
      <c r="E141" s="177">
        <v>124.41</v>
      </c>
      <c r="F141" s="177">
        <v>124.41</v>
      </c>
      <c r="G141" s="122">
        <v>0</v>
      </c>
      <c r="H141" s="178"/>
      <c r="N141" s="179"/>
    </row>
    <row r="142" spans="1:14" ht="12.75" hidden="1" customHeight="1" x14ac:dyDescent="0.2">
      <c r="A142" s="161">
        <v>2310</v>
      </c>
      <c r="B142" s="165" t="s">
        <v>144</v>
      </c>
      <c r="C142" s="166">
        <v>0</v>
      </c>
      <c r="D142" s="166">
        <v>0</v>
      </c>
      <c r="E142" s="115">
        <v>1746</v>
      </c>
      <c r="F142" s="180">
        <v>1746</v>
      </c>
      <c r="G142" s="111">
        <v>0</v>
      </c>
      <c r="H142" s="96"/>
    </row>
    <row r="143" spans="1:14" ht="12.75" hidden="1" customHeight="1" x14ac:dyDescent="0.2">
      <c r="A143" s="161">
        <v>2321</v>
      </c>
      <c r="B143" s="165" t="s">
        <v>145</v>
      </c>
      <c r="C143" s="166">
        <v>100000</v>
      </c>
      <c r="D143" s="181">
        <v>107200</v>
      </c>
      <c r="E143" s="115">
        <v>107200</v>
      </c>
      <c r="F143" s="180">
        <v>57200</v>
      </c>
      <c r="G143" s="111">
        <v>100000</v>
      </c>
      <c r="H143" s="96"/>
    </row>
    <row r="144" spans="1:14" ht="12.75" hidden="1" customHeight="1" x14ac:dyDescent="0.2">
      <c r="A144" s="161">
        <v>2322</v>
      </c>
      <c r="B144" s="165" t="s">
        <v>146</v>
      </c>
      <c r="C144" s="166">
        <v>250000</v>
      </c>
      <c r="D144" s="166">
        <v>250000</v>
      </c>
      <c r="E144" s="115">
        <f>67694.39+78579</f>
        <v>146273.39000000001</v>
      </c>
      <c r="F144" s="115">
        <f>67694.39+78579</f>
        <v>146273.39000000001</v>
      </c>
      <c r="G144" s="111">
        <v>0</v>
      </c>
      <c r="H144" s="96"/>
    </row>
    <row r="145" spans="1:8" s="116" customFormat="1" ht="12.75" hidden="1" customHeight="1" x14ac:dyDescent="0.2">
      <c r="A145" s="161">
        <v>2324</v>
      </c>
      <c r="B145" s="165" t="s">
        <v>147</v>
      </c>
      <c r="C145" s="166">
        <f>SUM(C146:C161)</f>
        <v>3510000</v>
      </c>
      <c r="D145" s="166">
        <f>SUM(D146:D161)</f>
        <v>3158112</v>
      </c>
      <c r="E145" s="166">
        <f>SUM(E146:E161)</f>
        <v>2960288.7800000003</v>
      </c>
      <c r="F145" s="166">
        <f>SUM(F146:F161)</f>
        <v>2184399.1100000003</v>
      </c>
      <c r="G145" s="166">
        <f>SUM(G146:G161)</f>
        <v>3211000</v>
      </c>
      <c r="H145" s="96"/>
    </row>
    <row r="146" spans="1:8" s="116" customFormat="1" ht="12.75" hidden="1" customHeight="1" x14ac:dyDescent="0.2">
      <c r="A146" s="161"/>
      <c r="B146" s="182" t="s">
        <v>148</v>
      </c>
      <c r="C146" s="132">
        <v>5000</v>
      </c>
      <c r="D146" s="132">
        <v>5000</v>
      </c>
      <c r="E146" s="121">
        <v>8000</v>
      </c>
      <c r="F146" s="121">
        <v>6393</v>
      </c>
      <c r="G146" s="122">
        <v>8000</v>
      </c>
      <c r="H146" s="96"/>
    </row>
    <row r="147" spans="1:8" s="116" customFormat="1" ht="12.75" hidden="1" customHeight="1" x14ac:dyDescent="0.2">
      <c r="A147" s="161"/>
      <c r="B147" s="182" t="s">
        <v>121</v>
      </c>
      <c r="C147" s="132">
        <v>30000</v>
      </c>
      <c r="D147" s="132">
        <v>30000</v>
      </c>
      <c r="E147" s="121">
        <v>30000</v>
      </c>
      <c r="F147" s="121">
        <v>28300</v>
      </c>
      <c r="G147" s="122">
        <v>30000</v>
      </c>
      <c r="H147" s="96"/>
    </row>
    <row r="148" spans="1:8" s="116" customFormat="1" ht="12.75" hidden="1" customHeight="1" x14ac:dyDescent="0.2">
      <c r="A148" s="161"/>
      <c r="B148" s="182" t="s">
        <v>149</v>
      </c>
      <c r="C148" s="132">
        <v>300000</v>
      </c>
      <c r="D148" s="132">
        <v>300000</v>
      </c>
      <c r="E148" s="183">
        <v>225000</v>
      </c>
      <c r="F148" s="183">
        <v>145163</v>
      </c>
      <c r="G148" s="122">
        <v>250000</v>
      </c>
      <c r="H148" s="96"/>
    </row>
    <row r="149" spans="1:8" s="116" customFormat="1" ht="12.75" hidden="1" customHeight="1" x14ac:dyDescent="0.2">
      <c r="A149" s="161"/>
      <c r="B149" s="182" t="s">
        <v>150</v>
      </c>
      <c r="C149" s="132">
        <v>400000</v>
      </c>
      <c r="D149" s="132">
        <v>400000</v>
      </c>
      <c r="E149" s="121">
        <v>253688.78</v>
      </c>
      <c r="F149" s="121">
        <v>253688.78</v>
      </c>
      <c r="G149" s="122">
        <v>200000</v>
      </c>
      <c r="H149" s="178"/>
    </row>
    <row r="150" spans="1:8" s="116" customFormat="1" ht="12.75" hidden="1" customHeight="1" x14ac:dyDescent="0.2">
      <c r="A150" s="161"/>
      <c r="B150" s="182" t="s">
        <v>151</v>
      </c>
      <c r="C150" s="132">
        <v>20000</v>
      </c>
      <c r="D150" s="132">
        <v>0</v>
      </c>
      <c r="E150" s="176">
        <v>6000</v>
      </c>
      <c r="F150" s="177">
        <f>3847.98+6384.85</f>
        <v>10232.83</v>
      </c>
      <c r="G150" s="122">
        <v>10000</v>
      </c>
      <c r="H150" s="178"/>
    </row>
    <row r="151" spans="1:8" ht="12.75" hidden="1" customHeight="1" x14ac:dyDescent="0.2">
      <c r="A151" s="184"/>
      <c r="B151" s="185" t="s">
        <v>152</v>
      </c>
      <c r="C151" s="132">
        <v>0</v>
      </c>
      <c r="D151" s="132">
        <v>17512</v>
      </c>
      <c r="E151" s="176">
        <v>0</v>
      </c>
      <c r="F151" s="177">
        <v>18269</v>
      </c>
      <c r="G151" s="122">
        <v>0</v>
      </c>
      <c r="H151" s="178"/>
    </row>
    <row r="152" spans="1:8" ht="12.75" hidden="1" customHeight="1" x14ac:dyDescent="0.2">
      <c r="A152" s="184"/>
      <c r="B152" s="185" t="s">
        <v>153</v>
      </c>
      <c r="C152" s="132">
        <v>0</v>
      </c>
      <c r="D152" s="132">
        <v>300000</v>
      </c>
      <c r="E152" s="132">
        <v>300000</v>
      </c>
      <c r="F152" s="132">
        <v>300000</v>
      </c>
      <c r="G152" s="122">
        <v>0</v>
      </c>
      <c r="H152" s="178"/>
    </row>
    <row r="153" spans="1:8" ht="12.75" hidden="1" customHeight="1" x14ac:dyDescent="0.2">
      <c r="A153" s="184"/>
      <c r="B153" s="185" t="s">
        <v>154</v>
      </c>
      <c r="C153" s="132">
        <v>0</v>
      </c>
      <c r="D153" s="132">
        <v>50600</v>
      </c>
      <c r="E153" s="132">
        <v>50600</v>
      </c>
      <c r="F153" s="132">
        <v>50600</v>
      </c>
      <c r="G153" s="122">
        <v>50000</v>
      </c>
      <c r="H153" s="178"/>
    </row>
    <row r="154" spans="1:8" s="186" customFormat="1" ht="12.75" hidden="1" customHeight="1" x14ac:dyDescent="0.2">
      <c r="A154" s="142"/>
      <c r="B154" s="143" t="s">
        <v>155</v>
      </c>
      <c r="C154" s="127">
        <v>2000000</v>
      </c>
      <c r="D154" s="127">
        <v>2000000</v>
      </c>
      <c r="E154" s="174">
        <v>2000000</v>
      </c>
      <c r="F154" s="175">
        <v>1303484.5</v>
      </c>
      <c r="G154" s="162">
        <v>2000000</v>
      </c>
      <c r="H154" s="178"/>
    </row>
    <row r="155" spans="1:8" s="186" customFormat="1" ht="12.75" hidden="1" customHeight="1" x14ac:dyDescent="0.2">
      <c r="A155" s="142"/>
      <c r="B155" s="143" t="s">
        <v>156</v>
      </c>
      <c r="C155" s="127">
        <v>0</v>
      </c>
      <c r="D155" s="127"/>
      <c r="E155" s="174"/>
      <c r="F155" s="175"/>
      <c r="G155" s="162">
        <v>0</v>
      </c>
      <c r="H155" s="178"/>
    </row>
    <row r="156" spans="1:8" s="186" customFormat="1" ht="12.75" hidden="1" customHeight="1" x14ac:dyDescent="0.2">
      <c r="A156" s="142"/>
      <c r="B156" s="143" t="s">
        <v>157</v>
      </c>
      <c r="C156" s="132">
        <v>0</v>
      </c>
      <c r="D156" s="132"/>
      <c r="E156" s="176"/>
      <c r="F156" s="177"/>
      <c r="G156" s="122">
        <v>0</v>
      </c>
      <c r="H156" s="178"/>
    </row>
    <row r="157" spans="1:8" s="186" customFormat="1" ht="12.75" hidden="1" customHeight="1" x14ac:dyDescent="0.2">
      <c r="A157" s="142"/>
      <c r="B157" s="143" t="s">
        <v>158</v>
      </c>
      <c r="C157" s="132">
        <v>5000</v>
      </c>
      <c r="D157" s="132">
        <v>5000</v>
      </c>
      <c r="E157" s="176">
        <v>2000</v>
      </c>
      <c r="F157" s="177">
        <v>783</v>
      </c>
      <c r="G157" s="122">
        <v>3000</v>
      </c>
      <c r="H157" s="178"/>
    </row>
    <row r="158" spans="1:8" s="186" customFormat="1" ht="12.75" hidden="1" customHeight="1" x14ac:dyDescent="0.2">
      <c r="A158" s="142"/>
      <c r="B158" s="143" t="s">
        <v>159</v>
      </c>
      <c r="C158" s="132">
        <v>50000</v>
      </c>
      <c r="D158" s="132">
        <v>50000</v>
      </c>
      <c r="E158" s="176">
        <v>85000</v>
      </c>
      <c r="F158" s="177">
        <v>67485</v>
      </c>
      <c r="G158" s="122">
        <v>70000</v>
      </c>
      <c r="H158" s="178"/>
    </row>
    <row r="159" spans="1:8" s="186" customFormat="1" ht="12.75" hidden="1" customHeight="1" x14ac:dyDescent="0.2">
      <c r="A159" s="142"/>
      <c r="B159" s="143" t="s">
        <v>160</v>
      </c>
      <c r="C159" s="132">
        <v>0</v>
      </c>
      <c r="D159" s="132"/>
      <c r="E159" s="176"/>
      <c r="F159" s="177"/>
      <c r="G159" s="122">
        <v>0</v>
      </c>
      <c r="H159" s="178"/>
    </row>
    <row r="160" spans="1:8" s="186" customFormat="1" ht="12.75" hidden="1" customHeight="1" x14ac:dyDescent="0.2">
      <c r="A160" s="142"/>
      <c r="B160" s="143" t="s">
        <v>161</v>
      </c>
      <c r="C160" s="132">
        <v>50000</v>
      </c>
      <c r="D160" s="132"/>
      <c r="E160" s="176"/>
      <c r="F160" s="177"/>
      <c r="G160" s="122">
        <v>0</v>
      </c>
      <c r="H160" s="178"/>
    </row>
    <row r="161" spans="1:14" s="186" customFormat="1" ht="12.75" hidden="1" customHeight="1" x14ac:dyDescent="0.2">
      <c r="A161" s="142"/>
      <c r="B161" s="143" t="s">
        <v>162</v>
      </c>
      <c r="C161" s="127">
        <v>650000</v>
      </c>
      <c r="D161" s="127">
        <v>0</v>
      </c>
      <c r="E161" s="174">
        <v>0</v>
      </c>
      <c r="F161" s="175">
        <v>0</v>
      </c>
      <c r="G161" s="162">
        <v>590000</v>
      </c>
      <c r="H161" s="178"/>
    </row>
    <row r="162" spans="1:14" ht="12.75" hidden="1" customHeight="1" x14ac:dyDescent="0.2">
      <c r="A162" s="161">
        <v>2328</v>
      </c>
      <c r="B162" s="165" t="s">
        <v>163</v>
      </c>
      <c r="C162" s="166">
        <v>0</v>
      </c>
      <c r="D162" s="166"/>
      <c r="E162" s="115"/>
      <c r="F162" s="115"/>
      <c r="G162" s="111">
        <v>0</v>
      </c>
      <c r="H162" s="96"/>
    </row>
    <row r="163" spans="1:14" s="116" customFormat="1" ht="12.75" hidden="1" customHeight="1" x14ac:dyDescent="0.2">
      <c r="A163" s="161">
        <v>2329</v>
      </c>
      <c r="B163" s="165" t="s">
        <v>164</v>
      </c>
      <c r="C163" s="166">
        <f>SUM(C164:C174)</f>
        <v>360000</v>
      </c>
      <c r="D163" s="166">
        <f>SUM(D164:D174)</f>
        <v>682076.7</v>
      </c>
      <c r="E163" s="166">
        <f>SUM(E164:E174)</f>
        <v>775453.79</v>
      </c>
      <c r="F163" s="166">
        <f>SUM(F164:F174)</f>
        <v>671820.98</v>
      </c>
      <c r="G163" s="166">
        <f>SUM(G164:G174)</f>
        <v>360000</v>
      </c>
      <c r="H163" s="178"/>
    </row>
    <row r="164" spans="1:14" s="116" customFormat="1" ht="12.75" hidden="1" customHeight="1" x14ac:dyDescent="0.2">
      <c r="A164" s="112"/>
      <c r="B164" s="187" t="s">
        <v>165</v>
      </c>
      <c r="C164" s="121">
        <v>0</v>
      </c>
      <c r="D164" s="121">
        <v>181121</v>
      </c>
      <c r="E164" s="121">
        <v>181121</v>
      </c>
      <c r="F164" s="121">
        <v>181121</v>
      </c>
      <c r="G164" s="122">
        <v>0</v>
      </c>
      <c r="H164" s="96"/>
      <c r="N164" s="179"/>
    </row>
    <row r="165" spans="1:14" ht="12.75" hidden="1" customHeight="1" x14ac:dyDescent="0.2">
      <c r="A165" s="142"/>
      <c r="B165" s="143" t="s">
        <v>166</v>
      </c>
      <c r="C165" s="132">
        <v>5000</v>
      </c>
      <c r="D165" s="132"/>
      <c r="E165" s="176"/>
      <c r="F165" s="177"/>
      <c r="G165" s="122">
        <v>0</v>
      </c>
      <c r="H165" s="178"/>
    </row>
    <row r="166" spans="1:14" ht="12.75" hidden="1" customHeight="1" x14ac:dyDescent="0.2">
      <c r="A166" s="142"/>
      <c r="B166" s="143" t="s">
        <v>167</v>
      </c>
      <c r="C166" s="132">
        <v>0</v>
      </c>
      <c r="D166" s="132">
        <v>145955.70000000001</v>
      </c>
      <c r="E166" s="176">
        <v>148964.69</v>
      </c>
      <c r="F166" s="176">
        <v>148964.69</v>
      </c>
      <c r="G166" s="122">
        <v>0</v>
      </c>
      <c r="H166" s="178"/>
    </row>
    <row r="167" spans="1:14" ht="12.75" hidden="1" customHeight="1" x14ac:dyDescent="0.2">
      <c r="A167" s="142"/>
      <c r="B167" s="143" t="s">
        <v>168</v>
      </c>
      <c r="C167" s="132">
        <v>0</v>
      </c>
      <c r="D167" s="132">
        <v>0</v>
      </c>
      <c r="E167" s="176">
        <v>57446.6</v>
      </c>
      <c r="F167" s="176">
        <v>57446.6</v>
      </c>
      <c r="G167" s="122">
        <v>0</v>
      </c>
      <c r="H167" s="178"/>
    </row>
    <row r="168" spans="1:14" ht="12.75" hidden="1" customHeight="1" x14ac:dyDescent="0.2">
      <c r="A168" s="142"/>
      <c r="B168" s="143" t="s">
        <v>169</v>
      </c>
      <c r="C168" s="132">
        <v>270000</v>
      </c>
      <c r="D168" s="132">
        <v>270000</v>
      </c>
      <c r="E168" s="176">
        <v>270000</v>
      </c>
      <c r="F168" s="177">
        <v>190060</v>
      </c>
      <c r="G168" s="122">
        <v>270000</v>
      </c>
      <c r="H168" s="178"/>
    </row>
    <row r="169" spans="1:14" ht="12.75" hidden="1" customHeight="1" x14ac:dyDescent="0.2">
      <c r="A169" s="142"/>
      <c r="B169" s="143" t="s">
        <v>170</v>
      </c>
      <c r="C169" s="132">
        <v>45000</v>
      </c>
      <c r="D169" s="132">
        <v>45000</v>
      </c>
      <c r="E169" s="176">
        <v>74865</v>
      </c>
      <c r="F169" s="177">
        <v>62807.19</v>
      </c>
      <c r="G169" s="122">
        <v>50000</v>
      </c>
      <c r="H169" s="178"/>
    </row>
    <row r="170" spans="1:14" ht="12.75" hidden="1" customHeight="1" x14ac:dyDescent="0.2">
      <c r="A170" s="142"/>
      <c r="B170" s="143" t="s">
        <v>171</v>
      </c>
      <c r="C170" s="132">
        <v>40000</v>
      </c>
      <c r="D170" s="132">
        <v>40000</v>
      </c>
      <c r="E170" s="176">
        <v>40000</v>
      </c>
      <c r="F170" s="188">
        <v>28365</v>
      </c>
      <c r="G170" s="122">
        <v>40000</v>
      </c>
      <c r="H170" s="172"/>
    </row>
    <row r="171" spans="1:14" ht="12.75" hidden="1" customHeight="1" x14ac:dyDescent="0.2">
      <c r="A171" s="142"/>
      <c r="B171" s="143" t="s">
        <v>172</v>
      </c>
      <c r="C171" s="132">
        <v>0</v>
      </c>
      <c r="D171" s="132">
        <v>0</v>
      </c>
      <c r="E171" s="176">
        <v>3056.5</v>
      </c>
      <c r="F171" s="176">
        <v>3056.5</v>
      </c>
      <c r="G171" s="122">
        <v>0</v>
      </c>
      <c r="H171" s="172"/>
    </row>
    <row r="172" spans="1:14" ht="12.75" hidden="1" customHeight="1" x14ac:dyDescent="0.2">
      <c r="A172" s="142"/>
      <c r="B172" s="143" t="s">
        <v>173</v>
      </c>
      <c r="C172" s="132">
        <v>0</v>
      </c>
      <c r="D172" s="132"/>
      <c r="E172" s="176"/>
      <c r="F172" s="188"/>
      <c r="G172" s="122">
        <v>0</v>
      </c>
      <c r="H172" s="172"/>
    </row>
    <row r="173" spans="1:14" ht="12.75" hidden="1" customHeight="1" x14ac:dyDescent="0.2">
      <c r="A173" s="142"/>
      <c r="B173" s="143" t="s">
        <v>174</v>
      </c>
      <c r="C173" s="132">
        <v>0</v>
      </c>
      <c r="D173" s="132"/>
      <c r="E173" s="176"/>
      <c r="F173" s="188"/>
      <c r="G173" s="122">
        <v>0</v>
      </c>
      <c r="H173" s="172"/>
    </row>
    <row r="174" spans="1:14" ht="12.75" hidden="1" customHeight="1" x14ac:dyDescent="0.2">
      <c r="A174" s="142"/>
      <c r="B174" s="143" t="s">
        <v>175</v>
      </c>
      <c r="C174" s="132">
        <v>0</v>
      </c>
      <c r="D174" s="132"/>
      <c r="E174" s="176"/>
      <c r="F174" s="188"/>
      <c r="G174" s="122">
        <v>0</v>
      </c>
      <c r="H174" s="172"/>
    </row>
    <row r="175" spans="1:14" ht="24.75" hidden="1" customHeight="1" x14ac:dyDescent="0.2">
      <c r="A175" s="161">
        <v>2411</v>
      </c>
      <c r="B175" s="167" t="s">
        <v>176</v>
      </c>
      <c r="C175" s="166">
        <v>0</v>
      </c>
      <c r="D175" s="166">
        <v>300000</v>
      </c>
      <c r="E175" s="115">
        <v>300000</v>
      </c>
      <c r="F175" s="115">
        <v>300000</v>
      </c>
      <c r="G175" s="111">
        <v>0</v>
      </c>
      <c r="H175" s="118"/>
    </row>
    <row r="176" spans="1:14" ht="12.75" hidden="1" customHeight="1" x14ac:dyDescent="0.2">
      <c r="A176" s="189"/>
      <c r="B176" s="190"/>
      <c r="C176" s="191"/>
      <c r="D176" s="191"/>
      <c r="E176" s="192"/>
      <c r="F176" s="193"/>
      <c r="G176" s="194"/>
      <c r="H176" s="178"/>
    </row>
    <row r="177" spans="1:8" s="116" customFormat="1" ht="18.75" hidden="1" customHeight="1" x14ac:dyDescent="0.25">
      <c r="A177" s="195"/>
      <c r="B177" s="196" t="s">
        <v>11</v>
      </c>
      <c r="C177" s="197">
        <f>SUM(C178,C179,C188:C192)</f>
        <v>52475517</v>
      </c>
      <c r="D177" s="197">
        <f>SUM(D178,D179,D188:D192)</f>
        <v>52226112.700000003</v>
      </c>
      <c r="E177" s="197">
        <f>SUM(E178,E179,E188:E192)</f>
        <v>23220062.699999999</v>
      </c>
      <c r="F177" s="197">
        <f>SUM(F178,F179,F188:F192)</f>
        <v>15702229.899999999</v>
      </c>
      <c r="G177" s="197">
        <f>SUM(G178,G179,G188:G192)</f>
        <v>109511899.31</v>
      </c>
      <c r="H177" s="178"/>
    </row>
    <row r="178" spans="1:8" s="116" customFormat="1" ht="25.5" hidden="1" x14ac:dyDescent="0.2">
      <c r="A178" s="158">
        <v>3111</v>
      </c>
      <c r="B178" s="198" t="s">
        <v>177</v>
      </c>
      <c r="C178" s="160">
        <v>37500000</v>
      </c>
      <c r="D178" s="160">
        <v>37500000</v>
      </c>
      <c r="E178" s="199">
        <v>7950000</v>
      </c>
      <c r="F178" s="200">
        <v>582367.19999999995</v>
      </c>
      <c r="G178" s="201">
        <f>(5.95+3.9+44.064+14.478+0.8+1.8+0.4+2.5)*1000000</f>
        <v>73892000</v>
      </c>
      <c r="H178" s="96"/>
    </row>
    <row r="179" spans="1:8" s="116" customFormat="1" ht="12.75" hidden="1" customHeight="1" x14ac:dyDescent="0.2">
      <c r="A179" s="161">
        <v>3112</v>
      </c>
      <c r="B179" s="161" t="s">
        <v>178</v>
      </c>
      <c r="C179" s="166">
        <f>SUM(C180:C187)</f>
        <v>10708739</v>
      </c>
      <c r="D179" s="166">
        <f>SUM(D180:D187)</f>
        <v>1875000</v>
      </c>
      <c r="E179" s="202">
        <f>SUM(E180:E187)</f>
        <v>2418950</v>
      </c>
      <c r="F179" s="203">
        <f>SUM(F180:F187)</f>
        <v>2268750</v>
      </c>
      <c r="G179" s="166">
        <f>SUM(G180:G187)</f>
        <v>19516800</v>
      </c>
      <c r="H179" s="96"/>
    </row>
    <row r="180" spans="1:8" s="116" customFormat="1" ht="12.75" hidden="1" customHeight="1" x14ac:dyDescent="0.2">
      <c r="A180" s="161"/>
      <c r="B180" s="204" t="s">
        <v>179</v>
      </c>
      <c r="C180" s="132">
        <v>2342000</v>
      </c>
      <c r="D180" s="132"/>
      <c r="E180" s="205">
        <v>0</v>
      </c>
      <c r="F180" s="206"/>
      <c r="G180" s="162">
        <v>1427000</v>
      </c>
      <c r="H180" s="96"/>
    </row>
    <row r="181" spans="1:8" s="116" customFormat="1" ht="12.75" hidden="1" customHeight="1" x14ac:dyDescent="0.2">
      <c r="A181" s="161"/>
      <c r="B181" s="204" t="s">
        <v>180</v>
      </c>
      <c r="C181" s="132">
        <v>1910000</v>
      </c>
      <c r="D181" s="132"/>
      <c r="E181" s="205">
        <v>0</v>
      </c>
      <c r="F181" s="206"/>
      <c r="G181" s="122">
        <v>0</v>
      </c>
      <c r="H181" s="96"/>
    </row>
    <row r="182" spans="1:8" s="116" customFormat="1" ht="12.75" hidden="1" customHeight="1" x14ac:dyDescent="0.2">
      <c r="A182" s="161"/>
      <c r="B182" s="204" t="s">
        <v>181</v>
      </c>
      <c r="C182" s="207">
        <v>2794000</v>
      </c>
      <c r="D182" s="208"/>
      <c r="E182" s="205">
        <v>150200</v>
      </c>
      <c r="F182" s="206"/>
      <c r="G182" s="121">
        <f>4209000-150200</f>
        <v>4058800</v>
      </c>
      <c r="H182" s="96"/>
    </row>
    <row r="183" spans="1:8" s="116" customFormat="1" ht="12.75" hidden="1" customHeight="1" x14ac:dyDescent="0.2">
      <c r="A183" s="161"/>
      <c r="B183" s="204" t="s">
        <v>182</v>
      </c>
      <c r="C183" s="208">
        <v>2364000</v>
      </c>
      <c r="D183" s="208"/>
      <c r="E183" s="205">
        <v>0</v>
      </c>
      <c r="F183" s="206"/>
      <c r="G183" s="121">
        <v>2581000</v>
      </c>
      <c r="H183" s="96"/>
    </row>
    <row r="184" spans="1:8" s="116" customFormat="1" ht="12.75" hidden="1" customHeight="1" x14ac:dyDescent="0.2">
      <c r="A184" s="161"/>
      <c r="B184" s="204" t="s">
        <v>183</v>
      </c>
      <c r="C184" s="208">
        <v>1298739</v>
      </c>
      <c r="D184" s="208"/>
      <c r="E184" s="205">
        <v>0</v>
      </c>
      <c r="F184" s="206"/>
      <c r="G184" s="122">
        <v>3000000</v>
      </c>
      <c r="H184" s="96"/>
    </row>
    <row r="185" spans="1:8" s="116" customFormat="1" ht="12.75" hidden="1" customHeight="1" x14ac:dyDescent="0.2">
      <c r="A185" s="161"/>
      <c r="B185" s="204" t="s">
        <v>184</v>
      </c>
      <c r="C185" s="208">
        <v>0</v>
      </c>
      <c r="D185" s="208">
        <v>0</v>
      </c>
      <c r="E185" s="205">
        <v>0</v>
      </c>
      <c r="F185" s="206">
        <v>0</v>
      </c>
      <c r="G185" s="122">
        <v>3000000</v>
      </c>
      <c r="H185" s="96"/>
    </row>
    <row r="186" spans="1:8" s="116" customFormat="1" ht="12.75" hidden="1" customHeight="1" x14ac:dyDescent="0.2">
      <c r="A186" s="161"/>
      <c r="B186" s="204" t="s">
        <v>185</v>
      </c>
      <c r="C186" s="208">
        <v>0</v>
      </c>
      <c r="D186" s="208"/>
      <c r="E186" s="205"/>
      <c r="F186" s="206"/>
      <c r="G186" s="122">
        <v>5450000</v>
      </c>
      <c r="H186" s="96"/>
    </row>
    <row r="187" spans="1:8" s="116" customFormat="1" ht="12.75" hidden="1" customHeight="1" x14ac:dyDescent="0.2">
      <c r="A187" s="161"/>
      <c r="B187" s="204" t="s">
        <v>186</v>
      </c>
      <c r="C187" s="208">
        <v>0</v>
      </c>
      <c r="D187" s="208">
        <v>1875000</v>
      </c>
      <c r="E187" s="205">
        <v>2268750</v>
      </c>
      <c r="F187" s="206">
        <v>2268750</v>
      </c>
      <c r="G187" s="122">
        <v>0</v>
      </c>
      <c r="H187" s="96"/>
    </row>
    <row r="188" spans="1:8" s="116" customFormat="1" ht="12.75" hidden="1" customHeight="1" x14ac:dyDescent="0.2">
      <c r="A188" s="161">
        <v>3113</v>
      </c>
      <c r="B188" s="161" t="s">
        <v>187</v>
      </c>
      <c r="C188" s="166">
        <v>0</v>
      </c>
      <c r="D188" s="166"/>
      <c r="E188" s="209"/>
      <c r="F188" s="210"/>
      <c r="G188" s="111">
        <v>0</v>
      </c>
      <c r="H188" s="96"/>
    </row>
    <row r="189" spans="1:8" s="116" customFormat="1" ht="12.75" hidden="1" customHeight="1" x14ac:dyDescent="0.2">
      <c r="A189" s="161">
        <v>3119</v>
      </c>
      <c r="B189" s="161" t="s">
        <v>188</v>
      </c>
      <c r="C189" s="166">
        <v>0</v>
      </c>
      <c r="D189" s="166">
        <v>12770000</v>
      </c>
      <c r="E189" s="202">
        <v>12770000</v>
      </c>
      <c r="F189" s="203">
        <v>12770000</v>
      </c>
      <c r="G189" s="111">
        <v>0</v>
      </c>
      <c r="H189" s="96"/>
    </row>
    <row r="190" spans="1:8" s="116" customFormat="1" ht="12.75" hidden="1" customHeight="1" x14ac:dyDescent="0.2">
      <c r="A190" s="161">
        <v>3121</v>
      </c>
      <c r="B190" s="161" t="s">
        <v>189</v>
      </c>
      <c r="C190" s="166">
        <v>0</v>
      </c>
      <c r="D190" s="166">
        <v>81112.7</v>
      </c>
      <c r="E190" s="209">
        <v>81112.7</v>
      </c>
      <c r="F190" s="210">
        <v>81112.7</v>
      </c>
      <c r="G190" s="111">
        <v>400000</v>
      </c>
      <c r="H190" s="96"/>
    </row>
    <row r="191" spans="1:8" s="116" customFormat="1" hidden="1" x14ac:dyDescent="0.2">
      <c r="A191" s="161">
        <v>3122</v>
      </c>
      <c r="B191" s="211" t="s">
        <v>190</v>
      </c>
      <c r="C191" s="166">
        <v>0</v>
      </c>
      <c r="D191" s="166"/>
      <c r="E191" s="209"/>
      <c r="F191" s="210"/>
      <c r="G191" s="111">
        <v>0</v>
      </c>
      <c r="H191" s="96"/>
    </row>
    <row r="192" spans="1:8" s="116" customFormat="1" ht="12.75" hidden="1" customHeight="1" x14ac:dyDescent="0.2">
      <c r="A192" s="161">
        <v>3129</v>
      </c>
      <c r="B192" s="161" t="s">
        <v>191</v>
      </c>
      <c r="C192" s="166">
        <f>SUM(C193:C195)</f>
        <v>4266778</v>
      </c>
      <c r="D192" s="166">
        <f>SUM(D193:D195)</f>
        <v>0</v>
      </c>
      <c r="E192" s="202">
        <f>SUM(E193:E195)</f>
        <v>0</v>
      </c>
      <c r="F192" s="203">
        <f>SUM(F193:F195)</f>
        <v>0</v>
      </c>
      <c r="G192" s="166">
        <f>SUM(G193:G196)</f>
        <v>15703099.310000001</v>
      </c>
      <c r="H192" s="96"/>
    </row>
    <row r="193" spans="1:8" s="116" customFormat="1" ht="12.75" hidden="1" customHeight="1" x14ac:dyDescent="0.2">
      <c r="A193" s="212"/>
      <c r="B193" s="204" t="s">
        <v>192</v>
      </c>
      <c r="C193" s="132">
        <v>500000</v>
      </c>
      <c r="D193" s="132"/>
      <c r="E193" s="205">
        <v>0</v>
      </c>
      <c r="F193" s="206"/>
      <c r="G193" s="122"/>
      <c r="H193" s="118"/>
    </row>
    <row r="194" spans="1:8" s="116" customFormat="1" ht="12.75" hidden="1" customHeight="1" x14ac:dyDescent="0.2">
      <c r="A194" s="212"/>
      <c r="B194" s="204" t="s">
        <v>193</v>
      </c>
      <c r="C194" s="132">
        <v>1200000</v>
      </c>
      <c r="D194" s="132"/>
      <c r="E194" s="205">
        <v>0</v>
      </c>
      <c r="F194" s="206"/>
      <c r="G194" s="122">
        <v>1053570</v>
      </c>
      <c r="H194" s="118"/>
    </row>
    <row r="195" spans="1:8" s="116" customFormat="1" ht="12" hidden="1" customHeight="1" x14ac:dyDescent="0.2">
      <c r="A195" s="161"/>
      <c r="B195" s="142" t="s">
        <v>194</v>
      </c>
      <c r="C195" s="132">
        <v>2566778</v>
      </c>
      <c r="D195" s="132"/>
      <c r="E195" s="205"/>
      <c r="F195" s="206"/>
      <c r="G195" s="121">
        <v>0</v>
      </c>
      <c r="H195" s="118"/>
    </row>
    <row r="196" spans="1:8" s="116" customFormat="1" ht="12" hidden="1" customHeight="1" x14ac:dyDescent="0.2">
      <c r="A196" s="212"/>
      <c r="B196" s="204" t="s">
        <v>195</v>
      </c>
      <c r="C196" s="132">
        <v>0</v>
      </c>
      <c r="D196" s="132">
        <v>0</v>
      </c>
      <c r="E196" s="213">
        <v>0</v>
      </c>
      <c r="F196" s="214">
        <v>0</v>
      </c>
      <c r="G196" s="122">
        <v>14649529.310000001</v>
      </c>
      <c r="H196" s="118"/>
    </row>
    <row r="197" spans="1:8" s="116" customFormat="1" hidden="1" x14ac:dyDescent="0.2">
      <c r="A197" s="212"/>
      <c r="B197" s="215"/>
      <c r="C197" s="216"/>
      <c r="D197" s="216"/>
      <c r="E197" s="213"/>
      <c r="F197" s="214"/>
      <c r="G197" s="194"/>
      <c r="H197" s="96"/>
    </row>
    <row r="198" spans="1:8" s="116" customFormat="1" ht="18.75" hidden="1" customHeight="1" x14ac:dyDescent="0.25">
      <c r="A198" s="217"/>
      <c r="B198" s="196" t="s">
        <v>196</v>
      </c>
      <c r="C198" s="197">
        <f>SUM(C199:C203,C215,C223,C229:C230,C235,C246)</f>
        <v>59771600.0035</v>
      </c>
      <c r="D198" s="197">
        <f>SUM(D199,D202:D203,D215,D223,D229:D230,D235,D246)</f>
        <v>138526988.82350001</v>
      </c>
      <c r="E198" s="197">
        <f>SUM(E199,E202:E203,E215,E223,E229:E230,E235,E246)</f>
        <v>129994865.9535</v>
      </c>
      <c r="F198" s="218">
        <f>SUM(F199,F202:F203,F215,F223,F229:F230,F235,F246)</f>
        <v>120624289.91999999</v>
      </c>
      <c r="G198" s="197">
        <f>SUM(G199,G202:G203,G215,G223,G229:G230,G235,G246)</f>
        <v>80631238.653500006</v>
      </c>
      <c r="H198" s="96"/>
    </row>
    <row r="199" spans="1:8" s="116" customFormat="1" ht="12.75" hidden="1" customHeight="1" x14ac:dyDescent="0.2">
      <c r="A199" s="219">
        <v>4111</v>
      </c>
      <c r="B199" s="219" t="s">
        <v>197</v>
      </c>
      <c r="C199" s="220">
        <f>SUM(C200:C201)</f>
        <v>0</v>
      </c>
      <c r="D199" s="220">
        <f>SUM(D200:D201)</f>
        <v>29776000</v>
      </c>
      <c r="E199" s="220">
        <f>SUM(E200:E201)</f>
        <v>29776000</v>
      </c>
      <c r="F199" s="221">
        <f>SUM(F200:F201)</f>
        <v>29776000</v>
      </c>
      <c r="G199" s="220">
        <f>SUM(G200:G201)</f>
        <v>0</v>
      </c>
      <c r="H199" s="96"/>
    </row>
    <row r="200" spans="1:8" s="116" customFormat="1" ht="12.75" hidden="1" customHeight="1" x14ac:dyDescent="0.2">
      <c r="A200" s="219"/>
      <c r="B200" s="222" t="s">
        <v>198</v>
      </c>
      <c r="C200" s="223">
        <v>0</v>
      </c>
      <c r="D200" s="223">
        <v>29075000</v>
      </c>
      <c r="E200" s="223">
        <v>29075000</v>
      </c>
      <c r="F200" s="224">
        <v>29075000</v>
      </c>
      <c r="G200" s="223">
        <v>0</v>
      </c>
      <c r="H200" s="96"/>
    </row>
    <row r="201" spans="1:8" s="116" customFormat="1" ht="12.75" hidden="1" customHeight="1" x14ac:dyDescent="0.2">
      <c r="A201" s="219"/>
      <c r="B201" s="222" t="s">
        <v>199</v>
      </c>
      <c r="C201" s="223">
        <v>0</v>
      </c>
      <c r="D201" s="223">
        <v>701000</v>
      </c>
      <c r="E201" s="223">
        <v>701000</v>
      </c>
      <c r="F201" s="224">
        <v>701000</v>
      </c>
      <c r="G201" s="223">
        <v>0</v>
      </c>
      <c r="H201" s="96"/>
    </row>
    <row r="202" spans="1:8" ht="89.25" hidden="1" x14ac:dyDescent="0.2">
      <c r="A202" s="159">
        <v>4112</v>
      </c>
      <c r="B202" s="225" t="s">
        <v>200</v>
      </c>
      <c r="C202" s="226">
        <f>958935.0949+709659.9826+520950+433320+542800+39919+4236063.649+7723640.937+23616817.65+627210+1363000+1530786+236555+42.69</f>
        <v>42539700.0035</v>
      </c>
      <c r="D202" s="226">
        <f>958935.0949+709659.9826+520950+433320+542800+39919+4236063.649+7723640.937+23616817.65+627210+1363000+1530786+236555+42.69</f>
        <v>42539700.0035</v>
      </c>
      <c r="E202" s="226">
        <f>958935.0949+709659.9826+520950+433320+542800+39919+4236063.649+7723640.937+23616817.65+627210+1363000+1530786+236555+42.69</f>
        <v>42539700.0035</v>
      </c>
      <c r="F202" s="200">
        <v>28247765</v>
      </c>
      <c r="G202" s="227">
        <f>(958935.0949+709659.9826+520950+433320+542800+39919+4236063.649+7723640.937+23616817.65+627210+1363000+1530786+236555+42.69)+918800</f>
        <v>43458500.0035</v>
      </c>
      <c r="H202" s="118"/>
    </row>
    <row r="203" spans="1:8" s="116" customFormat="1" ht="12.75" hidden="1" customHeight="1" x14ac:dyDescent="0.2">
      <c r="A203" s="165">
        <v>4116</v>
      </c>
      <c r="B203" s="165" t="s">
        <v>201</v>
      </c>
      <c r="C203" s="166">
        <f>SUM(C204:C214)</f>
        <v>7642000</v>
      </c>
      <c r="D203" s="166">
        <f>SUM(D204:D214)</f>
        <v>14769583.75</v>
      </c>
      <c r="E203" s="166">
        <f>SUM(E204:E214)</f>
        <v>10988960.879999999</v>
      </c>
      <c r="F203" s="203">
        <f>SUM(F204:F214)</f>
        <v>18582960.879999999</v>
      </c>
      <c r="G203" s="166">
        <f>SUM(G204:G214)</f>
        <v>8333206</v>
      </c>
      <c r="H203" s="96"/>
    </row>
    <row r="204" spans="1:8" ht="12.75" hidden="1" customHeight="1" x14ac:dyDescent="0.2">
      <c r="A204" s="143"/>
      <c r="B204" s="140" t="s">
        <v>202</v>
      </c>
      <c r="C204" s="127">
        <v>50000</v>
      </c>
      <c r="D204" s="127">
        <v>7594000</v>
      </c>
      <c r="E204" s="127">
        <v>0</v>
      </c>
      <c r="F204" s="228">
        <v>7594000</v>
      </c>
      <c r="G204" s="162">
        <v>50000</v>
      </c>
      <c r="H204" s="96"/>
    </row>
    <row r="205" spans="1:8" ht="12.75" hidden="1" customHeight="1" x14ac:dyDescent="0.2">
      <c r="A205" s="143"/>
      <c r="B205" s="143" t="s">
        <v>203</v>
      </c>
      <c r="C205" s="132">
        <v>192000</v>
      </c>
      <c r="D205" s="132">
        <v>120000</v>
      </c>
      <c r="E205" s="127">
        <v>120000</v>
      </c>
      <c r="F205" s="206">
        <v>120000</v>
      </c>
      <c r="G205" s="122">
        <v>0</v>
      </c>
      <c r="H205" s="96"/>
    </row>
    <row r="206" spans="1:8" ht="12.75" hidden="1" customHeight="1" x14ac:dyDescent="0.2">
      <c r="A206" s="165"/>
      <c r="B206" s="182" t="s">
        <v>204</v>
      </c>
      <c r="C206" s="132">
        <v>7400000</v>
      </c>
      <c r="D206" s="132">
        <v>3376250</v>
      </c>
      <c r="E206" s="132">
        <v>7189627.1299999999</v>
      </c>
      <c r="F206" s="229">
        <v>7189627.1299999999</v>
      </c>
      <c r="G206" s="122">
        <v>7145900</v>
      </c>
      <c r="H206" s="96"/>
    </row>
    <row r="207" spans="1:8" ht="12.75" hidden="1" customHeight="1" x14ac:dyDescent="0.2">
      <c r="A207" s="120"/>
      <c r="B207" s="120" t="s">
        <v>205</v>
      </c>
      <c r="C207" s="132">
        <v>0</v>
      </c>
      <c r="D207" s="132">
        <v>1137306</v>
      </c>
      <c r="E207" s="132">
        <v>1137306</v>
      </c>
      <c r="F207" s="229">
        <v>1137306</v>
      </c>
      <c r="G207" s="122">
        <v>1137306</v>
      </c>
      <c r="H207" s="96"/>
    </row>
    <row r="208" spans="1:8" ht="12.75" hidden="1" customHeight="1" x14ac:dyDescent="0.2">
      <c r="A208" s="230"/>
      <c r="B208" s="120" t="s">
        <v>206</v>
      </c>
      <c r="C208" s="231">
        <v>0</v>
      </c>
      <c r="D208" s="231">
        <v>554488</v>
      </c>
      <c r="E208" s="231">
        <v>554488</v>
      </c>
      <c r="F208" s="232">
        <v>554488</v>
      </c>
      <c r="G208" s="122"/>
      <c r="H208" s="96"/>
    </row>
    <row r="209" spans="1:14" s="116" customFormat="1" ht="12.75" hidden="1" customHeight="1" x14ac:dyDescent="0.2">
      <c r="A209" s="233"/>
      <c r="B209" s="120" t="s">
        <v>207</v>
      </c>
      <c r="C209" s="234">
        <v>0</v>
      </c>
      <c r="D209" s="234">
        <v>1249.8499999999999</v>
      </c>
      <c r="E209" s="234">
        <v>1249.8499999999999</v>
      </c>
      <c r="F209" s="235">
        <v>1249.8499999999999</v>
      </c>
      <c r="G209" s="122"/>
      <c r="H209" s="96"/>
      <c r="N209" s="179"/>
    </row>
    <row r="210" spans="1:14" s="116" customFormat="1" ht="12.75" hidden="1" customHeight="1" x14ac:dyDescent="0.2">
      <c r="A210" s="233"/>
      <c r="B210" s="120" t="s">
        <v>208</v>
      </c>
      <c r="C210" s="188">
        <v>0</v>
      </c>
      <c r="D210" s="188">
        <v>24996.9</v>
      </c>
      <c r="E210" s="188">
        <v>24996.9</v>
      </c>
      <c r="F210" s="236">
        <v>24996.9</v>
      </c>
      <c r="G210" s="122"/>
      <c r="H210" s="96"/>
      <c r="N210" s="179"/>
    </row>
    <row r="211" spans="1:14" s="116" customFormat="1" ht="12.75" hidden="1" customHeight="1" x14ac:dyDescent="0.2">
      <c r="A211" s="233"/>
      <c r="B211" s="120" t="s">
        <v>209</v>
      </c>
      <c r="C211" s="188">
        <v>0</v>
      </c>
      <c r="D211" s="188">
        <v>270497</v>
      </c>
      <c r="E211" s="188">
        <v>270497</v>
      </c>
      <c r="F211" s="236">
        <v>270497</v>
      </c>
      <c r="G211" s="122"/>
      <c r="H211" s="96"/>
      <c r="N211" s="179"/>
    </row>
    <row r="212" spans="1:14" s="116" customFormat="1" ht="12.75" hidden="1" customHeight="1" x14ac:dyDescent="0.2">
      <c r="A212" s="233"/>
      <c r="B212" s="120" t="s">
        <v>210</v>
      </c>
      <c r="C212" s="188">
        <v>0</v>
      </c>
      <c r="D212" s="188">
        <v>1009796</v>
      </c>
      <c r="E212" s="188">
        <v>1009796</v>
      </c>
      <c r="F212" s="236">
        <v>1009796</v>
      </c>
      <c r="G212" s="122"/>
      <c r="H212" s="96"/>
      <c r="N212" s="179"/>
    </row>
    <row r="213" spans="1:14" s="116" customFormat="1" ht="12.75" hidden="1" customHeight="1" x14ac:dyDescent="0.2">
      <c r="A213" s="233"/>
      <c r="B213" s="120" t="s">
        <v>211</v>
      </c>
      <c r="C213" s="188">
        <v>0</v>
      </c>
      <c r="D213" s="188">
        <v>89000</v>
      </c>
      <c r="E213" s="234">
        <v>89000</v>
      </c>
      <c r="F213" s="214">
        <v>89000</v>
      </c>
      <c r="G213" s="122"/>
      <c r="H213" s="96"/>
      <c r="N213" s="179"/>
    </row>
    <row r="214" spans="1:14" s="116" customFormat="1" ht="12.75" hidden="1" customHeight="1" x14ac:dyDescent="0.2">
      <c r="A214" s="233"/>
      <c r="B214" s="120" t="s">
        <v>212</v>
      </c>
      <c r="C214" s="188">
        <v>0</v>
      </c>
      <c r="D214" s="188">
        <v>592000</v>
      </c>
      <c r="E214" s="188">
        <v>592000</v>
      </c>
      <c r="F214" s="236">
        <v>592000</v>
      </c>
      <c r="G214" s="122"/>
      <c r="H214" s="96"/>
      <c r="N214" s="179"/>
    </row>
    <row r="215" spans="1:14" ht="12.75" hidden="1" customHeight="1" x14ac:dyDescent="0.2">
      <c r="A215" s="165">
        <v>4121</v>
      </c>
      <c r="B215" s="165" t="s">
        <v>213</v>
      </c>
      <c r="C215" s="166">
        <f>SUM(C216:C222)</f>
        <v>305500</v>
      </c>
      <c r="D215" s="166">
        <f>SUM(D216:D222)</f>
        <v>350000</v>
      </c>
      <c r="E215" s="166">
        <f>SUM(E216:E222)</f>
        <v>375000</v>
      </c>
      <c r="F215" s="203">
        <f>SUM(F216:F222)</f>
        <v>373564</v>
      </c>
      <c r="G215" s="166">
        <f>SUM(G216:G222)</f>
        <v>1631120</v>
      </c>
      <c r="H215" s="96"/>
    </row>
    <row r="216" spans="1:14" ht="12.75" hidden="1" customHeight="1" x14ac:dyDescent="0.2">
      <c r="A216" s="165"/>
      <c r="B216" s="143" t="s">
        <v>214</v>
      </c>
      <c r="C216" s="132">
        <v>300000</v>
      </c>
      <c r="D216" s="132">
        <v>300000</v>
      </c>
      <c r="E216" s="121">
        <v>328000</v>
      </c>
      <c r="F216" s="206">
        <v>328000</v>
      </c>
      <c r="G216" s="122">
        <v>260000</v>
      </c>
      <c r="H216" s="96"/>
    </row>
    <row r="217" spans="1:14" hidden="1" x14ac:dyDescent="0.2">
      <c r="A217" s="165"/>
      <c r="B217" s="143" t="s">
        <v>215</v>
      </c>
      <c r="C217" s="132">
        <v>5000</v>
      </c>
      <c r="D217" s="132">
        <v>5000</v>
      </c>
      <c r="E217" s="121">
        <v>2000</v>
      </c>
      <c r="F217" s="206">
        <v>564</v>
      </c>
      <c r="G217" s="122">
        <v>3000</v>
      </c>
      <c r="H217" s="96"/>
    </row>
    <row r="218" spans="1:14" ht="12.75" hidden="1" customHeight="1" x14ac:dyDescent="0.2">
      <c r="A218" s="113"/>
      <c r="B218" s="120" t="s">
        <v>216</v>
      </c>
      <c r="C218" s="121">
        <v>0</v>
      </c>
      <c r="D218" s="121"/>
      <c r="E218" s="121"/>
      <c r="F218" s="206"/>
      <c r="G218" s="122"/>
      <c r="H218" s="96"/>
      <c r="N218" s="179"/>
    </row>
    <row r="219" spans="1:14" ht="12.75" hidden="1" customHeight="1" x14ac:dyDescent="0.2">
      <c r="A219" s="113"/>
      <c r="B219" s="120" t="s">
        <v>217</v>
      </c>
      <c r="C219" s="121">
        <v>0</v>
      </c>
      <c r="D219" s="121">
        <v>45000</v>
      </c>
      <c r="E219" s="121">
        <v>45000</v>
      </c>
      <c r="F219" s="206">
        <v>45000</v>
      </c>
      <c r="G219" s="122">
        <v>735147</v>
      </c>
      <c r="H219" s="96"/>
      <c r="N219" s="179"/>
    </row>
    <row r="220" spans="1:14" ht="12.75" hidden="1" customHeight="1" x14ac:dyDescent="0.2">
      <c r="A220" s="113"/>
      <c r="B220" s="120" t="s">
        <v>218</v>
      </c>
      <c r="C220" s="121">
        <v>0</v>
      </c>
      <c r="D220" s="121">
        <v>0</v>
      </c>
      <c r="E220" s="121">
        <v>0</v>
      </c>
      <c r="F220" s="206">
        <v>0</v>
      </c>
      <c r="G220" s="122">
        <v>632973</v>
      </c>
      <c r="H220" s="96"/>
      <c r="N220" s="179"/>
    </row>
    <row r="221" spans="1:14" ht="12.75" hidden="1" customHeight="1" x14ac:dyDescent="0.2">
      <c r="A221" s="113"/>
      <c r="B221" s="120" t="s">
        <v>219</v>
      </c>
      <c r="C221" s="121">
        <v>0</v>
      </c>
      <c r="D221" s="121"/>
      <c r="E221" s="121"/>
      <c r="F221" s="206"/>
      <c r="G221" s="122"/>
      <c r="H221" s="172"/>
    </row>
    <row r="222" spans="1:14" hidden="1" x14ac:dyDescent="0.2">
      <c r="A222" s="165"/>
      <c r="B222" s="143" t="s">
        <v>220</v>
      </c>
      <c r="C222" s="132">
        <v>500</v>
      </c>
      <c r="D222" s="132"/>
      <c r="E222" s="121"/>
      <c r="F222" s="206"/>
      <c r="G222" s="122"/>
      <c r="H222" s="96"/>
    </row>
    <row r="223" spans="1:14" ht="12.75" hidden="1" customHeight="1" x14ac:dyDescent="0.2">
      <c r="A223" s="113">
        <v>4122</v>
      </c>
      <c r="B223" s="237" t="s">
        <v>221</v>
      </c>
      <c r="C223" s="115">
        <f>SUM(C224:C228)</f>
        <v>0</v>
      </c>
      <c r="D223" s="115">
        <f>SUM(D224:D228)</f>
        <v>8314467</v>
      </c>
      <c r="E223" s="115">
        <f>SUM(E224:E228)</f>
        <v>6737967</v>
      </c>
      <c r="F223" s="210">
        <f>SUM(F224:F228)</f>
        <v>6723467</v>
      </c>
      <c r="G223" s="115">
        <f>SUM(G224:G228)</f>
        <v>0</v>
      </c>
      <c r="H223" s="96"/>
      <c r="N223" s="179"/>
    </row>
    <row r="224" spans="1:14" s="116" customFormat="1" ht="12.75" hidden="1" customHeight="1" x14ac:dyDescent="0.2">
      <c r="A224" s="233"/>
      <c r="B224" s="230" t="s">
        <v>222</v>
      </c>
      <c r="C224" s="234">
        <v>0</v>
      </c>
      <c r="D224" s="234">
        <v>10000</v>
      </c>
      <c r="E224" s="234">
        <v>10000</v>
      </c>
      <c r="F224" s="235">
        <v>10000</v>
      </c>
      <c r="G224" s="122">
        <v>0</v>
      </c>
      <c r="H224" s="92"/>
      <c r="N224" s="179"/>
    </row>
    <row r="225" spans="1:14" s="116" customFormat="1" ht="12.75" hidden="1" customHeight="1" x14ac:dyDescent="0.2">
      <c r="A225" s="233"/>
      <c r="B225" s="230" t="s">
        <v>223</v>
      </c>
      <c r="C225" s="234">
        <v>0</v>
      </c>
      <c r="D225" s="234">
        <v>24467</v>
      </c>
      <c r="E225" s="234">
        <v>24467</v>
      </c>
      <c r="F225" s="235">
        <v>24467</v>
      </c>
      <c r="G225" s="122"/>
      <c r="H225" s="92"/>
      <c r="N225" s="179"/>
    </row>
    <row r="226" spans="1:14" s="116" customFormat="1" ht="12.75" hidden="1" customHeight="1" x14ac:dyDescent="0.2">
      <c r="A226" s="233"/>
      <c r="B226" s="230" t="s">
        <v>224</v>
      </c>
      <c r="C226" s="234">
        <v>0</v>
      </c>
      <c r="D226" s="234">
        <v>29000</v>
      </c>
      <c r="E226" s="188">
        <v>29000</v>
      </c>
      <c r="F226" s="206">
        <v>14500</v>
      </c>
      <c r="G226" s="122"/>
      <c r="H226" s="96"/>
      <c r="N226" s="179"/>
    </row>
    <row r="227" spans="1:14" s="116" customFormat="1" ht="12.75" hidden="1" customHeight="1" x14ac:dyDescent="0.2">
      <c r="A227" s="233"/>
      <c r="B227" s="230" t="s">
        <v>225</v>
      </c>
      <c r="C227" s="234">
        <v>0</v>
      </c>
      <c r="D227" s="234">
        <v>3153000</v>
      </c>
      <c r="E227" s="188">
        <f>3153000/2</f>
        <v>1576500</v>
      </c>
      <c r="F227" s="236">
        <f>3153000/2</f>
        <v>1576500</v>
      </c>
      <c r="G227" s="122">
        <v>0</v>
      </c>
      <c r="H227" s="96"/>
      <c r="N227" s="179"/>
    </row>
    <row r="228" spans="1:14" ht="12.75" hidden="1" customHeight="1" x14ac:dyDescent="0.2">
      <c r="A228" s="113"/>
      <c r="B228" s="120" t="s">
        <v>226</v>
      </c>
      <c r="C228" s="132">
        <v>0</v>
      </c>
      <c r="D228" s="132">
        <v>5098000</v>
      </c>
      <c r="E228" s="132">
        <v>5098000</v>
      </c>
      <c r="F228" s="229">
        <v>5098000</v>
      </c>
      <c r="G228" s="122">
        <v>0</v>
      </c>
      <c r="H228" s="96"/>
      <c r="N228" s="179"/>
    </row>
    <row r="229" spans="1:14" s="116" customFormat="1" ht="12.75" hidden="1" customHeight="1" x14ac:dyDescent="0.2">
      <c r="A229" s="238" t="s">
        <v>227</v>
      </c>
      <c r="B229" s="165" t="s">
        <v>228</v>
      </c>
      <c r="C229" s="166">
        <v>6084400</v>
      </c>
      <c r="D229" s="166">
        <v>6084400</v>
      </c>
      <c r="E229" s="166">
        <v>6084400</v>
      </c>
      <c r="F229" s="239">
        <v>4563402.03</v>
      </c>
      <c r="G229" s="111">
        <v>5900000</v>
      </c>
      <c r="H229" s="96"/>
    </row>
    <row r="230" spans="1:14" s="116" customFormat="1" ht="12.75" hidden="1" customHeight="1" x14ac:dyDescent="0.2">
      <c r="A230" s="165">
        <v>4213</v>
      </c>
      <c r="B230" s="165" t="s">
        <v>229</v>
      </c>
      <c r="C230" s="166">
        <f>SUM(C231:C234)</f>
        <v>0</v>
      </c>
      <c r="D230" s="166">
        <f>SUM(D231:D234)</f>
        <v>1018657.06</v>
      </c>
      <c r="E230" s="166">
        <f>SUM(E231:E234)</f>
        <v>1018657.06</v>
      </c>
      <c r="F230" s="203">
        <f>SUM(F231:F234)</f>
        <v>0</v>
      </c>
      <c r="G230" s="166">
        <f>SUM(G231:G234)</f>
        <v>450000</v>
      </c>
      <c r="H230" s="96"/>
    </row>
    <row r="231" spans="1:14" s="2" customFormat="1" ht="12.75" hidden="1" customHeight="1" x14ac:dyDescent="0.2">
      <c r="A231" s="182"/>
      <c r="B231" s="130" t="s">
        <v>230</v>
      </c>
      <c r="C231" s="132">
        <v>0</v>
      </c>
      <c r="D231" s="132">
        <v>420000</v>
      </c>
      <c r="E231" s="132">
        <v>420000</v>
      </c>
      <c r="F231" s="240">
        <v>0</v>
      </c>
      <c r="G231" s="122">
        <v>250000</v>
      </c>
      <c r="H231" s="96"/>
    </row>
    <row r="232" spans="1:14" s="2" customFormat="1" ht="12.75" hidden="1" customHeight="1" x14ac:dyDescent="0.2">
      <c r="A232" s="182"/>
      <c r="B232" s="130" t="s">
        <v>231</v>
      </c>
      <c r="C232" s="132">
        <v>0</v>
      </c>
      <c r="D232" s="132">
        <v>0</v>
      </c>
      <c r="E232" s="132">
        <v>0</v>
      </c>
      <c r="F232" s="240">
        <v>0</v>
      </c>
      <c r="G232" s="122">
        <v>200000</v>
      </c>
      <c r="H232" s="96"/>
    </row>
    <row r="233" spans="1:14" s="2" customFormat="1" ht="12.75" hidden="1" customHeight="1" x14ac:dyDescent="0.2">
      <c r="A233" s="182"/>
      <c r="B233" s="130" t="s">
        <v>232</v>
      </c>
      <c r="C233" s="132">
        <v>0</v>
      </c>
      <c r="D233" s="132">
        <v>215516.54</v>
      </c>
      <c r="E233" s="132">
        <v>215516.54</v>
      </c>
      <c r="F233" s="240">
        <v>0</v>
      </c>
      <c r="G233" s="122"/>
      <c r="H233" s="96"/>
    </row>
    <row r="234" spans="1:14" s="2" customFormat="1" ht="12.75" hidden="1" customHeight="1" x14ac:dyDescent="0.2">
      <c r="A234" s="182"/>
      <c r="B234" s="130" t="s">
        <v>233</v>
      </c>
      <c r="C234" s="132">
        <v>0</v>
      </c>
      <c r="D234" s="132">
        <v>383140.52</v>
      </c>
      <c r="E234" s="132">
        <v>383140.52</v>
      </c>
      <c r="F234" s="240">
        <v>0</v>
      </c>
      <c r="G234" s="122"/>
      <c r="H234" s="96"/>
    </row>
    <row r="235" spans="1:14" s="116" customFormat="1" ht="12.75" hidden="1" customHeight="1" x14ac:dyDescent="0.2">
      <c r="A235" s="113">
        <v>4216</v>
      </c>
      <c r="B235" s="241" t="s">
        <v>234</v>
      </c>
      <c r="C235" s="242">
        <f>SUM(C238:C244)</f>
        <v>0</v>
      </c>
      <c r="D235" s="242">
        <f>SUM(D238:D245)</f>
        <v>32060081.009999998</v>
      </c>
      <c r="E235" s="242">
        <f>SUM(E238:E245)</f>
        <v>32060081.009999998</v>
      </c>
      <c r="F235" s="243">
        <f>SUM(F238:F245)</f>
        <v>32060081.009999998</v>
      </c>
      <c r="G235" s="242">
        <f>SUM(G236:G245)</f>
        <v>11598412.65</v>
      </c>
      <c r="H235" s="96"/>
      <c r="N235" s="179"/>
    </row>
    <row r="236" spans="1:14" s="116" customFormat="1" ht="12.75" hidden="1" customHeight="1" x14ac:dyDescent="0.2">
      <c r="A236" s="233"/>
      <c r="B236" s="244" t="s">
        <v>235</v>
      </c>
      <c r="C236" s="245">
        <v>0</v>
      </c>
      <c r="D236" s="245">
        <v>0</v>
      </c>
      <c r="E236" s="121">
        <v>0</v>
      </c>
      <c r="F236" s="206">
        <v>0</v>
      </c>
      <c r="G236" s="122">
        <v>5992790.4299999997</v>
      </c>
      <c r="H236" s="96"/>
      <c r="N236" s="179"/>
    </row>
    <row r="237" spans="1:14" s="116" customFormat="1" ht="12.75" hidden="1" customHeight="1" x14ac:dyDescent="0.2">
      <c r="A237" s="233"/>
      <c r="B237" s="244" t="s">
        <v>236</v>
      </c>
      <c r="C237" s="245">
        <v>0</v>
      </c>
      <c r="D237" s="245">
        <v>0</v>
      </c>
      <c r="E237" s="121">
        <v>0</v>
      </c>
      <c r="F237" s="206">
        <v>0</v>
      </c>
      <c r="G237" s="122">
        <v>3605622.22</v>
      </c>
      <c r="H237" s="96"/>
      <c r="N237" s="179"/>
    </row>
    <row r="238" spans="1:14" s="116" customFormat="1" ht="12.75" hidden="1" customHeight="1" x14ac:dyDescent="0.2">
      <c r="A238" s="233"/>
      <c r="B238" s="230" t="s">
        <v>237</v>
      </c>
      <c r="C238" s="234">
        <v>0</v>
      </c>
      <c r="D238" s="234"/>
      <c r="E238" s="188"/>
      <c r="F238" s="206"/>
      <c r="G238" s="122"/>
      <c r="H238" s="96"/>
      <c r="N238" s="179"/>
    </row>
    <row r="239" spans="1:14" s="116" customFormat="1" ht="12.75" hidden="1" customHeight="1" x14ac:dyDescent="0.2">
      <c r="A239" s="233"/>
      <c r="B239" s="120" t="s">
        <v>238</v>
      </c>
      <c r="C239" s="234">
        <v>0</v>
      </c>
      <c r="D239" s="234">
        <v>192679.67</v>
      </c>
      <c r="E239" s="234">
        <v>192679.67</v>
      </c>
      <c r="F239" s="235">
        <v>192679.67</v>
      </c>
      <c r="G239" s="122"/>
      <c r="H239" s="96"/>
      <c r="N239" s="179"/>
    </row>
    <row r="240" spans="1:14" s="116" customFormat="1" ht="12.75" hidden="1" customHeight="1" x14ac:dyDescent="0.2">
      <c r="A240" s="233"/>
      <c r="B240" s="120" t="s">
        <v>239</v>
      </c>
      <c r="C240" s="234">
        <v>0</v>
      </c>
      <c r="D240" s="234">
        <v>6386647.3399999999</v>
      </c>
      <c r="E240" s="234">
        <v>6386647.3399999999</v>
      </c>
      <c r="F240" s="235">
        <v>6386647.3399999999</v>
      </c>
      <c r="G240" s="122"/>
      <c r="H240" s="96"/>
      <c r="N240" s="179"/>
    </row>
    <row r="241" spans="1:14" ht="12.75" hidden="1" customHeight="1" x14ac:dyDescent="0.2">
      <c r="A241" s="120"/>
      <c r="B241" s="120" t="s">
        <v>240</v>
      </c>
      <c r="C241" s="188">
        <v>0</v>
      </c>
      <c r="D241" s="188">
        <v>5887.5</v>
      </c>
      <c r="E241" s="188">
        <v>5887.5</v>
      </c>
      <c r="F241" s="206">
        <v>5887.5</v>
      </c>
      <c r="G241" s="122"/>
      <c r="H241" s="96"/>
      <c r="N241" s="179"/>
    </row>
    <row r="242" spans="1:14" ht="12.75" hidden="1" customHeight="1" x14ac:dyDescent="0.2">
      <c r="A242" s="120"/>
      <c r="B242" s="120" t="s">
        <v>241</v>
      </c>
      <c r="C242" s="188">
        <v>0</v>
      </c>
      <c r="D242" s="188">
        <v>100087.5</v>
      </c>
      <c r="E242" s="188">
        <v>100087.5</v>
      </c>
      <c r="F242" s="206">
        <v>100087.5</v>
      </c>
      <c r="G242" s="122"/>
      <c r="H242" s="96"/>
      <c r="N242" s="179"/>
    </row>
    <row r="243" spans="1:14" s="116" customFormat="1" ht="12.75" hidden="1" customHeight="1" x14ac:dyDescent="0.2">
      <c r="A243" s="212"/>
      <c r="B243" s="246" t="s">
        <v>242</v>
      </c>
      <c r="C243" s="247">
        <v>0</v>
      </c>
      <c r="D243" s="247">
        <v>0</v>
      </c>
      <c r="E243" s="247">
        <v>0</v>
      </c>
      <c r="F243" s="248">
        <v>0</v>
      </c>
      <c r="G243" s="208">
        <v>2000000</v>
      </c>
    </row>
    <row r="244" spans="1:14" ht="12.75" hidden="1" customHeight="1" x14ac:dyDescent="0.2">
      <c r="A244" s="120"/>
      <c r="B244" s="119" t="s">
        <v>243</v>
      </c>
      <c r="C244" s="188">
        <v>0</v>
      </c>
      <c r="D244" s="188">
        <v>25326779</v>
      </c>
      <c r="E244" s="188">
        <v>25326779</v>
      </c>
      <c r="F244" s="236">
        <v>25326779</v>
      </c>
      <c r="G244" s="122"/>
      <c r="H244" s="96"/>
      <c r="N244" s="179"/>
    </row>
    <row r="245" spans="1:14" ht="12.75" hidden="1" customHeight="1" x14ac:dyDescent="0.2">
      <c r="A245" s="120"/>
      <c r="B245" s="119" t="s">
        <v>244</v>
      </c>
      <c r="C245" s="188">
        <v>0</v>
      </c>
      <c r="D245" s="188">
        <v>48000</v>
      </c>
      <c r="E245" s="188">
        <v>48000</v>
      </c>
      <c r="F245" s="236">
        <v>48000</v>
      </c>
      <c r="G245" s="122"/>
      <c r="H245" s="96"/>
      <c r="N245" s="179"/>
    </row>
    <row r="246" spans="1:14" s="116" customFormat="1" ht="12.75" hidden="1" customHeight="1" x14ac:dyDescent="0.2">
      <c r="A246" s="165">
        <v>4222</v>
      </c>
      <c r="B246" s="211" t="s">
        <v>245</v>
      </c>
      <c r="C246" s="249">
        <f>SUM(C247:C250)</f>
        <v>3200000</v>
      </c>
      <c r="D246" s="249">
        <f>SUM(D247:D250)</f>
        <v>3614100</v>
      </c>
      <c r="E246" s="249">
        <f>SUM(E247:E250)</f>
        <v>414100</v>
      </c>
      <c r="F246" s="250">
        <f>SUM(F247:F250)</f>
        <v>297050</v>
      </c>
      <c r="G246" s="249">
        <f>SUM(G247:G250)</f>
        <v>9260000</v>
      </c>
      <c r="H246" s="118"/>
    </row>
    <row r="247" spans="1:14" s="2" customFormat="1" ht="12.75" hidden="1" customHeight="1" x14ac:dyDescent="0.2">
      <c r="A247" s="251"/>
      <c r="B247" s="252" t="s">
        <v>246</v>
      </c>
      <c r="C247" s="253">
        <v>3200000</v>
      </c>
      <c r="D247" s="253">
        <v>3200000</v>
      </c>
      <c r="E247" s="121"/>
      <c r="F247" s="206">
        <v>0</v>
      </c>
      <c r="G247" s="122">
        <v>3700000</v>
      </c>
      <c r="H247" s="118"/>
    </row>
    <row r="248" spans="1:14" s="116" customFormat="1" ht="12.75" hidden="1" customHeight="1" x14ac:dyDescent="0.2">
      <c r="A248" s="233"/>
      <c r="B248" s="230" t="s">
        <v>247</v>
      </c>
      <c r="C248" s="234">
        <v>0</v>
      </c>
      <c r="D248" s="234">
        <v>114100</v>
      </c>
      <c r="E248" s="188">
        <v>114100</v>
      </c>
      <c r="F248" s="206">
        <v>57050</v>
      </c>
      <c r="G248" s="122">
        <v>0</v>
      </c>
      <c r="H248" s="96"/>
      <c r="N248" s="179"/>
    </row>
    <row r="249" spans="1:14" s="116" customFormat="1" ht="12.75" hidden="1" customHeight="1" x14ac:dyDescent="0.2">
      <c r="A249" s="233"/>
      <c r="B249" s="230" t="s">
        <v>248</v>
      </c>
      <c r="C249" s="234">
        <v>0</v>
      </c>
      <c r="D249" s="234">
        <v>0</v>
      </c>
      <c r="E249" s="188">
        <v>0</v>
      </c>
      <c r="F249" s="206">
        <v>0</v>
      </c>
      <c r="G249" s="122">
        <v>5500000</v>
      </c>
      <c r="H249" s="96"/>
      <c r="N249" s="179"/>
    </row>
    <row r="250" spans="1:14" s="2" customFormat="1" ht="12.75" hidden="1" customHeight="1" x14ac:dyDescent="0.2">
      <c r="A250" s="251"/>
      <c r="B250" s="252" t="s">
        <v>249</v>
      </c>
      <c r="C250" s="253">
        <v>0</v>
      </c>
      <c r="D250" s="253">
        <v>300000</v>
      </c>
      <c r="E250" s="121">
        <v>300000</v>
      </c>
      <c r="F250" s="206">
        <v>240000</v>
      </c>
      <c r="G250" s="122">
        <v>60000</v>
      </c>
      <c r="H250" s="118"/>
    </row>
    <row r="251" spans="1:14" s="116" customFormat="1" ht="12.75" hidden="1" customHeight="1" x14ac:dyDescent="0.2">
      <c r="A251" s="254"/>
      <c r="B251" s="255"/>
      <c r="C251" s="256"/>
      <c r="D251" s="256"/>
      <c r="E251" s="257"/>
      <c r="F251" s="258"/>
      <c r="G251" s="257"/>
      <c r="H251" s="118"/>
    </row>
    <row r="252" spans="1:14" s="116" customFormat="1" ht="20.25" hidden="1" x14ac:dyDescent="0.3">
      <c r="A252" s="259"/>
      <c r="B252" s="94" t="s">
        <v>13</v>
      </c>
      <c r="C252" s="260">
        <f>SUM(C53+C87+C177+C198)</f>
        <v>684758000.00349998</v>
      </c>
      <c r="D252" s="260">
        <f>SUM(D53+D87+D177+D198)</f>
        <v>631052499.44350004</v>
      </c>
      <c r="E252" s="260">
        <f>SUM(E53+E87+E177+E198)</f>
        <v>646319550.84350002</v>
      </c>
      <c r="F252" s="260">
        <f>SUM(F53+F87+F177+F198)</f>
        <v>478397673.65999997</v>
      </c>
      <c r="G252" s="260">
        <f>SUM(G53+G87+G177+G198)</f>
        <v>705456679.22349989</v>
      </c>
      <c r="H252" s="118"/>
    </row>
    <row r="253" spans="1:14" s="116" customFormat="1" ht="12.75" hidden="1" customHeight="1" x14ac:dyDescent="0.25">
      <c r="A253" s="261"/>
      <c r="B253" s="262"/>
      <c r="C253" s="217"/>
      <c r="D253" s="217"/>
      <c r="E253" s="263"/>
      <c r="F253" s="264"/>
      <c r="G253" s="265"/>
      <c r="H253" s="118"/>
    </row>
    <row r="254" spans="1:14" s="116" customFormat="1" ht="15.75" hidden="1" x14ac:dyDescent="0.25">
      <c r="A254" s="195"/>
      <c r="B254" s="196" t="s">
        <v>14</v>
      </c>
      <c r="C254" s="266">
        <f>SUM(C255:C259)</f>
        <v>185331265.00000003</v>
      </c>
      <c r="D254" s="266">
        <f>SUM(D255:D259)</f>
        <v>169553420.91000003</v>
      </c>
      <c r="E254" s="266">
        <f>SUM(E255:E259)</f>
        <v>126483312.56</v>
      </c>
      <c r="F254" s="266">
        <f>SUM(F255:F259)</f>
        <v>-56083079.149999999</v>
      </c>
      <c r="G254" s="266">
        <f>SUM(G255:G259)</f>
        <v>180864066.03</v>
      </c>
      <c r="H254" s="118"/>
    </row>
    <row r="255" spans="1:14" ht="24.75" hidden="1" x14ac:dyDescent="0.2">
      <c r="A255" s="158">
        <v>8115</v>
      </c>
      <c r="B255" s="267" t="s">
        <v>250</v>
      </c>
      <c r="C255" s="268">
        <f>65936477.92+70000000</f>
        <v>135936477.92000002</v>
      </c>
      <c r="D255" s="268">
        <f>(65936477.92+70000000)-15777844.09</f>
        <v>120158633.83000001</v>
      </c>
      <c r="E255" s="111">
        <v>79088525.480000004</v>
      </c>
      <c r="F255" s="111">
        <v>-104450283.08</v>
      </c>
      <c r="G255" s="111">
        <f>34176081.95-197003+150200-1160000</f>
        <v>32969278.950000003</v>
      </c>
      <c r="H255" s="118"/>
    </row>
    <row r="256" spans="1:14" hidden="1" x14ac:dyDescent="0.2">
      <c r="A256" s="269">
        <v>8117</v>
      </c>
      <c r="B256" s="270" t="s">
        <v>251</v>
      </c>
      <c r="C256" s="271">
        <v>50000000</v>
      </c>
      <c r="D256" s="271">
        <v>50000000</v>
      </c>
      <c r="E256" s="271">
        <v>0</v>
      </c>
      <c r="F256" s="271">
        <v>50000000</v>
      </c>
      <c r="G256" s="111">
        <v>0</v>
      </c>
      <c r="H256" s="118"/>
    </row>
    <row r="257" spans="1:8" ht="24.75" hidden="1" x14ac:dyDescent="0.2">
      <c r="A257" s="269">
        <v>8123</v>
      </c>
      <c r="B257" s="270" t="s">
        <v>252</v>
      </c>
      <c r="C257" s="271">
        <v>0</v>
      </c>
      <c r="D257" s="271">
        <v>0</v>
      </c>
      <c r="E257" s="271">
        <v>0</v>
      </c>
      <c r="F257" s="271">
        <v>0</v>
      </c>
      <c r="G257" s="111">
        <v>100000000</v>
      </c>
      <c r="H257" s="118"/>
    </row>
    <row r="258" spans="1:8" ht="12.75" hidden="1" customHeight="1" x14ac:dyDescent="0.2">
      <c r="A258" s="269">
        <v>8125</v>
      </c>
      <c r="B258" s="270" t="s">
        <v>253</v>
      </c>
      <c r="C258" s="271">
        <v>0</v>
      </c>
      <c r="D258" s="271">
        <v>0</v>
      </c>
      <c r="E258" s="271">
        <v>50000000</v>
      </c>
      <c r="F258" s="271">
        <v>0</v>
      </c>
      <c r="G258" s="111">
        <v>50000000</v>
      </c>
      <c r="H258" s="118"/>
    </row>
    <row r="259" spans="1:8" s="274" customFormat="1" ht="12.75" hidden="1" customHeight="1" x14ac:dyDescent="0.4">
      <c r="A259" s="272">
        <v>8901</v>
      </c>
      <c r="B259" s="273" t="s">
        <v>254</v>
      </c>
      <c r="C259" s="166">
        <f>SUM(C260:C261)</f>
        <v>-605212.92000000004</v>
      </c>
      <c r="D259" s="166">
        <f>SUM(D260:D261)</f>
        <v>-605212.92000000004</v>
      </c>
      <c r="E259" s="166">
        <f>SUM(E260:E261)</f>
        <v>-2605212.92</v>
      </c>
      <c r="F259" s="166">
        <f>SUM(F260:F261)</f>
        <v>-1632796.07</v>
      </c>
      <c r="G259" s="166">
        <f>SUM(G260:G261)</f>
        <v>-2105212.92</v>
      </c>
      <c r="H259" s="118"/>
    </row>
    <row r="260" spans="1:8" s="276" customFormat="1" ht="12.75" hidden="1" customHeight="1" x14ac:dyDescent="0.35">
      <c r="A260" s="130"/>
      <c r="B260" s="275" t="s">
        <v>255</v>
      </c>
      <c r="C260" s="132">
        <v>-605212.92000000004</v>
      </c>
      <c r="D260" s="132">
        <v>-605212.92000000004</v>
      </c>
      <c r="E260" s="132">
        <v>-605212.92000000004</v>
      </c>
      <c r="F260" s="121">
        <v>-302606.46000000002</v>
      </c>
      <c r="G260" s="132">
        <v>-605212.92000000004</v>
      </c>
      <c r="H260" s="118"/>
    </row>
    <row r="261" spans="1:8" ht="12.75" hidden="1" customHeight="1" x14ac:dyDescent="0.2">
      <c r="A261" s="142"/>
      <c r="B261" s="142" t="s">
        <v>256</v>
      </c>
      <c r="C261" s="208">
        <v>0</v>
      </c>
      <c r="D261" s="208">
        <v>0</v>
      </c>
      <c r="E261" s="132">
        <v>-2000000</v>
      </c>
      <c r="F261" s="132">
        <f>-1632796.07+302606.46</f>
        <v>-1330189.6100000001</v>
      </c>
      <c r="G261" s="122">
        <v>-1500000</v>
      </c>
      <c r="H261" s="118"/>
    </row>
    <row r="262" spans="1:8" ht="12.75" hidden="1" customHeight="1" x14ac:dyDescent="0.2">
      <c r="A262" s="277"/>
      <c r="B262" s="277"/>
      <c r="C262" s="278"/>
      <c r="D262" s="278"/>
      <c r="E262" s="279"/>
      <c r="F262" s="279"/>
      <c r="G262" s="280"/>
      <c r="H262" s="118"/>
    </row>
    <row r="263" spans="1:8" s="283" customFormat="1" ht="24" hidden="1" customHeight="1" x14ac:dyDescent="0.4">
      <c r="A263" s="281"/>
      <c r="B263" s="35" t="s">
        <v>15</v>
      </c>
      <c r="C263" s="282">
        <f>SUM(C252+C254)</f>
        <v>870089265.00349998</v>
      </c>
      <c r="D263" s="282">
        <f>SUM(D252+D254)</f>
        <v>800605920.35350013</v>
      </c>
      <c r="E263" s="282">
        <f>SUM(E252+E254)</f>
        <v>772802863.40350008</v>
      </c>
      <c r="F263" s="282">
        <f>SUM(F252+F254)</f>
        <v>422314594.50999999</v>
      </c>
      <c r="G263" s="282">
        <f>SUM(G252+G254)</f>
        <v>886320745.25349987</v>
      </c>
      <c r="H263" s="118"/>
    </row>
    <row r="264" spans="1:8" s="289" customFormat="1" ht="26.25" hidden="1" x14ac:dyDescent="0.4">
      <c r="A264" s="284"/>
      <c r="B264" s="285"/>
      <c r="C264" s="286"/>
      <c r="D264" s="286"/>
      <c r="E264" s="287"/>
      <c r="F264" s="287"/>
      <c r="G264" s="288"/>
      <c r="H264" s="118"/>
    </row>
    <row r="265" spans="1:8" s="116" customFormat="1" ht="20.25" hidden="1" x14ac:dyDescent="0.3">
      <c r="A265" s="290"/>
      <c r="B265" s="94" t="s">
        <v>257</v>
      </c>
      <c r="C265" s="94"/>
      <c r="D265" s="94"/>
      <c r="E265" s="264"/>
      <c r="F265" s="264"/>
      <c r="G265" s="265"/>
      <c r="H265" s="118"/>
    </row>
    <row r="266" spans="1:8" ht="20.25" hidden="1" x14ac:dyDescent="0.3">
      <c r="A266" s="291"/>
      <c r="B266" s="94" t="s">
        <v>258</v>
      </c>
      <c r="C266" s="292">
        <f>C267+C280+C301+C315</f>
        <v>52448677</v>
      </c>
      <c r="D266" s="292">
        <f>D267+D280+D301+D315</f>
        <v>50917338</v>
      </c>
      <c r="E266" s="292">
        <f>E267+E280+E301+E315</f>
        <v>47778764.609999999</v>
      </c>
      <c r="F266" s="292">
        <f>F267+F280+F301+F315</f>
        <v>26310888.520000003</v>
      </c>
      <c r="G266" s="292">
        <f>G267+G280+G301+G315</f>
        <v>47057788.329999998</v>
      </c>
      <c r="H266" s="118"/>
    </row>
    <row r="267" spans="1:8" ht="15.75" hidden="1" x14ac:dyDescent="0.2">
      <c r="A267" s="293"/>
      <c r="B267" s="293" t="s">
        <v>259</v>
      </c>
      <c r="C267" s="294">
        <f>SUM(C268+C272+C277)</f>
        <v>1895000</v>
      </c>
      <c r="D267" s="294">
        <f>SUM(D268+D272+D277)</f>
        <v>1895000</v>
      </c>
      <c r="E267" s="294">
        <f>SUM(E268+E272+E277)</f>
        <v>1895000</v>
      </c>
      <c r="F267" s="294">
        <f>SUM(F268+F272+F277)</f>
        <v>440288.54000000004</v>
      </c>
      <c r="G267" s="294">
        <f>SUM(G268+G272+G277)</f>
        <v>1985000</v>
      </c>
      <c r="H267" s="118"/>
    </row>
    <row r="268" spans="1:8" hidden="1" x14ac:dyDescent="0.2">
      <c r="A268" s="295">
        <v>2310</v>
      </c>
      <c r="B268" s="295" t="s">
        <v>260</v>
      </c>
      <c r="C268" s="296">
        <f>SUM(C269:C271)</f>
        <v>495000</v>
      </c>
      <c r="D268" s="296">
        <f>SUM(D269:D271)</f>
        <v>495000</v>
      </c>
      <c r="E268" s="296">
        <f>SUM(E269:E271)</f>
        <v>495000</v>
      </c>
      <c r="F268" s="296">
        <f>SUM(F269:F271)</f>
        <v>71678</v>
      </c>
      <c r="G268" s="160">
        <f>SUM(G269:G271)</f>
        <v>265000</v>
      </c>
      <c r="H268" s="118"/>
    </row>
    <row r="269" spans="1:8" hidden="1" x14ac:dyDescent="0.2">
      <c r="A269" s="297" t="s">
        <v>261</v>
      </c>
      <c r="B269" s="143" t="s">
        <v>262</v>
      </c>
      <c r="C269" s="132">
        <v>15000</v>
      </c>
      <c r="D269" s="132">
        <v>15000</v>
      </c>
      <c r="E269" s="121">
        <v>15000</v>
      </c>
      <c r="F269" s="121">
        <v>0</v>
      </c>
      <c r="G269" s="122">
        <v>15000</v>
      </c>
      <c r="H269" s="118"/>
    </row>
    <row r="270" spans="1:8" hidden="1" x14ac:dyDescent="0.2">
      <c r="A270" s="297" t="s">
        <v>263</v>
      </c>
      <c r="B270" s="143" t="s">
        <v>264</v>
      </c>
      <c r="C270" s="298">
        <f>350000+30000</f>
        <v>380000</v>
      </c>
      <c r="D270" s="298">
        <v>380000</v>
      </c>
      <c r="E270" s="121">
        <v>380000</v>
      </c>
      <c r="F270" s="121">
        <v>0</v>
      </c>
      <c r="G270" s="122">
        <v>150000</v>
      </c>
      <c r="H270" s="118"/>
    </row>
    <row r="271" spans="1:8" hidden="1" x14ac:dyDescent="0.2">
      <c r="A271" s="297" t="s">
        <v>265</v>
      </c>
      <c r="B271" s="143" t="s">
        <v>266</v>
      </c>
      <c r="C271" s="132">
        <v>100000</v>
      </c>
      <c r="D271" s="132">
        <v>100000</v>
      </c>
      <c r="E271" s="122">
        <v>100000</v>
      </c>
      <c r="F271" s="122">
        <v>71678</v>
      </c>
      <c r="G271" s="122">
        <v>100000</v>
      </c>
      <c r="H271" s="96"/>
    </row>
    <row r="272" spans="1:8" hidden="1" x14ac:dyDescent="0.2">
      <c r="A272" s="165">
        <v>2321</v>
      </c>
      <c r="B272" s="165" t="s">
        <v>267</v>
      </c>
      <c r="C272" s="166">
        <f>SUM(C273+C274+C275+C276)</f>
        <v>1400000</v>
      </c>
      <c r="D272" s="166">
        <f>SUM(D273:D276)</f>
        <v>1400000</v>
      </c>
      <c r="E272" s="166">
        <f>SUM(E273:E276)</f>
        <v>1400000</v>
      </c>
      <c r="F272" s="166">
        <f>SUM(F273:F276)</f>
        <v>368610.54000000004</v>
      </c>
      <c r="G272" s="166">
        <f>SUM(G273:G276)</f>
        <v>1470000</v>
      </c>
      <c r="H272" s="118"/>
    </row>
    <row r="273" spans="1:8" hidden="1" x14ac:dyDescent="0.2">
      <c r="A273" s="297" t="s">
        <v>268</v>
      </c>
      <c r="B273" s="143" t="s">
        <v>269</v>
      </c>
      <c r="C273" s="132">
        <v>170000</v>
      </c>
      <c r="D273" s="132">
        <v>170000</v>
      </c>
      <c r="E273" s="121">
        <v>170000</v>
      </c>
      <c r="F273" s="121">
        <v>89294.34</v>
      </c>
      <c r="G273" s="122">
        <v>170000</v>
      </c>
      <c r="H273" s="96"/>
    </row>
    <row r="274" spans="1:8" hidden="1" x14ac:dyDescent="0.2">
      <c r="A274" s="297" t="s">
        <v>270</v>
      </c>
      <c r="B274" s="143" t="s">
        <v>271</v>
      </c>
      <c r="C274" s="132">
        <f>330000+100000</f>
        <v>430000</v>
      </c>
      <c r="D274" s="132">
        <v>730000</v>
      </c>
      <c r="E274" s="132">
        <v>730000</v>
      </c>
      <c r="F274" s="132">
        <v>188262.2</v>
      </c>
      <c r="G274" s="122">
        <v>500000</v>
      </c>
      <c r="H274" s="96"/>
    </row>
    <row r="275" spans="1:8" hidden="1" x14ac:dyDescent="0.2">
      <c r="A275" s="297" t="s">
        <v>272</v>
      </c>
      <c r="B275" s="143" t="s">
        <v>273</v>
      </c>
      <c r="C275" s="132">
        <v>500000</v>
      </c>
      <c r="D275" s="132">
        <v>200000</v>
      </c>
      <c r="E275" s="132">
        <v>200000</v>
      </c>
      <c r="F275" s="132">
        <v>91054</v>
      </c>
      <c r="G275" s="122">
        <v>500000</v>
      </c>
      <c r="H275" s="96"/>
    </row>
    <row r="276" spans="1:8" s="2" customFormat="1" ht="24.75" hidden="1" x14ac:dyDescent="0.2">
      <c r="A276" s="297" t="s">
        <v>272</v>
      </c>
      <c r="B276" s="131" t="s">
        <v>274</v>
      </c>
      <c r="C276" s="132">
        <v>300000</v>
      </c>
      <c r="D276" s="132">
        <v>300000</v>
      </c>
      <c r="E276" s="127">
        <v>300000</v>
      </c>
      <c r="F276" s="127">
        <v>0</v>
      </c>
      <c r="G276" s="122">
        <v>300000</v>
      </c>
      <c r="H276" s="118"/>
    </row>
    <row r="277" spans="1:8" hidden="1" x14ac:dyDescent="0.2">
      <c r="A277" s="165">
        <v>2333</v>
      </c>
      <c r="B277" s="165" t="s">
        <v>275</v>
      </c>
      <c r="C277" s="166">
        <f>SUM(C278:C279)</f>
        <v>0</v>
      </c>
      <c r="D277" s="166">
        <f>SUM(D278:D279)</f>
        <v>0</v>
      </c>
      <c r="E277" s="166">
        <f>SUM(E278:E279)</f>
        <v>0</v>
      </c>
      <c r="F277" s="166">
        <f>SUM(F278:F279)</f>
        <v>0</v>
      </c>
      <c r="G277" s="166">
        <f>SUM(G278:G279)</f>
        <v>250000</v>
      </c>
      <c r="H277" s="118"/>
    </row>
    <row r="278" spans="1:8" hidden="1" x14ac:dyDescent="0.2">
      <c r="A278" s="297" t="s">
        <v>276</v>
      </c>
      <c r="B278" s="143" t="s">
        <v>277</v>
      </c>
      <c r="C278" s="132">
        <v>0</v>
      </c>
      <c r="D278" s="132">
        <v>0</v>
      </c>
      <c r="E278" s="121">
        <v>0</v>
      </c>
      <c r="F278" s="121">
        <v>0</v>
      </c>
      <c r="G278" s="122">
        <v>100000</v>
      </c>
      <c r="H278" s="96"/>
    </row>
    <row r="279" spans="1:8" hidden="1" x14ac:dyDescent="0.2">
      <c r="A279" s="297" t="s">
        <v>278</v>
      </c>
      <c r="B279" s="143" t="s">
        <v>273</v>
      </c>
      <c r="C279" s="132">
        <v>0</v>
      </c>
      <c r="D279" s="132">
        <v>0</v>
      </c>
      <c r="E279" s="132">
        <v>0</v>
      </c>
      <c r="F279" s="132">
        <v>0</v>
      </c>
      <c r="G279" s="122">
        <v>150000</v>
      </c>
      <c r="H279" s="96"/>
    </row>
    <row r="280" spans="1:8" s="116" customFormat="1" ht="15.75" hidden="1" x14ac:dyDescent="0.25">
      <c r="A280" s="196"/>
      <c r="B280" s="196" t="s">
        <v>279</v>
      </c>
      <c r="C280" s="299">
        <f>SUM(C281+C293+C298)</f>
        <v>28251000</v>
      </c>
      <c r="D280" s="299">
        <f>SUM(D281+D293+D298)</f>
        <v>26869575</v>
      </c>
      <c r="E280" s="299">
        <f>SUM(E281+E293+E298)</f>
        <v>24033615</v>
      </c>
      <c r="F280" s="299">
        <f>SUM(F281+F293+F298)</f>
        <v>14287648.27</v>
      </c>
      <c r="G280" s="299">
        <f>SUM(G281+G293+G298)</f>
        <v>27050000</v>
      </c>
      <c r="H280" s="96"/>
    </row>
    <row r="281" spans="1:8" s="116" customFormat="1" hidden="1" x14ac:dyDescent="0.2">
      <c r="A281" s="300">
        <v>2212</v>
      </c>
      <c r="B281" s="301" t="s">
        <v>280</v>
      </c>
      <c r="C281" s="160">
        <f>SUM(C282,C286:C292)</f>
        <v>27881000</v>
      </c>
      <c r="D281" s="160">
        <f>SUM(D282,D286:D292)</f>
        <v>26496875</v>
      </c>
      <c r="E281" s="160">
        <f>SUM(E282,E286:E292)</f>
        <v>23660915</v>
      </c>
      <c r="F281" s="160">
        <f>SUM(F282,F286:F292)</f>
        <v>14197571.84</v>
      </c>
      <c r="G281" s="160">
        <f>SUM(G282,G286:G292)</f>
        <v>26600000</v>
      </c>
      <c r="H281" s="96"/>
    </row>
    <row r="282" spans="1:8" s="2" customFormat="1" hidden="1" x14ac:dyDescent="0.2">
      <c r="A282" s="182"/>
      <c r="B282" s="302" t="s">
        <v>281</v>
      </c>
      <c r="C282" s="132">
        <f>SUM(C283:C285)</f>
        <v>5025000</v>
      </c>
      <c r="D282" s="132">
        <f>SUM(D283:D285)</f>
        <v>5025000</v>
      </c>
      <c r="E282" s="132">
        <v>2200000</v>
      </c>
      <c r="F282" s="132">
        <f>SUM(F283:F285)</f>
        <v>0</v>
      </c>
      <c r="G282" s="132">
        <f>SUM(G283:G285)</f>
        <v>2400000</v>
      </c>
      <c r="H282" s="96"/>
    </row>
    <row r="283" spans="1:8" s="116" customFormat="1" hidden="1" x14ac:dyDescent="0.2">
      <c r="A283" s="297" t="s">
        <v>282</v>
      </c>
      <c r="B283" s="303" t="s">
        <v>283</v>
      </c>
      <c r="C283" s="132">
        <v>2500000</v>
      </c>
      <c r="D283" s="132">
        <v>2500000</v>
      </c>
      <c r="E283" s="188">
        <v>0</v>
      </c>
      <c r="F283" s="121">
        <v>0</v>
      </c>
      <c r="G283" s="122">
        <v>2200000</v>
      </c>
      <c r="H283" s="96"/>
    </row>
    <row r="284" spans="1:8" s="116" customFormat="1" hidden="1" x14ac:dyDescent="0.2">
      <c r="A284" s="297" t="s">
        <v>282</v>
      </c>
      <c r="B284" s="303" t="s">
        <v>284</v>
      </c>
      <c r="C284" s="132">
        <v>2525000</v>
      </c>
      <c r="D284" s="132">
        <v>2525000</v>
      </c>
      <c r="E284" s="188">
        <v>2525000</v>
      </c>
      <c r="F284" s="121">
        <v>0</v>
      </c>
      <c r="G284" s="122">
        <v>0</v>
      </c>
      <c r="H284" s="96"/>
    </row>
    <row r="285" spans="1:8" s="116" customFormat="1" hidden="1" x14ac:dyDescent="0.2">
      <c r="A285" s="297" t="s">
        <v>282</v>
      </c>
      <c r="B285" s="303" t="s">
        <v>285</v>
      </c>
      <c r="C285" s="134">
        <v>0</v>
      </c>
      <c r="D285" s="134">
        <v>0</v>
      </c>
      <c r="E285" s="188">
        <v>0</v>
      </c>
      <c r="F285" s="121">
        <v>0</v>
      </c>
      <c r="G285" s="122">
        <v>200000</v>
      </c>
      <c r="H285" s="96"/>
    </row>
    <row r="286" spans="1:8" s="116" customFormat="1" hidden="1" x14ac:dyDescent="0.2">
      <c r="A286" s="297" t="s">
        <v>286</v>
      </c>
      <c r="B286" s="142" t="s">
        <v>287</v>
      </c>
      <c r="C286" s="134">
        <v>2700000</v>
      </c>
      <c r="D286" s="134">
        <v>2711375</v>
      </c>
      <c r="E286" s="188">
        <v>2711375</v>
      </c>
      <c r="F286" s="121">
        <v>2036375</v>
      </c>
      <c r="G286" s="122">
        <v>3500000</v>
      </c>
      <c r="H286" s="96"/>
    </row>
    <row r="287" spans="1:8" s="116" customFormat="1" hidden="1" x14ac:dyDescent="0.2">
      <c r="A287" s="297" t="s">
        <v>286</v>
      </c>
      <c r="B287" s="142" t="s">
        <v>288</v>
      </c>
      <c r="C287" s="231">
        <v>17616000</v>
      </c>
      <c r="D287" s="231">
        <v>17720500</v>
      </c>
      <c r="E287" s="188">
        <v>17720500</v>
      </c>
      <c r="F287" s="121">
        <v>11848500</v>
      </c>
      <c r="G287" s="122">
        <v>18200000</v>
      </c>
      <c r="H287" s="96"/>
    </row>
    <row r="288" spans="1:8" s="116" customFormat="1" hidden="1" x14ac:dyDescent="0.2">
      <c r="A288" s="297" t="s">
        <v>289</v>
      </c>
      <c r="B288" s="142" t="s">
        <v>290</v>
      </c>
      <c r="C288" s="231">
        <v>0</v>
      </c>
      <c r="D288" s="231">
        <v>29040</v>
      </c>
      <c r="E288" s="188">
        <v>29040</v>
      </c>
      <c r="F288" s="121">
        <v>29040</v>
      </c>
      <c r="G288" s="122">
        <v>0</v>
      </c>
      <c r="H288" s="96"/>
    </row>
    <row r="289" spans="1:8" s="116" customFormat="1" hidden="1" x14ac:dyDescent="0.2">
      <c r="A289" s="297" t="s">
        <v>291</v>
      </c>
      <c r="B289" s="142" t="s">
        <v>292</v>
      </c>
      <c r="C289" s="132">
        <v>500000</v>
      </c>
      <c r="D289" s="132">
        <v>500000</v>
      </c>
      <c r="E289" s="208">
        <v>500000</v>
      </c>
      <c r="F289" s="132">
        <v>188197.84</v>
      </c>
      <c r="G289" s="122">
        <v>500000</v>
      </c>
      <c r="H289" s="96"/>
    </row>
    <row r="290" spans="1:8" s="116" customFormat="1" hidden="1" x14ac:dyDescent="0.2">
      <c r="A290" s="297" t="s">
        <v>293</v>
      </c>
      <c r="B290" s="142" t="s">
        <v>294</v>
      </c>
      <c r="C290" s="132">
        <v>500000</v>
      </c>
      <c r="D290" s="132">
        <v>470960</v>
      </c>
      <c r="E290" s="208">
        <v>500000</v>
      </c>
      <c r="F290" s="132">
        <v>95459</v>
      </c>
      <c r="G290" s="122">
        <v>500000</v>
      </c>
      <c r="H290" s="96"/>
    </row>
    <row r="291" spans="1:8" s="116" customFormat="1" hidden="1" x14ac:dyDescent="0.2">
      <c r="A291" s="297" t="s">
        <v>293</v>
      </c>
      <c r="B291" s="142" t="s">
        <v>295</v>
      </c>
      <c r="C291" s="132">
        <v>1500000</v>
      </c>
      <c r="D291" s="132">
        <v>0</v>
      </c>
      <c r="E291" s="208">
        <v>0</v>
      </c>
      <c r="F291" s="132">
        <v>0</v>
      </c>
      <c r="G291" s="122">
        <v>1500000</v>
      </c>
      <c r="H291" s="96"/>
    </row>
    <row r="292" spans="1:8" s="116" customFormat="1" hidden="1" x14ac:dyDescent="0.2">
      <c r="A292" s="297" t="s">
        <v>296</v>
      </c>
      <c r="B292" s="142" t="s">
        <v>297</v>
      </c>
      <c r="C292" s="132">
        <v>40000</v>
      </c>
      <c r="D292" s="132">
        <v>40000</v>
      </c>
      <c r="E292" s="208">
        <v>0</v>
      </c>
      <c r="F292" s="132">
        <v>0</v>
      </c>
      <c r="G292" s="122">
        <v>0</v>
      </c>
      <c r="H292" s="96"/>
    </row>
    <row r="293" spans="1:8" s="116" customFormat="1" hidden="1" x14ac:dyDescent="0.2">
      <c r="A293" s="165">
        <v>2219</v>
      </c>
      <c r="B293" s="304" t="s">
        <v>298</v>
      </c>
      <c r="C293" s="166">
        <f>SUM(C294:C297)</f>
        <v>220000</v>
      </c>
      <c r="D293" s="166">
        <f>SUM(D294:D297)</f>
        <v>222700</v>
      </c>
      <c r="E293" s="166">
        <f>SUM(E294:E297)</f>
        <v>222700</v>
      </c>
      <c r="F293" s="166">
        <f>SUM(F294:F297)</f>
        <v>66091.81</v>
      </c>
      <c r="G293" s="166">
        <f>SUM(G294:G297)</f>
        <v>300000</v>
      </c>
      <c r="H293" s="96"/>
    </row>
    <row r="294" spans="1:8" s="116" customFormat="1" hidden="1" x14ac:dyDescent="0.2">
      <c r="A294" s="297" t="s">
        <v>299</v>
      </c>
      <c r="B294" s="142" t="s">
        <v>300</v>
      </c>
      <c r="C294" s="132">
        <v>0</v>
      </c>
      <c r="D294" s="132">
        <v>0</v>
      </c>
      <c r="E294" s="188">
        <v>0</v>
      </c>
      <c r="F294" s="121">
        <v>0</v>
      </c>
      <c r="G294" s="122">
        <v>100000</v>
      </c>
      <c r="H294" s="96"/>
    </row>
    <row r="295" spans="1:8" s="116" customFormat="1" hidden="1" x14ac:dyDescent="0.2">
      <c r="A295" s="297" t="s">
        <v>301</v>
      </c>
      <c r="B295" s="142" t="s">
        <v>302</v>
      </c>
      <c r="C295" s="134">
        <v>200000</v>
      </c>
      <c r="D295" s="134">
        <v>200000</v>
      </c>
      <c r="E295" s="188">
        <v>200000</v>
      </c>
      <c r="F295" s="121">
        <v>63391.81</v>
      </c>
      <c r="G295" s="122">
        <v>200000</v>
      </c>
      <c r="H295" s="96"/>
    </row>
    <row r="296" spans="1:8" s="116" customFormat="1" hidden="1" x14ac:dyDescent="0.2">
      <c r="A296" s="297" t="s">
        <v>303</v>
      </c>
      <c r="B296" s="142" t="s">
        <v>304</v>
      </c>
      <c r="C296" s="134">
        <v>20000</v>
      </c>
      <c r="D296" s="134">
        <v>20000</v>
      </c>
      <c r="E296" s="188">
        <v>20000</v>
      </c>
      <c r="F296" s="121">
        <v>0</v>
      </c>
      <c r="G296" s="122">
        <v>0</v>
      </c>
      <c r="H296" s="96"/>
    </row>
    <row r="297" spans="1:8" s="116" customFormat="1" hidden="1" x14ac:dyDescent="0.2">
      <c r="A297" s="297" t="s">
        <v>305</v>
      </c>
      <c r="B297" s="142" t="s">
        <v>306</v>
      </c>
      <c r="C297" s="134">
        <v>0</v>
      </c>
      <c r="D297" s="134">
        <v>2700</v>
      </c>
      <c r="E297" s="188">
        <v>2700</v>
      </c>
      <c r="F297" s="121">
        <v>2700</v>
      </c>
      <c r="G297" s="122">
        <v>0</v>
      </c>
      <c r="H297" s="96"/>
    </row>
    <row r="298" spans="1:8" hidden="1" x14ac:dyDescent="0.2">
      <c r="A298" s="165">
        <v>2221</v>
      </c>
      <c r="B298" s="161" t="s">
        <v>307</v>
      </c>
      <c r="C298" s="226">
        <f>SUM(C299:C300)</f>
        <v>150000</v>
      </c>
      <c r="D298" s="226">
        <f>SUM(D299:D300)</f>
        <v>150000</v>
      </c>
      <c r="E298" s="226">
        <f>SUM(E299:E300)</f>
        <v>150000</v>
      </c>
      <c r="F298" s="226">
        <f>SUM(F299:F300)</f>
        <v>23984.62</v>
      </c>
      <c r="G298" s="226">
        <f>SUM(G299:G300)</f>
        <v>150000</v>
      </c>
      <c r="H298" s="96"/>
    </row>
    <row r="299" spans="1:8" hidden="1" x14ac:dyDescent="0.2">
      <c r="A299" s="305" t="s">
        <v>308</v>
      </c>
      <c r="B299" s="130" t="s">
        <v>309</v>
      </c>
      <c r="C299" s="132">
        <v>60000</v>
      </c>
      <c r="D299" s="132">
        <v>60000</v>
      </c>
      <c r="E299" s="132">
        <v>60000</v>
      </c>
      <c r="F299" s="121">
        <v>0</v>
      </c>
      <c r="G299" s="122">
        <v>60000</v>
      </c>
      <c r="H299" s="96"/>
    </row>
    <row r="300" spans="1:8" hidden="1" x14ac:dyDescent="0.2">
      <c r="A300" s="306" t="s">
        <v>310</v>
      </c>
      <c r="B300" s="307" t="s">
        <v>311</v>
      </c>
      <c r="C300" s="308">
        <v>90000</v>
      </c>
      <c r="D300" s="308">
        <v>90000</v>
      </c>
      <c r="E300" s="308">
        <v>90000</v>
      </c>
      <c r="F300" s="309">
        <v>23984.62</v>
      </c>
      <c r="G300" s="122">
        <v>90000</v>
      </c>
      <c r="H300" s="118"/>
    </row>
    <row r="301" spans="1:8" ht="15.75" hidden="1" x14ac:dyDescent="0.25">
      <c r="A301" s="196"/>
      <c r="B301" s="196" t="s">
        <v>312</v>
      </c>
      <c r="C301" s="197">
        <f>C302</f>
        <v>6934000</v>
      </c>
      <c r="D301" s="197">
        <f>D302</f>
        <v>6934000</v>
      </c>
      <c r="E301" s="197">
        <f>E302</f>
        <v>6639123.5999999996</v>
      </c>
      <c r="F301" s="197">
        <f>F302</f>
        <v>3111784.6</v>
      </c>
      <c r="G301" s="197">
        <f>G302</f>
        <v>2334000</v>
      </c>
      <c r="H301" s="92"/>
    </row>
    <row r="302" spans="1:8" hidden="1" x14ac:dyDescent="0.2">
      <c r="A302" s="295">
        <v>3639</v>
      </c>
      <c r="B302" s="295" t="s">
        <v>313</v>
      </c>
      <c r="C302" s="160">
        <f>SUM(C303:C314)</f>
        <v>6934000</v>
      </c>
      <c r="D302" s="160">
        <f>SUM(D303:D314)</f>
        <v>6934000</v>
      </c>
      <c r="E302" s="160">
        <f>SUM(E303:E314)</f>
        <v>6639123.5999999996</v>
      </c>
      <c r="F302" s="160">
        <f>SUM(F303:F314)</f>
        <v>3111784.6</v>
      </c>
      <c r="G302" s="160">
        <f>SUM(G303:G314)</f>
        <v>2334000</v>
      </c>
      <c r="H302" s="96"/>
    </row>
    <row r="303" spans="1:8" hidden="1" x14ac:dyDescent="0.2">
      <c r="A303" s="305" t="s">
        <v>314</v>
      </c>
      <c r="B303" s="182" t="s">
        <v>315</v>
      </c>
      <c r="C303" s="132">
        <v>6200000</v>
      </c>
      <c r="D303" s="132">
        <v>6200000</v>
      </c>
      <c r="E303" s="188">
        <v>5700000</v>
      </c>
      <c r="F303" s="121">
        <v>2900000</v>
      </c>
      <c r="G303" s="310">
        <v>1600000</v>
      </c>
      <c r="H303" s="96"/>
    </row>
    <row r="304" spans="1:8" hidden="1" x14ac:dyDescent="0.2">
      <c r="A304" s="305" t="s">
        <v>316</v>
      </c>
      <c r="B304" s="143" t="s">
        <v>317</v>
      </c>
      <c r="C304" s="132">
        <v>150000</v>
      </c>
      <c r="D304" s="132">
        <v>150000</v>
      </c>
      <c r="E304" s="234">
        <v>150000</v>
      </c>
      <c r="F304" s="121">
        <v>3206.5</v>
      </c>
      <c r="G304" s="122">
        <v>150000</v>
      </c>
      <c r="H304" s="96"/>
    </row>
    <row r="305" spans="1:8" hidden="1" x14ac:dyDescent="0.2">
      <c r="A305" s="311" t="s">
        <v>316</v>
      </c>
      <c r="B305" s="246" t="s">
        <v>318</v>
      </c>
      <c r="C305" s="132">
        <v>50000</v>
      </c>
      <c r="D305" s="132">
        <v>50000</v>
      </c>
      <c r="E305" s="132">
        <v>50000</v>
      </c>
      <c r="F305" s="132">
        <v>0</v>
      </c>
      <c r="G305" s="122">
        <v>50000</v>
      </c>
      <c r="H305" s="96"/>
    </row>
    <row r="306" spans="1:8" hidden="1" x14ac:dyDescent="0.2">
      <c r="A306" s="312" t="s">
        <v>319</v>
      </c>
      <c r="B306" s="143" t="s">
        <v>320</v>
      </c>
      <c r="C306" s="231">
        <v>50000</v>
      </c>
      <c r="D306" s="231">
        <v>15000</v>
      </c>
      <c r="E306" s="132">
        <v>15000</v>
      </c>
      <c r="F306" s="132">
        <v>0</v>
      </c>
      <c r="G306" s="122">
        <v>50000</v>
      </c>
      <c r="H306" s="96"/>
    </row>
    <row r="307" spans="1:8" hidden="1" x14ac:dyDescent="0.2">
      <c r="A307" s="312" t="s">
        <v>321</v>
      </c>
      <c r="B307" s="143" t="s">
        <v>322</v>
      </c>
      <c r="C307" s="132">
        <v>10000</v>
      </c>
      <c r="D307" s="231">
        <v>10000</v>
      </c>
      <c r="E307" s="132">
        <v>10000</v>
      </c>
      <c r="F307" s="132">
        <v>0</v>
      </c>
      <c r="G307" s="122">
        <v>10000</v>
      </c>
      <c r="H307" s="96"/>
    </row>
    <row r="308" spans="1:8" hidden="1" x14ac:dyDescent="0.2">
      <c r="A308" s="312" t="s">
        <v>323</v>
      </c>
      <c r="B308" s="143" t="s">
        <v>324</v>
      </c>
      <c r="C308" s="231">
        <v>4000</v>
      </c>
      <c r="D308" s="231">
        <v>4000</v>
      </c>
      <c r="E308" s="132">
        <v>4000</v>
      </c>
      <c r="F308" s="132">
        <v>0</v>
      </c>
      <c r="G308" s="122">
        <v>4000</v>
      </c>
      <c r="H308" s="96"/>
    </row>
    <row r="309" spans="1:8" hidden="1" x14ac:dyDescent="0.2">
      <c r="A309" s="312" t="s">
        <v>325</v>
      </c>
      <c r="B309" s="143" t="s">
        <v>326</v>
      </c>
      <c r="C309" s="231">
        <v>50000</v>
      </c>
      <c r="D309" s="231">
        <v>50000</v>
      </c>
      <c r="E309" s="132">
        <v>40123.599999999999</v>
      </c>
      <c r="F309" s="132">
        <v>40123.599999999999</v>
      </c>
      <c r="G309" s="122">
        <v>50000</v>
      </c>
      <c r="H309" s="96"/>
    </row>
    <row r="310" spans="1:8" hidden="1" x14ac:dyDescent="0.2">
      <c r="A310" s="312" t="s">
        <v>321</v>
      </c>
      <c r="B310" s="143" t="s">
        <v>327</v>
      </c>
      <c r="C310" s="231">
        <v>110000</v>
      </c>
      <c r="D310" s="231">
        <v>110000</v>
      </c>
      <c r="E310" s="132">
        <v>110000</v>
      </c>
      <c r="F310" s="132">
        <v>51689.5</v>
      </c>
      <c r="G310" s="122">
        <v>110000</v>
      </c>
      <c r="H310" s="96"/>
    </row>
    <row r="311" spans="1:8" hidden="1" x14ac:dyDescent="0.2">
      <c r="A311" s="312" t="s">
        <v>323</v>
      </c>
      <c r="B311" s="143" t="s">
        <v>328</v>
      </c>
      <c r="C311" s="231">
        <v>250000</v>
      </c>
      <c r="D311" s="231">
        <v>250000</v>
      </c>
      <c r="E311" s="132">
        <v>250000</v>
      </c>
      <c r="F311" s="132">
        <v>58704</v>
      </c>
      <c r="G311" s="122">
        <v>250000</v>
      </c>
      <c r="H311" s="96"/>
    </row>
    <row r="312" spans="1:8" hidden="1" x14ac:dyDescent="0.2">
      <c r="A312" s="312" t="s">
        <v>329</v>
      </c>
      <c r="B312" s="143" t="s">
        <v>330</v>
      </c>
      <c r="C312" s="231">
        <v>0</v>
      </c>
      <c r="D312" s="231">
        <v>35000</v>
      </c>
      <c r="E312" s="132">
        <v>250000</v>
      </c>
      <c r="F312" s="132">
        <v>35000</v>
      </c>
      <c r="G312" s="122">
        <v>0</v>
      </c>
      <c r="H312" s="96"/>
    </row>
    <row r="313" spans="1:8" hidden="1" x14ac:dyDescent="0.2">
      <c r="A313" s="312" t="s">
        <v>331</v>
      </c>
      <c r="B313" s="143" t="s">
        <v>332</v>
      </c>
      <c r="C313" s="231">
        <v>20000</v>
      </c>
      <c r="D313" s="231">
        <v>20000</v>
      </c>
      <c r="E313" s="132">
        <v>20000</v>
      </c>
      <c r="F313" s="132">
        <v>10000</v>
      </c>
      <c r="G313" s="122">
        <v>20000</v>
      </c>
      <c r="H313" s="96"/>
    </row>
    <row r="314" spans="1:8" hidden="1" x14ac:dyDescent="0.2">
      <c r="A314" s="305" t="s">
        <v>333</v>
      </c>
      <c r="B314" s="143" t="s">
        <v>334</v>
      </c>
      <c r="C314" s="231">
        <v>40000</v>
      </c>
      <c r="D314" s="231">
        <v>40000</v>
      </c>
      <c r="E314" s="132">
        <v>40000</v>
      </c>
      <c r="F314" s="132">
        <v>13061</v>
      </c>
      <c r="G314" s="122">
        <v>40000</v>
      </c>
      <c r="H314" s="96"/>
    </row>
    <row r="315" spans="1:8" ht="15.75" hidden="1" x14ac:dyDescent="0.25">
      <c r="A315" s="196"/>
      <c r="B315" s="196" t="s">
        <v>335</v>
      </c>
      <c r="C315" s="197">
        <f>SUM(C316,C319,C325,C333,C338,C348,C351)</f>
        <v>15368677</v>
      </c>
      <c r="D315" s="313">
        <f>SUM(D316,D319,D325,D333,D338,D348,D351)</f>
        <v>15218763</v>
      </c>
      <c r="E315" s="313">
        <f>SUM(E316,E319,E325,E333,E338,E348,E351)</f>
        <v>15211026.01</v>
      </c>
      <c r="F315" s="313">
        <f>SUM(F316,F319,F325,F333,F338,F348,F351)</f>
        <v>8471167.1100000013</v>
      </c>
      <c r="G315" s="313">
        <f>SUM(G316,G319,G325,G333,G338,G348,G351)</f>
        <v>15688788.33</v>
      </c>
      <c r="H315" s="96"/>
    </row>
    <row r="316" spans="1:8" hidden="1" x14ac:dyDescent="0.2">
      <c r="A316" s="295">
        <v>3341</v>
      </c>
      <c r="B316" s="295" t="s">
        <v>336</v>
      </c>
      <c r="C316" s="160">
        <f>SUM(C317:C318)</f>
        <v>150000</v>
      </c>
      <c r="D316" s="160">
        <f>SUM(D317:D318)</f>
        <v>150000</v>
      </c>
      <c r="E316" s="160">
        <f>SUM(E317:E318)</f>
        <v>150000</v>
      </c>
      <c r="F316" s="160">
        <f>SUM(F317:F318)</f>
        <v>12799.96</v>
      </c>
      <c r="G316" s="160">
        <f>SUM(G317:G318)</f>
        <v>150000</v>
      </c>
      <c r="H316" s="96"/>
    </row>
    <row r="317" spans="1:8" hidden="1" x14ac:dyDescent="0.2">
      <c r="A317" s="305" t="s">
        <v>337</v>
      </c>
      <c r="B317" s="182" t="s">
        <v>338</v>
      </c>
      <c r="C317" s="132">
        <v>150000</v>
      </c>
      <c r="D317" s="132">
        <v>146125</v>
      </c>
      <c r="E317" s="188">
        <v>146125</v>
      </c>
      <c r="F317" s="121">
        <v>8924.9599999999991</v>
      </c>
      <c r="G317" s="122">
        <v>145000</v>
      </c>
      <c r="H317" s="96"/>
    </row>
    <row r="318" spans="1:8" hidden="1" x14ac:dyDescent="0.2">
      <c r="A318" s="305" t="s">
        <v>339</v>
      </c>
      <c r="B318" s="182" t="s">
        <v>340</v>
      </c>
      <c r="C318" s="132">
        <v>0</v>
      </c>
      <c r="D318" s="132">
        <v>3875</v>
      </c>
      <c r="E318" s="188">
        <v>3875</v>
      </c>
      <c r="F318" s="121">
        <v>3875</v>
      </c>
      <c r="G318" s="122">
        <v>5000</v>
      </c>
      <c r="H318" s="96"/>
    </row>
    <row r="319" spans="1:8" hidden="1" x14ac:dyDescent="0.2">
      <c r="A319" s="159">
        <v>3421</v>
      </c>
      <c r="B319" s="165" t="s">
        <v>341</v>
      </c>
      <c r="C319" s="166">
        <f>SUM(C320:C324)</f>
        <v>830000</v>
      </c>
      <c r="D319" s="166">
        <f>SUM(D320:D324)</f>
        <v>830000</v>
      </c>
      <c r="E319" s="166">
        <f>SUM(E320:E324)</f>
        <v>830000</v>
      </c>
      <c r="F319" s="166">
        <f>SUM(F320:F324)</f>
        <v>315449.28000000003</v>
      </c>
      <c r="G319" s="166">
        <f>SUM(G320:G324)</f>
        <v>1880000</v>
      </c>
      <c r="H319" s="96"/>
    </row>
    <row r="320" spans="1:8" hidden="1" x14ac:dyDescent="0.2">
      <c r="A320" s="305" t="s">
        <v>342</v>
      </c>
      <c r="B320" s="314" t="s">
        <v>343</v>
      </c>
      <c r="C320" s="132">
        <v>10000</v>
      </c>
      <c r="D320" s="132">
        <v>10000</v>
      </c>
      <c r="E320" s="188">
        <v>10000</v>
      </c>
      <c r="F320" s="121">
        <v>0</v>
      </c>
      <c r="G320" s="134">
        <v>1000000</v>
      </c>
      <c r="H320" s="96"/>
    </row>
    <row r="321" spans="1:8" hidden="1" x14ac:dyDescent="0.2">
      <c r="A321" s="305" t="s">
        <v>344</v>
      </c>
      <c r="B321" s="314" t="s">
        <v>345</v>
      </c>
      <c r="C321" s="132">
        <v>100000</v>
      </c>
      <c r="D321" s="132">
        <v>100000</v>
      </c>
      <c r="E321" s="188">
        <v>100000</v>
      </c>
      <c r="F321" s="121">
        <v>0</v>
      </c>
      <c r="G321" s="134">
        <v>110000</v>
      </c>
      <c r="H321" s="92"/>
    </row>
    <row r="322" spans="1:8" hidden="1" x14ac:dyDescent="0.2">
      <c r="A322" s="311" t="s">
        <v>346</v>
      </c>
      <c r="B322" s="314" t="s">
        <v>347</v>
      </c>
      <c r="C322" s="132">
        <v>120000</v>
      </c>
      <c r="D322" s="132">
        <v>140000</v>
      </c>
      <c r="E322" s="188">
        <v>140000</v>
      </c>
      <c r="F322" s="121">
        <v>120456</v>
      </c>
      <c r="G322" s="134">
        <v>120000</v>
      </c>
      <c r="H322" s="96"/>
    </row>
    <row r="323" spans="1:8" hidden="1" x14ac:dyDescent="0.2">
      <c r="A323" s="305" t="s">
        <v>348</v>
      </c>
      <c r="B323" s="314" t="s">
        <v>349</v>
      </c>
      <c r="C323" s="132">
        <v>300000</v>
      </c>
      <c r="D323" s="132">
        <v>280000</v>
      </c>
      <c r="E323" s="188">
        <v>280000</v>
      </c>
      <c r="F323" s="121">
        <v>14520</v>
      </c>
      <c r="G323" s="134">
        <v>300000</v>
      </c>
      <c r="H323" s="96"/>
    </row>
    <row r="324" spans="1:8" hidden="1" x14ac:dyDescent="0.2">
      <c r="A324" s="305" t="s">
        <v>350</v>
      </c>
      <c r="B324" s="315" t="s">
        <v>351</v>
      </c>
      <c r="C324" s="132">
        <v>300000</v>
      </c>
      <c r="D324" s="132">
        <v>300000</v>
      </c>
      <c r="E324" s="188">
        <v>300000</v>
      </c>
      <c r="F324" s="121">
        <v>180473.28</v>
      </c>
      <c r="G324" s="122">
        <v>350000</v>
      </c>
      <c r="H324" s="96"/>
    </row>
    <row r="325" spans="1:8" hidden="1" x14ac:dyDescent="0.2">
      <c r="A325" s="165">
        <v>3613</v>
      </c>
      <c r="B325" s="165" t="s">
        <v>352</v>
      </c>
      <c r="C325" s="166">
        <f>SUM(C326:C332)</f>
        <v>895000</v>
      </c>
      <c r="D325" s="166">
        <f>SUM(D326:D332)</f>
        <v>995000</v>
      </c>
      <c r="E325" s="166">
        <f>SUM(E326:E332)</f>
        <v>995000</v>
      </c>
      <c r="F325" s="166">
        <f>SUM(F326:F332)</f>
        <v>349404.45</v>
      </c>
      <c r="G325" s="166">
        <f>SUM(G326:G332)</f>
        <v>995000</v>
      </c>
      <c r="H325" s="92"/>
    </row>
    <row r="326" spans="1:8" hidden="1" x14ac:dyDescent="0.2">
      <c r="A326" s="316" t="s">
        <v>353</v>
      </c>
      <c r="B326" s="317" t="s">
        <v>354</v>
      </c>
      <c r="C326" s="132">
        <v>5000</v>
      </c>
      <c r="D326" s="132">
        <v>5000</v>
      </c>
      <c r="E326" s="188">
        <v>5000</v>
      </c>
      <c r="F326" s="121">
        <v>0</v>
      </c>
      <c r="G326" s="122">
        <v>5000</v>
      </c>
      <c r="H326" s="96"/>
    </row>
    <row r="327" spans="1:8" hidden="1" x14ac:dyDescent="0.2">
      <c r="A327" s="316" t="s">
        <v>355</v>
      </c>
      <c r="B327" s="317" t="s">
        <v>356</v>
      </c>
      <c r="C327" s="132">
        <v>5000</v>
      </c>
      <c r="D327" s="132">
        <v>5000</v>
      </c>
      <c r="E327" s="188">
        <v>5000</v>
      </c>
      <c r="F327" s="121">
        <v>0</v>
      </c>
      <c r="G327" s="122">
        <v>5000</v>
      </c>
      <c r="H327" s="96"/>
    </row>
    <row r="328" spans="1:8" ht="12.75" hidden="1" customHeight="1" x14ac:dyDescent="0.2">
      <c r="A328" s="316" t="s">
        <v>357</v>
      </c>
      <c r="B328" s="143" t="s">
        <v>358</v>
      </c>
      <c r="C328" s="132">
        <v>175000</v>
      </c>
      <c r="D328" s="132">
        <v>175000</v>
      </c>
      <c r="E328" s="177">
        <v>175000</v>
      </c>
      <c r="F328" s="177">
        <v>33982.589999999997</v>
      </c>
      <c r="G328" s="122">
        <v>175000</v>
      </c>
      <c r="H328" s="178"/>
    </row>
    <row r="329" spans="1:8" hidden="1" x14ac:dyDescent="0.2">
      <c r="A329" s="316" t="s">
        <v>359</v>
      </c>
      <c r="B329" s="143" t="s">
        <v>360</v>
      </c>
      <c r="C329" s="132">
        <v>200000</v>
      </c>
      <c r="D329" s="132">
        <v>200000</v>
      </c>
      <c r="E329" s="122">
        <v>200000</v>
      </c>
      <c r="F329" s="122">
        <v>172638.85</v>
      </c>
      <c r="G329" s="122">
        <v>200000</v>
      </c>
      <c r="H329" s="92"/>
    </row>
    <row r="330" spans="1:8" hidden="1" x14ac:dyDescent="0.2">
      <c r="A330" s="316" t="s">
        <v>361</v>
      </c>
      <c r="B330" s="143" t="s">
        <v>362</v>
      </c>
      <c r="C330" s="132">
        <v>250000</v>
      </c>
      <c r="D330" s="132">
        <v>350000</v>
      </c>
      <c r="E330" s="122">
        <v>350000</v>
      </c>
      <c r="F330" s="122">
        <v>106312</v>
      </c>
      <c r="G330" s="122">
        <v>250000</v>
      </c>
      <c r="H330" s="92"/>
    </row>
    <row r="331" spans="1:8" hidden="1" x14ac:dyDescent="0.2">
      <c r="A331" s="316" t="s">
        <v>361</v>
      </c>
      <c r="B331" s="143" t="s">
        <v>363</v>
      </c>
      <c r="C331" s="132">
        <v>60000</v>
      </c>
      <c r="D331" s="132">
        <v>60000</v>
      </c>
      <c r="E331" s="122">
        <v>60000</v>
      </c>
      <c r="F331" s="122">
        <v>0</v>
      </c>
      <c r="G331" s="122">
        <v>60000</v>
      </c>
      <c r="H331" s="92"/>
    </row>
    <row r="332" spans="1:8" hidden="1" x14ac:dyDescent="0.2">
      <c r="A332" s="316" t="s">
        <v>364</v>
      </c>
      <c r="B332" s="143" t="s">
        <v>365</v>
      </c>
      <c r="C332" s="132">
        <v>200000</v>
      </c>
      <c r="D332" s="132">
        <v>200000</v>
      </c>
      <c r="E332" s="122">
        <v>200000</v>
      </c>
      <c r="F332" s="122">
        <v>36471.01</v>
      </c>
      <c r="G332" s="122">
        <v>300000</v>
      </c>
      <c r="H332" s="92"/>
    </row>
    <row r="333" spans="1:8" hidden="1" x14ac:dyDescent="0.2">
      <c r="A333" s="165">
        <v>3631</v>
      </c>
      <c r="B333" s="165" t="s">
        <v>366</v>
      </c>
      <c r="C333" s="166">
        <f>SUM(C334:C337)</f>
        <v>9150000</v>
      </c>
      <c r="D333" s="166">
        <f>SUM(D334:D337)</f>
        <v>9176125</v>
      </c>
      <c r="E333" s="166">
        <f>SUM(E334:E337)</f>
        <v>9176125</v>
      </c>
      <c r="F333" s="166">
        <f>SUM(F334:F337)</f>
        <v>6071448.4100000001</v>
      </c>
      <c r="G333" s="166">
        <f>SUM(G334:G337)</f>
        <v>9200000</v>
      </c>
      <c r="H333" s="92"/>
    </row>
    <row r="334" spans="1:8" hidden="1" x14ac:dyDescent="0.2">
      <c r="A334" s="316" t="s">
        <v>367</v>
      </c>
      <c r="B334" s="143" t="s">
        <v>368</v>
      </c>
      <c r="C334" s="132">
        <v>0</v>
      </c>
      <c r="D334" s="132">
        <v>100000</v>
      </c>
      <c r="E334" s="121">
        <v>100000</v>
      </c>
      <c r="F334" s="121">
        <v>16456</v>
      </c>
      <c r="G334" s="122">
        <v>600000</v>
      </c>
      <c r="H334" s="92"/>
    </row>
    <row r="335" spans="1:8" hidden="1" x14ac:dyDescent="0.2">
      <c r="A335" s="316" t="s">
        <v>369</v>
      </c>
      <c r="B335" s="143" t="s">
        <v>370</v>
      </c>
      <c r="C335" s="132">
        <v>700000</v>
      </c>
      <c r="D335" s="132">
        <v>600000</v>
      </c>
      <c r="E335" s="121">
        <v>600000</v>
      </c>
      <c r="F335" s="121">
        <v>8418.58</v>
      </c>
      <c r="G335" s="122">
        <v>100000</v>
      </c>
      <c r="H335" s="92"/>
    </row>
    <row r="336" spans="1:8" hidden="1" x14ac:dyDescent="0.2">
      <c r="A336" s="305" t="s">
        <v>371</v>
      </c>
      <c r="B336" s="143" t="s">
        <v>372</v>
      </c>
      <c r="C336" s="132">
        <v>3950000</v>
      </c>
      <c r="D336" s="132">
        <v>3976125</v>
      </c>
      <c r="E336" s="177">
        <v>3976125</v>
      </c>
      <c r="F336" s="177">
        <v>2666125</v>
      </c>
      <c r="G336" s="122">
        <v>4000000</v>
      </c>
      <c r="H336" s="92"/>
    </row>
    <row r="337" spans="1:8" hidden="1" x14ac:dyDescent="0.2">
      <c r="A337" s="305" t="s">
        <v>373</v>
      </c>
      <c r="B337" s="143" t="s">
        <v>374</v>
      </c>
      <c r="C337" s="132">
        <v>4500000</v>
      </c>
      <c r="D337" s="132">
        <v>4500000</v>
      </c>
      <c r="E337" s="128">
        <v>4500000</v>
      </c>
      <c r="F337" s="177">
        <v>3380448.83</v>
      </c>
      <c r="G337" s="122">
        <v>4500000</v>
      </c>
      <c r="H337" s="92"/>
    </row>
    <row r="338" spans="1:8" hidden="1" x14ac:dyDescent="0.2">
      <c r="A338" s="318">
        <v>3632</v>
      </c>
      <c r="B338" s="318" t="s">
        <v>375</v>
      </c>
      <c r="C338" s="166">
        <f>SUM(C339,C345:C347)</f>
        <v>4130000</v>
      </c>
      <c r="D338" s="166">
        <f>SUM(D339,D345:D347)</f>
        <v>3853961</v>
      </c>
      <c r="E338" s="166">
        <f>SUM(E339,E345:E347)</f>
        <v>3846112.6799999997</v>
      </c>
      <c r="F338" s="166">
        <f>SUM(F339,F345:F347)</f>
        <v>1713276.68</v>
      </c>
      <c r="G338" s="166">
        <f>SUM(G339,G345:G347)</f>
        <v>3250000</v>
      </c>
      <c r="H338" s="92"/>
    </row>
    <row r="339" spans="1:8" hidden="1" x14ac:dyDescent="0.2">
      <c r="A339" s="182"/>
      <c r="B339" s="182" t="s">
        <v>376</v>
      </c>
      <c r="C339" s="132">
        <f>SUM(C340:C344)</f>
        <v>1530000</v>
      </c>
      <c r="D339" s="132">
        <f>SUM(D340:D344)</f>
        <v>730000</v>
      </c>
      <c r="E339" s="132">
        <f>SUM(E340:E344)</f>
        <v>722151.67999999993</v>
      </c>
      <c r="F339" s="132">
        <f>SUM(F340:F344)</f>
        <v>351151.68</v>
      </c>
      <c r="G339" s="132">
        <f>SUM(G340:G344)</f>
        <v>650000</v>
      </c>
      <c r="H339" s="92"/>
    </row>
    <row r="340" spans="1:8" hidden="1" x14ac:dyDescent="0.2">
      <c r="A340" s="305" t="s">
        <v>377</v>
      </c>
      <c r="B340" s="143" t="s">
        <v>378</v>
      </c>
      <c r="C340" s="132">
        <v>371000</v>
      </c>
      <c r="D340" s="132">
        <v>371000</v>
      </c>
      <c r="E340" s="253">
        <v>371000</v>
      </c>
      <c r="F340" s="253">
        <v>0</v>
      </c>
      <c r="G340" s="122">
        <v>0</v>
      </c>
      <c r="H340" s="92"/>
    </row>
    <row r="341" spans="1:8" s="2" customFormat="1" hidden="1" x14ac:dyDescent="0.2">
      <c r="A341" s="305" t="s">
        <v>377</v>
      </c>
      <c r="B341" s="143" t="s">
        <v>379</v>
      </c>
      <c r="C341" s="132">
        <v>240000</v>
      </c>
      <c r="D341" s="132">
        <v>240000</v>
      </c>
      <c r="E341" s="132">
        <v>232571.68</v>
      </c>
      <c r="F341" s="319">
        <v>232571.68</v>
      </c>
      <c r="G341" s="122">
        <v>0</v>
      </c>
      <c r="H341" s="92"/>
    </row>
    <row r="342" spans="1:8" hidden="1" x14ac:dyDescent="0.2">
      <c r="A342" s="305" t="s">
        <v>377</v>
      </c>
      <c r="B342" s="143" t="s">
        <v>380</v>
      </c>
      <c r="C342" s="132">
        <v>119000</v>
      </c>
      <c r="D342" s="132">
        <v>119000</v>
      </c>
      <c r="E342" s="169">
        <v>118580</v>
      </c>
      <c r="F342" s="169">
        <v>118580</v>
      </c>
      <c r="G342" s="122">
        <v>0</v>
      </c>
      <c r="H342" s="96"/>
    </row>
    <row r="343" spans="1:8" hidden="1" x14ac:dyDescent="0.2">
      <c r="A343" s="305" t="s">
        <v>377</v>
      </c>
      <c r="B343" s="143" t="s">
        <v>381</v>
      </c>
      <c r="C343" s="132">
        <v>500000</v>
      </c>
      <c r="D343" s="132">
        <v>0</v>
      </c>
      <c r="E343" s="319">
        <v>0</v>
      </c>
      <c r="F343" s="319">
        <v>0</v>
      </c>
      <c r="G343" s="122">
        <v>0</v>
      </c>
      <c r="H343" s="96"/>
    </row>
    <row r="344" spans="1:8" hidden="1" x14ac:dyDescent="0.2">
      <c r="A344" s="305" t="s">
        <v>377</v>
      </c>
      <c r="B344" s="143" t="s">
        <v>382</v>
      </c>
      <c r="C344" s="132">
        <v>300000</v>
      </c>
      <c r="D344" s="132">
        <v>0</v>
      </c>
      <c r="E344" s="205">
        <v>0</v>
      </c>
      <c r="F344" s="205">
        <v>0</v>
      </c>
      <c r="G344" s="122">
        <v>650000</v>
      </c>
      <c r="H344" s="96"/>
    </row>
    <row r="345" spans="1:8" hidden="1" x14ac:dyDescent="0.2">
      <c r="A345" s="297" t="s">
        <v>383</v>
      </c>
      <c r="B345" s="143" t="s">
        <v>384</v>
      </c>
      <c r="C345" s="132">
        <v>2000000</v>
      </c>
      <c r="D345" s="132">
        <v>2523961</v>
      </c>
      <c r="E345" s="205">
        <v>2523961</v>
      </c>
      <c r="F345" s="205">
        <v>1362125</v>
      </c>
      <c r="G345" s="122">
        <v>2500000</v>
      </c>
      <c r="H345" s="96"/>
    </row>
    <row r="346" spans="1:8" s="116" customFormat="1" hidden="1" x14ac:dyDescent="0.2">
      <c r="A346" s="297" t="s">
        <v>385</v>
      </c>
      <c r="B346" s="143" t="s">
        <v>386</v>
      </c>
      <c r="C346" s="132">
        <v>500000</v>
      </c>
      <c r="D346" s="132">
        <v>500000</v>
      </c>
      <c r="E346" s="205">
        <v>500000</v>
      </c>
      <c r="F346" s="205">
        <v>0</v>
      </c>
      <c r="G346" s="134">
        <v>0</v>
      </c>
      <c r="H346" s="96"/>
    </row>
    <row r="347" spans="1:8" s="116" customFormat="1" hidden="1" x14ac:dyDescent="0.2">
      <c r="A347" s="297" t="s">
        <v>387</v>
      </c>
      <c r="B347" s="143" t="s">
        <v>388</v>
      </c>
      <c r="C347" s="132">
        <v>100000</v>
      </c>
      <c r="D347" s="132">
        <v>100000</v>
      </c>
      <c r="E347" s="205">
        <v>100000</v>
      </c>
      <c r="F347" s="205">
        <v>0</v>
      </c>
      <c r="G347" s="122">
        <v>100000</v>
      </c>
      <c r="H347" s="96"/>
    </row>
    <row r="348" spans="1:8" s="116" customFormat="1" hidden="1" x14ac:dyDescent="0.2">
      <c r="A348" s="165">
        <v>3639</v>
      </c>
      <c r="B348" s="165" t="s">
        <v>389</v>
      </c>
      <c r="C348" s="166">
        <f>SUM(C349:C350)</f>
        <v>13677</v>
      </c>
      <c r="D348" s="166">
        <f>SUM(D349:D350)</f>
        <v>13677</v>
      </c>
      <c r="E348" s="166">
        <f>SUM(E349:E350)</f>
        <v>13788.33</v>
      </c>
      <c r="F348" s="166">
        <f>SUM(F349:F350)</f>
        <v>8788.33</v>
      </c>
      <c r="G348" s="166">
        <f>SUM(G349:G350)</f>
        <v>13788.33</v>
      </c>
      <c r="H348" s="96"/>
    </row>
    <row r="349" spans="1:8" s="116" customFormat="1" hidden="1" x14ac:dyDescent="0.2">
      <c r="A349" s="305" t="s">
        <v>390</v>
      </c>
      <c r="B349" s="317" t="s">
        <v>391</v>
      </c>
      <c r="C349" s="132">
        <v>8677</v>
      </c>
      <c r="D349" s="132">
        <v>8788.33</v>
      </c>
      <c r="E349" s="132">
        <v>8788.33</v>
      </c>
      <c r="F349" s="132">
        <v>8788.33</v>
      </c>
      <c r="G349" s="132">
        <v>8788.33</v>
      </c>
      <c r="H349" s="96"/>
    </row>
    <row r="350" spans="1:8" s="116" customFormat="1" hidden="1" x14ac:dyDescent="0.2">
      <c r="A350" s="316" t="s">
        <v>392</v>
      </c>
      <c r="B350" s="143" t="s">
        <v>393</v>
      </c>
      <c r="C350" s="132">
        <v>5000</v>
      </c>
      <c r="D350" s="132">
        <v>4888.67</v>
      </c>
      <c r="E350" s="319">
        <v>5000</v>
      </c>
      <c r="F350" s="319">
        <v>0</v>
      </c>
      <c r="G350" s="122">
        <v>5000</v>
      </c>
      <c r="H350" s="96"/>
    </row>
    <row r="351" spans="1:8" s="116" customFormat="1" hidden="1" x14ac:dyDescent="0.2">
      <c r="A351" s="165">
        <v>3699</v>
      </c>
      <c r="B351" s="165" t="s">
        <v>394</v>
      </c>
      <c r="C351" s="166">
        <f>SUM(C352)</f>
        <v>200000</v>
      </c>
      <c r="D351" s="166">
        <f>SUM(D352)</f>
        <v>200000</v>
      </c>
      <c r="E351" s="166">
        <f>SUM(E352)</f>
        <v>200000</v>
      </c>
      <c r="F351" s="166">
        <f>SUM(F352)</f>
        <v>0</v>
      </c>
      <c r="G351" s="166">
        <f>SUM(G352)</f>
        <v>200000</v>
      </c>
      <c r="H351" s="96"/>
    </row>
    <row r="352" spans="1:8" s="116" customFormat="1" hidden="1" x14ac:dyDescent="0.2">
      <c r="A352" s="305" t="s">
        <v>395</v>
      </c>
      <c r="B352" s="143" t="s">
        <v>396</v>
      </c>
      <c r="C352" s="132">
        <v>200000</v>
      </c>
      <c r="D352" s="132">
        <v>200000</v>
      </c>
      <c r="E352" s="320">
        <v>200000</v>
      </c>
      <c r="F352" s="320">
        <v>0</v>
      </c>
      <c r="G352" s="122">
        <v>200000</v>
      </c>
      <c r="H352" s="96"/>
    </row>
    <row r="353" spans="1:8" s="116" customFormat="1" hidden="1" x14ac:dyDescent="0.2">
      <c r="A353" s="311"/>
      <c r="B353" s="321"/>
      <c r="C353" s="231"/>
      <c r="D353" s="231"/>
      <c r="E353" s="322"/>
      <c r="F353" s="322"/>
      <c r="G353" s="309"/>
      <c r="H353" s="96"/>
    </row>
    <row r="354" spans="1:8" s="116" customFormat="1" ht="20.25" hidden="1" x14ac:dyDescent="0.2">
      <c r="A354" s="323"/>
      <c r="B354" s="324" t="s">
        <v>397</v>
      </c>
      <c r="C354" s="325">
        <f>SUM(C355+C370+C432+C445+C476)</f>
        <v>79701343</v>
      </c>
      <c r="D354" s="326">
        <f>SUM(D355+D370+D432+D445+D476)</f>
        <v>69000343</v>
      </c>
      <c r="E354" s="327">
        <f>SUM(E355+E370+E432+E445+E476)</f>
        <v>1689192.23</v>
      </c>
      <c r="F354" s="325">
        <f>SUM(F355+F370+F432+F445+F476)</f>
        <v>5818563.0100000007</v>
      </c>
      <c r="G354" s="328">
        <f>SUM(G355+G370+G432+G445+G476)</f>
        <v>106524000</v>
      </c>
      <c r="H354" s="96"/>
    </row>
    <row r="355" spans="1:8" s="116" customFormat="1" ht="15.75" hidden="1" x14ac:dyDescent="0.2">
      <c r="A355" s="329"/>
      <c r="B355" s="330" t="s">
        <v>398</v>
      </c>
      <c r="C355" s="331">
        <f>SUM(C356+C361+C368)</f>
        <v>1000000</v>
      </c>
      <c r="D355" s="332">
        <f>SUM(D356+D361+D368)</f>
        <v>1004840</v>
      </c>
      <c r="E355" s="333">
        <f>SUM(E356+E361+E368)</f>
        <v>374258.72</v>
      </c>
      <c r="F355" s="334">
        <f>SUM(F356+F361+F368)</f>
        <v>380258.72</v>
      </c>
      <c r="G355" s="333">
        <f>SUM(G356+G361+G368)</f>
        <v>5530000</v>
      </c>
      <c r="H355" s="96"/>
    </row>
    <row r="356" spans="1:8" s="116" customFormat="1" hidden="1" x14ac:dyDescent="0.2">
      <c r="A356" s="335">
        <v>2310</v>
      </c>
      <c r="B356" s="336" t="s">
        <v>399</v>
      </c>
      <c r="C356" s="337">
        <f>SUM(C357:C360)</f>
        <v>150000</v>
      </c>
      <c r="D356" s="338">
        <f>SUM(D357:D360)</f>
        <v>150000</v>
      </c>
      <c r="E356" s="339">
        <f>SUM(E357:E360)</f>
        <v>0</v>
      </c>
      <c r="F356" s="340">
        <f>SUM(F357:F360)</f>
        <v>6000</v>
      </c>
      <c r="G356" s="339">
        <f>SUM(G357:G360)</f>
        <v>4950000</v>
      </c>
      <c r="H356" s="96"/>
    </row>
    <row r="357" spans="1:8" s="116" customFormat="1" hidden="1" x14ac:dyDescent="0.2">
      <c r="A357" s="341" t="s">
        <v>400</v>
      </c>
      <c r="B357" s="187" t="s">
        <v>401</v>
      </c>
      <c r="C357" s="342">
        <v>0</v>
      </c>
      <c r="D357" s="343">
        <v>8420</v>
      </c>
      <c r="E357" s="344"/>
      <c r="F357" s="345">
        <v>6000</v>
      </c>
      <c r="G357" s="344">
        <v>4800000</v>
      </c>
      <c r="H357" s="96"/>
    </row>
    <row r="358" spans="1:8" s="116" customFormat="1" hidden="1" x14ac:dyDescent="0.2">
      <c r="A358" s="341" t="s">
        <v>402</v>
      </c>
      <c r="B358" s="187" t="s">
        <v>403</v>
      </c>
      <c r="C358" s="342">
        <v>50000</v>
      </c>
      <c r="D358" s="343">
        <v>50000</v>
      </c>
      <c r="E358" s="344"/>
      <c r="F358" s="345">
        <v>0</v>
      </c>
      <c r="G358" s="344">
        <v>0</v>
      </c>
      <c r="H358" s="96"/>
    </row>
    <row r="359" spans="1:8" s="116" customFormat="1" hidden="1" x14ac:dyDescent="0.2">
      <c r="A359" s="341" t="s">
        <v>404</v>
      </c>
      <c r="B359" s="187" t="s">
        <v>405</v>
      </c>
      <c r="C359" s="342">
        <v>50000</v>
      </c>
      <c r="D359" s="343">
        <v>50000</v>
      </c>
      <c r="E359" s="344"/>
      <c r="F359" s="345">
        <v>0</v>
      </c>
      <c r="G359" s="344">
        <v>100000</v>
      </c>
      <c r="H359" s="96"/>
    </row>
    <row r="360" spans="1:8" s="116" customFormat="1" hidden="1" x14ac:dyDescent="0.2">
      <c r="A360" s="341" t="s">
        <v>406</v>
      </c>
      <c r="B360" s="187" t="s">
        <v>407</v>
      </c>
      <c r="C360" s="342">
        <v>50000</v>
      </c>
      <c r="D360" s="346">
        <v>41580</v>
      </c>
      <c r="E360" s="344"/>
      <c r="F360" s="347">
        <v>0</v>
      </c>
      <c r="G360" s="344">
        <v>50000</v>
      </c>
      <c r="H360" s="96"/>
    </row>
    <row r="361" spans="1:8" s="116" customFormat="1" hidden="1" x14ac:dyDescent="0.2">
      <c r="A361" s="348">
        <v>2321</v>
      </c>
      <c r="B361" s="349" t="s">
        <v>408</v>
      </c>
      <c r="C361" s="350">
        <f>SUM(C362:C366)</f>
        <v>850000</v>
      </c>
      <c r="D361" s="351">
        <f>SUM(D362:D366)</f>
        <v>850000</v>
      </c>
      <c r="E361" s="352">
        <f>SUM(E362:E366)</f>
        <v>369418.72</v>
      </c>
      <c r="F361" s="353">
        <f>SUM(F362:F366)</f>
        <v>369418.72</v>
      </c>
      <c r="G361" s="354">
        <f>SUM(G362:G367)</f>
        <v>580000</v>
      </c>
      <c r="H361" s="96"/>
    </row>
    <row r="362" spans="1:8" s="116" customFormat="1" hidden="1" x14ac:dyDescent="0.2">
      <c r="A362" s="341" t="s">
        <v>409</v>
      </c>
      <c r="B362" s="187" t="s">
        <v>410</v>
      </c>
      <c r="C362" s="355">
        <v>400000</v>
      </c>
      <c r="D362" s="356">
        <v>400000</v>
      </c>
      <c r="E362" s="344">
        <v>369418.72</v>
      </c>
      <c r="F362" s="357">
        <v>369418.72</v>
      </c>
      <c r="G362" s="344">
        <v>0</v>
      </c>
      <c r="H362" s="96"/>
    </row>
    <row r="363" spans="1:8" s="116" customFormat="1" hidden="1" x14ac:dyDescent="0.2">
      <c r="A363" s="341" t="s">
        <v>411</v>
      </c>
      <c r="B363" s="358" t="s">
        <v>412</v>
      </c>
      <c r="C363" s="342">
        <v>300000</v>
      </c>
      <c r="D363" s="356">
        <v>300000</v>
      </c>
      <c r="E363" s="359">
        <v>0</v>
      </c>
      <c r="F363" s="357">
        <v>0</v>
      </c>
      <c r="G363" s="344">
        <v>0</v>
      </c>
      <c r="H363" s="96"/>
    </row>
    <row r="364" spans="1:8" s="116" customFormat="1" hidden="1" x14ac:dyDescent="0.2">
      <c r="A364" s="341" t="s">
        <v>413</v>
      </c>
      <c r="B364" s="187" t="s">
        <v>414</v>
      </c>
      <c r="C364" s="355">
        <v>0</v>
      </c>
      <c r="D364" s="356">
        <v>0</v>
      </c>
      <c r="E364" s="344">
        <v>0</v>
      </c>
      <c r="F364" s="357">
        <v>0</v>
      </c>
      <c r="G364" s="344">
        <v>30000</v>
      </c>
      <c r="H364" s="96"/>
    </row>
    <row r="365" spans="1:8" s="116" customFormat="1" hidden="1" x14ac:dyDescent="0.2">
      <c r="A365" s="341" t="s">
        <v>415</v>
      </c>
      <c r="B365" s="187" t="s">
        <v>416</v>
      </c>
      <c r="C365" s="355">
        <v>100000</v>
      </c>
      <c r="D365" s="356">
        <v>100000</v>
      </c>
      <c r="E365" s="344"/>
      <c r="F365" s="357">
        <v>0</v>
      </c>
      <c r="G365" s="344">
        <v>400000</v>
      </c>
      <c r="H365" s="96"/>
    </row>
    <row r="366" spans="1:8" s="116" customFormat="1" hidden="1" x14ac:dyDescent="0.2">
      <c r="A366" s="341" t="s">
        <v>417</v>
      </c>
      <c r="B366" s="187" t="s">
        <v>418</v>
      </c>
      <c r="C366" s="355">
        <v>50000</v>
      </c>
      <c r="D366" s="356">
        <v>50000</v>
      </c>
      <c r="E366" s="344"/>
      <c r="F366" s="357">
        <v>0</v>
      </c>
      <c r="G366" s="359">
        <v>50000</v>
      </c>
      <c r="H366" s="96"/>
    </row>
    <row r="367" spans="1:8" s="116" customFormat="1" hidden="1" x14ac:dyDescent="0.2">
      <c r="A367" s="341" t="s">
        <v>419</v>
      </c>
      <c r="B367" s="187" t="s">
        <v>420</v>
      </c>
      <c r="C367" s="355">
        <v>0</v>
      </c>
      <c r="D367" s="356">
        <v>0</v>
      </c>
      <c r="E367" s="344">
        <v>0</v>
      </c>
      <c r="F367" s="357">
        <v>0</v>
      </c>
      <c r="G367" s="344">
        <v>100000</v>
      </c>
      <c r="H367" s="96"/>
    </row>
    <row r="368" spans="1:8" hidden="1" x14ac:dyDescent="0.2">
      <c r="A368" s="348">
        <v>2333</v>
      </c>
      <c r="B368" s="349" t="s">
        <v>421</v>
      </c>
      <c r="C368" s="350">
        <f>SUM(C369)</f>
        <v>0</v>
      </c>
      <c r="D368" s="351">
        <f>SUM(D369)</f>
        <v>4840</v>
      </c>
      <c r="E368" s="352">
        <f>SUM(E369)</f>
        <v>4840</v>
      </c>
      <c r="F368" s="353">
        <f>SUM(F369)</f>
        <v>4840</v>
      </c>
      <c r="G368" s="352">
        <f>SUM(G369)</f>
        <v>0</v>
      </c>
      <c r="H368" s="96"/>
    </row>
    <row r="369" spans="1:8" hidden="1" x14ac:dyDescent="0.2">
      <c r="A369" s="360" t="s">
        <v>422</v>
      </c>
      <c r="B369" s="361" t="s">
        <v>423</v>
      </c>
      <c r="C369" s="362">
        <v>0</v>
      </c>
      <c r="D369" s="363">
        <v>4840</v>
      </c>
      <c r="E369" s="364">
        <v>4840</v>
      </c>
      <c r="F369" s="365">
        <v>4840</v>
      </c>
      <c r="G369" s="364">
        <v>0</v>
      </c>
      <c r="H369" s="96"/>
    </row>
    <row r="370" spans="1:8" ht="15.75" hidden="1" x14ac:dyDescent="0.25">
      <c r="A370" s="366"/>
      <c r="B370" s="367" t="s">
        <v>424</v>
      </c>
      <c r="C370" s="331">
        <f>SUM(C371+C392+C427)</f>
        <v>28360000</v>
      </c>
      <c r="D370" s="332">
        <f>SUM(D371+D392+D427)</f>
        <v>26188160</v>
      </c>
      <c r="E370" s="333">
        <f>SUM(E371+E392+E427)</f>
        <v>850886.86</v>
      </c>
      <c r="F370" s="334">
        <f>SUM(F371+F392+F427)</f>
        <v>3217923.7600000002</v>
      </c>
      <c r="G370" s="333">
        <f>SUM(G371+G392+G427)</f>
        <v>41500500</v>
      </c>
      <c r="H370" s="96"/>
    </row>
    <row r="371" spans="1:8" hidden="1" x14ac:dyDescent="0.2">
      <c r="A371" s="335">
        <v>2212</v>
      </c>
      <c r="B371" s="336" t="s">
        <v>425</v>
      </c>
      <c r="C371" s="337">
        <f>SUM(C372:C387)</f>
        <v>8970000</v>
      </c>
      <c r="D371" s="338">
        <f>SUM(D372:D387)</f>
        <v>6790000</v>
      </c>
      <c r="E371" s="339">
        <f>SUM(E372:E387)</f>
        <v>104410.5</v>
      </c>
      <c r="F371" s="340">
        <f>SUM(F372:F387)</f>
        <v>2229037.41</v>
      </c>
      <c r="G371" s="339">
        <f>SUM(G372:G391)</f>
        <v>14360000</v>
      </c>
      <c r="H371" s="96"/>
    </row>
    <row r="372" spans="1:8" hidden="1" x14ac:dyDescent="0.2">
      <c r="A372" s="341" t="s">
        <v>293</v>
      </c>
      <c r="B372" s="187" t="s">
        <v>426</v>
      </c>
      <c r="C372" s="342">
        <v>200000</v>
      </c>
      <c r="D372" s="343">
        <v>200000</v>
      </c>
      <c r="E372" s="344"/>
      <c r="F372" s="345">
        <v>68480</v>
      </c>
      <c r="G372" s="344">
        <v>250000</v>
      </c>
      <c r="H372" s="96"/>
    </row>
    <row r="373" spans="1:8" hidden="1" x14ac:dyDescent="0.2">
      <c r="A373" s="341" t="s">
        <v>291</v>
      </c>
      <c r="B373" s="187" t="s">
        <v>427</v>
      </c>
      <c r="C373" s="342">
        <v>6000000</v>
      </c>
      <c r="D373" s="343">
        <v>4470000</v>
      </c>
      <c r="E373" s="344"/>
      <c r="F373" s="345">
        <v>1948524.91</v>
      </c>
      <c r="G373" s="344">
        <v>5000000</v>
      </c>
      <c r="H373" s="96"/>
    </row>
    <row r="374" spans="1:8" hidden="1" x14ac:dyDescent="0.2">
      <c r="A374" s="341" t="s">
        <v>428</v>
      </c>
      <c r="B374" s="187" t="s">
        <v>429</v>
      </c>
      <c r="C374" s="342">
        <v>600000</v>
      </c>
      <c r="D374" s="343">
        <v>600000</v>
      </c>
      <c r="E374" s="344"/>
      <c r="F374" s="345">
        <v>0</v>
      </c>
      <c r="G374" s="344">
        <v>700000</v>
      </c>
      <c r="H374" s="96"/>
    </row>
    <row r="375" spans="1:8" hidden="1" x14ac:dyDescent="0.2">
      <c r="A375" s="341" t="s">
        <v>430</v>
      </c>
      <c r="B375" s="187" t="s">
        <v>431</v>
      </c>
      <c r="C375" s="342">
        <v>150000</v>
      </c>
      <c r="D375" s="343">
        <v>150000</v>
      </c>
      <c r="E375" s="344"/>
      <c r="F375" s="345">
        <v>0</v>
      </c>
      <c r="G375" s="344">
        <v>2300000</v>
      </c>
      <c r="H375" s="96"/>
    </row>
    <row r="376" spans="1:8" hidden="1" x14ac:dyDescent="0.2">
      <c r="A376" s="341" t="s">
        <v>432</v>
      </c>
      <c r="B376" s="187" t="s">
        <v>433</v>
      </c>
      <c r="C376" s="342">
        <v>50000</v>
      </c>
      <c r="D376" s="343">
        <v>48648</v>
      </c>
      <c r="E376" s="344">
        <v>48327</v>
      </c>
      <c r="F376" s="345">
        <v>48327</v>
      </c>
      <c r="G376" s="344">
        <v>0</v>
      </c>
      <c r="H376" s="96"/>
    </row>
    <row r="377" spans="1:8" hidden="1" x14ac:dyDescent="0.2">
      <c r="A377" s="341" t="s">
        <v>434</v>
      </c>
      <c r="B377" s="187" t="s">
        <v>435</v>
      </c>
      <c r="C377" s="342">
        <v>300000</v>
      </c>
      <c r="D377" s="343">
        <v>104000</v>
      </c>
      <c r="E377" s="344"/>
      <c r="F377" s="345">
        <v>0</v>
      </c>
      <c r="G377" s="344">
        <v>0</v>
      </c>
      <c r="H377" s="96"/>
    </row>
    <row r="378" spans="1:8" hidden="1" x14ac:dyDescent="0.2">
      <c r="A378" s="341" t="s">
        <v>436</v>
      </c>
      <c r="B378" s="187" t="s">
        <v>437</v>
      </c>
      <c r="C378" s="342">
        <v>50000</v>
      </c>
      <c r="D378" s="343">
        <v>110352</v>
      </c>
      <c r="E378" s="344"/>
      <c r="F378" s="345">
        <v>20449</v>
      </c>
      <c r="G378" s="344">
        <v>1500000</v>
      </c>
      <c r="H378" s="96"/>
    </row>
    <row r="379" spans="1:8" hidden="1" x14ac:dyDescent="0.2">
      <c r="A379" s="341" t="s">
        <v>438</v>
      </c>
      <c r="B379" s="187" t="s">
        <v>439</v>
      </c>
      <c r="C379" s="342">
        <v>200000</v>
      </c>
      <c r="D379" s="343">
        <v>200000</v>
      </c>
      <c r="E379" s="344"/>
      <c r="F379" s="345">
        <v>44770</v>
      </c>
      <c r="G379" s="344">
        <v>170000</v>
      </c>
      <c r="H379" s="96"/>
    </row>
    <row r="380" spans="1:8" hidden="1" x14ac:dyDescent="0.2">
      <c r="A380" s="341" t="s">
        <v>440</v>
      </c>
      <c r="B380" s="187" t="s">
        <v>441</v>
      </c>
      <c r="C380" s="342">
        <v>600000</v>
      </c>
      <c r="D380" s="343">
        <v>50000</v>
      </c>
      <c r="E380" s="344"/>
      <c r="F380" s="345">
        <v>0</v>
      </c>
      <c r="G380" s="344">
        <v>200000</v>
      </c>
      <c r="H380" s="96"/>
    </row>
    <row r="381" spans="1:8" hidden="1" x14ac:dyDescent="0.2">
      <c r="A381" s="341" t="s">
        <v>442</v>
      </c>
      <c r="B381" s="187" t="s">
        <v>443</v>
      </c>
      <c r="C381" s="342">
        <v>70000</v>
      </c>
      <c r="D381" s="343">
        <v>70000</v>
      </c>
      <c r="E381" s="344"/>
      <c r="F381" s="345">
        <v>29335</v>
      </c>
      <c r="G381" s="344">
        <v>0</v>
      </c>
      <c r="H381" s="96"/>
    </row>
    <row r="382" spans="1:8" hidden="1" x14ac:dyDescent="0.2">
      <c r="A382" s="341" t="s">
        <v>444</v>
      </c>
      <c r="B382" s="187" t="s">
        <v>445</v>
      </c>
      <c r="C382" s="342">
        <v>150000</v>
      </c>
      <c r="D382" s="343">
        <v>150000</v>
      </c>
      <c r="E382" s="344"/>
      <c r="F382" s="345">
        <v>13068</v>
      </c>
      <c r="G382" s="344">
        <v>1400000</v>
      </c>
      <c r="H382" s="96"/>
    </row>
    <row r="383" spans="1:8" hidden="1" x14ac:dyDescent="0.2">
      <c r="A383" s="341" t="s">
        <v>446</v>
      </c>
      <c r="B383" s="187" t="s">
        <v>447</v>
      </c>
      <c r="C383" s="342">
        <v>0</v>
      </c>
      <c r="D383" s="343">
        <v>80000</v>
      </c>
      <c r="E383" s="344" t="s">
        <v>448</v>
      </c>
      <c r="F383" s="345">
        <v>0</v>
      </c>
      <c r="G383" s="344">
        <f>350000+300000</f>
        <v>650000</v>
      </c>
      <c r="H383" s="96"/>
    </row>
    <row r="384" spans="1:8" hidden="1" x14ac:dyDescent="0.2">
      <c r="A384" s="341" t="s">
        <v>449</v>
      </c>
      <c r="B384" s="187" t="s">
        <v>450</v>
      </c>
      <c r="C384" s="342">
        <v>0</v>
      </c>
      <c r="D384" s="343">
        <v>57000</v>
      </c>
      <c r="E384" s="344">
        <v>56083.5</v>
      </c>
      <c r="F384" s="345">
        <v>56083.5</v>
      </c>
      <c r="G384" s="344">
        <v>650000</v>
      </c>
      <c r="H384" s="96"/>
    </row>
    <row r="385" spans="1:8" hidden="1" x14ac:dyDescent="0.2">
      <c r="A385" s="341" t="s">
        <v>451</v>
      </c>
      <c r="B385" s="187" t="s">
        <v>452</v>
      </c>
      <c r="C385" s="342">
        <v>0</v>
      </c>
      <c r="D385" s="343">
        <v>0</v>
      </c>
      <c r="E385" s="344">
        <v>0</v>
      </c>
      <c r="F385" s="345">
        <v>0</v>
      </c>
      <c r="G385" s="344">
        <v>90000</v>
      </c>
      <c r="H385" s="96"/>
    </row>
    <row r="386" spans="1:8" hidden="1" x14ac:dyDescent="0.2">
      <c r="A386" s="341" t="s">
        <v>453</v>
      </c>
      <c r="B386" s="187" t="s">
        <v>454</v>
      </c>
      <c r="C386" s="342">
        <v>100000</v>
      </c>
      <c r="D386" s="343">
        <v>100000</v>
      </c>
      <c r="E386" s="344"/>
      <c r="F386" s="345">
        <v>0</v>
      </c>
      <c r="G386" s="344">
        <v>350000</v>
      </c>
      <c r="H386" s="96"/>
    </row>
    <row r="387" spans="1:8" hidden="1" x14ac:dyDescent="0.2">
      <c r="A387" s="341" t="s">
        <v>455</v>
      </c>
      <c r="B387" s="187" t="s">
        <v>456</v>
      </c>
      <c r="C387" s="342">
        <v>500000</v>
      </c>
      <c r="D387" s="343">
        <v>400000</v>
      </c>
      <c r="E387" s="344"/>
      <c r="F387" s="345">
        <v>0</v>
      </c>
      <c r="G387" s="368">
        <v>500000</v>
      </c>
      <c r="H387" s="96"/>
    </row>
    <row r="388" spans="1:8" hidden="1" x14ac:dyDescent="0.2">
      <c r="A388" s="341" t="s">
        <v>457</v>
      </c>
      <c r="B388" s="187" t="s">
        <v>458</v>
      </c>
      <c r="C388" s="342">
        <v>0</v>
      </c>
      <c r="D388" s="343">
        <v>0</v>
      </c>
      <c r="E388" s="344">
        <v>0</v>
      </c>
      <c r="F388" s="345">
        <v>0</v>
      </c>
      <c r="G388" s="344">
        <v>100000</v>
      </c>
      <c r="H388" s="96"/>
    </row>
    <row r="389" spans="1:8" hidden="1" x14ac:dyDescent="0.2">
      <c r="A389" s="341" t="s">
        <v>457</v>
      </c>
      <c r="B389" s="187" t="s">
        <v>459</v>
      </c>
      <c r="C389" s="342">
        <v>0</v>
      </c>
      <c r="D389" s="343">
        <v>0</v>
      </c>
      <c r="E389" s="344">
        <v>0</v>
      </c>
      <c r="F389" s="345">
        <v>0</v>
      </c>
      <c r="G389" s="344">
        <v>400000</v>
      </c>
      <c r="H389" s="96"/>
    </row>
    <row r="390" spans="1:8" hidden="1" x14ac:dyDescent="0.2">
      <c r="A390" s="341" t="s">
        <v>457</v>
      </c>
      <c r="B390" s="187" t="s">
        <v>460</v>
      </c>
      <c r="C390" s="342">
        <v>0</v>
      </c>
      <c r="D390" s="343">
        <v>0</v>
      </c>
      <c r="E390" s="344">
        <v>0</v>
      </c>
      <c r="F390" s="345">
        <v>0</v>
      </c>
      <c r="G390" s="344">
        <v>0</v>
      </c>
      <c r="H390" s="96"/>
    </row>
    <row r="391" spans="1:8" hidden="1" x14ac:dyDescent="0.2">
      <c r="A391" s="341" t="s">
        <v>457</v>
      </c>
      <c r="B391" s="187" t="s">
        <v>461</v>
      </c>
      <c r="C391" s="342">
        <v>0</v>
      </c>
      <c r="D391" s="343">
        <v>0</v>
      </c>
      <c r="E391" s="344">
        <v>0</v>
      </c>
      <c r="F391" s="345">
        <v>0</v>
      </c>
      <c r="G391" s="344">
        <v>100000</v>
      </c>
      <c r="H391" s="96"/>
    </row>
    <row r="392" spans="1:8" hidden="1" x14ac:dyDescent="0.2">
      <c r="A392" s="348">
        <v>2219</v>
      </c>
      <c r="B392" s="349" t="s">
        <v>462</v>
      </c>
      <c r="C392" s="350">
        <f>SUM(C393:C426)</f>
        <v>19390000</v>
      </c>
      <c r="D392" s="369">
        <f>SUM(D393:D426)</f>
        <v>18843480</v>
      </c>
      <c r="E392" s="352">
        <f>SUM(E393:E426)</f>
        <v>206710.5</v>
      </c>
      <c r="F392" s="370">
        <f>SUM(F393:F426)</f>
        <v>724205.41999999993</v>
      </c>
      <c r="G392" s="352">
        <f>SUM(G393:G426)</f>
        <v>27080500</v>
      </c>
      <c r="H392" s="96"/>
    </row>
    <row r="393" spans="1:8" hidden="1" x14ac:dyDescent="0.2">
      <c r="A393" s="371" t="s">
        <v>299</v>
      </c>
      <c r="B393" s="372" t="s">
        <v>463</v>
      </c>
      <c r="C393" s="342">
        <v>200000</v>
      </c>
      <c r="D393" s="343">
        <v>200000</v>
      </c>
      <c r="E393" s="344"/>
      <c r="F393" s="345">
        <v>19688</v>
      </c>
      <c r="G393" s="344">
        <v>200000</v>
      </c>
      <c r="H393" s="96"/>
    </row>
    <row r="394" spans="1:8" hidden="1" x14ac:dyDescent="0.2">
      <c r="A394" s="341" t="s">
        <v>301</v>
      </c>
      <c r="B394" s="187" t="s">
        <v>464</v>
      </c>
      <c r="C394" s="342">
        <v>3000000</v>
      </c>
      <c r="D394" s="343">
        <v>3000000</v>
      </c>
      <c r="E394" s="344"/>
      <c r="F394" s="345">
        <v>0</v>
      </c>
      <c r="G394" s="344">
        <v>3000000</v>
      </c>
      <c r="H394" s="96"/>
    </row>
    <row r="395" spans="1:8" hidden="1" x14ac:dyDescent="0.2">
      <c r="A395" s="341" t="s">
        <v>465</v>
      </c>
      <c r="B395" s="187" t="s">
        <v>466</v>
      </c>
      <c r="C395" s="342">
        <v>100000</v>
      </c>
      <c r="D395" s="343">
        <v>100000</v>
      </c>
      <c r="E395" s="344" t="s">
        <v>448</v>
      </c>
      <c r="F395" s="345">
        <v>0</v>
      </c>
      <c r="G395" s="344">
        <v>0</v>
      </c>
      <c r="H395" s="96"/>
    </row>
    <row r="396" spans="1:8" hidden="1" x14ac:dyDescent="0.2">
      <c r="A396" s="341" t="s">
        <v>467</v>
      </c>
      <c r="B396" s="187" t="s">
        <v>468</v>
      </c>
      <c r="C396" s="342">
        <v>200000</v>
      </c>
      <c r="D396" s="343">
        <v>233530</v>
      </c>
      <c r="E396" s="344"/>
      <c r="F396" s="345">
        <v>0</v>
      </c>
      <c r="G396" s="344">
        <v>200000</v>
      </c>
      <c r="H396" s="96"/>
    </row>
    <row r="397" spans="1:8" hidden="1" x14ac:dyDescent="0.2">
      <c r="A397" s="341" t="s">
        <v>469</v>
      </c>
      <c r="B397" s="187" t="s">
        <v>470</v>
      </c>
      <c r="C397" s="342">
        <v>600000</v>
      </c>
      <c r="D397" s="343">
        <v>600000</v>
      </c>
      <c r="E397" s="344"/>
      <c r="F397" s="345">
        <v>9680</v>
      </c>
      <c r="G397" s="344">
        <v>8650000</v>
      </c>
      <c r="H397" s="96"/>
    </row>
    <row r="398" spans="1:8" hidden="1" x14ac:dyDescent="0.2">
      <c r="A398" s="341" t="s">
        <v>471</v>
      </c>
      <c r="B398" s="187" t="s">
        <v>472</v>
      </c>
      <c r="C398" s="342">
        <v>100000</v>
      </c>
      <c r="D398" s="343">
        <v>100000</v>
      </c>
      <c r="E398" s="344"/>
      <c r="F398" s="345">
        <v>0</v>
      </c>
      <c r="G398" s="344">
        <v>300000</v>
      </c>
      <c r="H398" s="96"/>
    </row>
    <row r="399" spans="1:8" hidden="1" x14ac:dyDescent="0.2">
      <c r="A399" s="341" t="s">
        <v>473</v>
      </c>
      <c r="B399" s="187" t="s">
        <v>474</v>
      </c>
      <c r="C399" s="342">
        <v>500000</v>
      </c>
      <c r="D399" s="343">
        <v>50000</v>
      </c>
      <c r="E399" s="344" t="s">
        <v>448</v>
      </c>
      <c r="F399" s="345">
        <v>0</v>
      </c>
      <c r="G399" s="344">
        <v>50000</v>
      </c>
      <c r="H399" s="96"/>
    </row>
    <row r="400" spans="1:8" hidden="1" x14ac:dyDescent="0.2">
      <c r="A400" s="341" t="s">
        <v>475</v>
      </c>
      <c r="B400" s="187" t="s">
        <v>476</v>
      </c>
      <c r="C400" s="342">
        <v>80000</v>
      </c>
      <c r="D400" s="343">
        <v>80000</v>
      </c>
      <c r="E400" s="344" t="s">
        <v>448</v>
      </c>
      <c r="F400" s="345">
        <v>0</v>
      </c>
      <c r="G400" s="344">
        <v>150000</v>
      </c>
      <c r="H400" s="96"/>
    </row>
    <row r="401" spans="1:8" hidden="1" x14ac:dyDescent="0.2">
      <c r="A401" s="341" t="s">
        <v>477</v>
      </c>
      <c r="B401" s="187" t="s">
        <v>478</v>
      </c>
      <c r="C401" s="342">
        <v>70000</v>
      </c>
      <c r="D401" s="343">
        <v>70000</v>
      </c>
      <c r="E401" s="344" t="s">
        <v>448</v>
      </c>
      <c r="F401" s="345">
        <v>3000</v>
      </c>
      <c r="G401" s="344">
        <v>0</v>
      </c>
      <c r="H401" s="96"/>
    </row>
    <row r="402" spans="1:8" hidden="1" x14ac:dyDescent="0.2">
      <c r="A402" s="341" t="s">
        <v>479</v>
      </c>
      <c r="B402" s="187" t="s">
        <v>480</v>
      </c>
      <c r="C402" s="342">
        <v>120000</v>
      </c>
      <c r="D402" s="343">
        <v>120000</v>
      </c>
      <c r="E402" s="344" t="s">
        <v>448</v>
      </c>
      <c r="F402" s="345">
        <v>0</v>
      </c>
      <c r="G402" s="344">
        <v>0</v>
      </c>
      <c r="H402" s="96"/>
    </row>
    <row r="403" spans="1:8" hidden="1" x14ac:dyDescent="0.2">
      <c r="A403" s="341" t="s">
        <v>481</v>
      </c>
      <c r="B403" s="187" t="s">
        <v>482</v>
      </c>
      <c r="C403" s="342">
        <v>500000</v>
      </c>
      <c r="D403" s="343">
        <v>500000</v>
      </c>
      <c r="E403" s="344" t="s">
        <v>448</v>
      </c>
      <c r="F403" s="345">
        <v>3100</v>
      </c>
      <c r="G403" s="344">
        <v>50000</v>
      </c>
      <c r="H403" s="96"/>
    </row>
    <row r="404" spans="1:8" hidden="1" x14ac:dyDescent="0.2">
      <c r="A404" s="341" t="s">
        <v>483</v>
      </c>
      <c r="B404" s="187" t="s">
        <v>484</v>
      </c>
      <c r="C404" s="342">
        <v>2050000</v>
      </c>
      <c r="D404" s="343">
        <v>2950000</v>
      </c>
      <c r="E404" s="344"/>
      <c r="F404" s="345">
        <v>296291.92</v>
      </c>
      <c r="G404" s="344">
        <v>0</v>
      </c>
      <c r="H404" s="96"/>
    </row>
    <row r="405" spans="1:8" hidden="1" x14ac:dyDescent="0.2">
      <c r="A405" s="341" t="s">
        <v>485</v>
      </c>
      <c r="B405" s="187" t="s">
        <v>486</v>
      </c>
      <c r="C405" s="342">
        <v>500000</v>
      </c>
      <c r="D405" s="343">
        <v>16950</v>
      </c>
      <c r="E405" s="344">
        <v>7000</v>
      </c>
      <c r="F405" s="345">
        <v>7000</v>
      </c>
      <c r="G405" s="344">
        <v>0</v>
      </c>
      <c r="H405" s="96"/>
    </row>
    <row r="406" spans="1:8" hidden="1" x14ac:dyDescent="0.2">
      <c r="A406" s="341" t="s">
        <v>487</v>
      </c>
      <c r="B406" s="187" t="s">
        <v>488</v>
      </c>
      <c r="C406" s="342">
        <v>500000</v>
      </c>
      <c r="D406" s="343">
        <v>0</v>
      </c>
      <c r="E406" s="344">
        <v>0</v>
      </c>
      <c r="F406" s="345">
        <v>0</v>
      </c>
      <c r="G406" s="344">
        <v>0</v>
      </c>
      <c r="H406" s="96"/>
    </row>
    <row r="407" spans="1:8" hidden="1" x14ac:dyDescent="0.2">
      <c r="A407" s="341" t="s">
        <v>489</v>
      </c>
      <c r="B407" s="187" t="s">
        <v>490</v>
      </c>
      <c r="C407" s="342">
        <v>0</v>
      </c>
      <c r="D407" s="343">
        <v>0</v>
      </c>
      <c r="E407" s="344">
        <v>0</v>
      </c>
      <c r="F407" s="345">
        <v>0</v>
      </c>
      <c r="G407" s="344">
        <v>1200000</v>
      </c>
      <c r="H407" s="96"/>
    </row>
    <row r="408" spans="1:8" hidden="1" x14ac:dyDescent="0.2">
      <c r="A408" s="341" t="s">
        <v>491</v>
      </c>
      <c r="B408" s="187" t="s">
        <v>492</v>
      </c>
      <c r="C408" s="342">
        <v>500000</v>
      </c>
      <c r="D408" s="343">
        <v>500000</v>
      </c>
      <c r="E408" s="344"/>
      <c r="F408" s="345">
        <v>169642</v>
      </c>
      <c r="G408" s="344">
        <v>160500</v>
      </c>
      <c r="H408" s="96"/>
    </row>
    <row r="409" spans="1:8" hidden="1" x14ac:dyDescent="0.2">
      <c r="A409" s="341" t="s">
        <v>493</v>
      </c>
      <c r="B409" s="187" t="s">
        <v>494</v>
      </c>
      <c r="C409" s="342">
        <v>10000000</v>
      </c>
      <c r="D409" s="343">
        <v>10000000</v>
      </c>
      <c r="E409" s="344"/>
      <c r="F409" s="345">
        <v>0</v>
      </c>
      <c r="G409" s="344">
        <v>8500000</v>
      </c>
      <c r="H409" s="96"/>
    </row>
    <row r="410" spans="1:8" hidden="1" x14ac:dyDescent="0.2">
      <c r="A410" s="341" t="s">
        <v>495</v>
      </c>
      <c r="B410" s="187" t="s">
        <v>496</v>
      </c>
      <c r="C410" s="342">
        <v>100000</v>
      </c>
      <c r="D410" s="343">
        <v>0</v>
      </c>
      <c r="E410" s="344">
        <v>0</v>
      </c>
      <c r="F410" s="345">
        <v>0</v>
      </c>
      <c r="G410" s="344">
        <v>100000</v>
      </c>
      <c r="H410" s="96"/>
    </row>
    <row r="411" spans="1:8" hidden="1" x14ac:dyDescent="0.2">
      <c r="A411" s="341" t="s">
        <v>497</v>
      </c>
      <c r="B411" s="187" t="s">
        <v>498</v>
      </c>
      <c r="C411" s="342">
        <v>0</v>
      </c>
      <c r="D411" s="343">
        <v>0</v>
      </c>
      <c r="E411" s="344">
        <v>0</v>
      </c>
      <c r="F411" s="345">
        <v>0</v>
      </c>
      <c r="G411" s="344">
        <v>550000</v>
      </c>
      <c r="H411" s="96"/>
    </row>
    <row r="412" spans="1:8" hidden="1" x14ac:dyDescent="0.2">
      <c r="A412" s="341" t="s">
        <v>499</v>
      </c>
      <c r="B412" s="187" t="s">
        <v>500</v>
      </c>
      <c r="C412" s="342">
        <v>0</v>
      </c>
      <c r="D412" s="343">
        <v>20000</v>
      </c>
      <c r="E412" s="344" t="s">
        <v>448</v>
      </c>
      <c r="F412" s="345">
        <v>16093</v>
      </c>
      <c r="G412" s="344">
        <v>1500000</v>
      </c>
      <c r="H412" s="96"/>
    </row>
    <row r="413" spans="1:8" hidden="1" x14ac:dyDescent="0.2">
      <c r="A413" s="341" t="s">
        <v>501</v>
      </c>
      <c r="B413" s="187" t="s">
        <v>502</v>
      </c>
      <c r="C413" s="342">
        <v>200000</v>
      </c>
      <c r="D413" s="343">
        <v>233000</v>
      </c>
      <c r="E413" s="344">
        <v>199710.5</v>
      </c>
      <c r="F413" s="345">
        <v>199710.5</v>
      </c>
      <c r="G413" s="344">
        <v>200000</v>
      </c>
      <c r="H413" s="96"/>
    </row>
    <row r="414" spans="1:8" hidden="1" x14ac:dyDescent="0.2">
      <c r="A414" s="341" t="s">
        <v>503</v>
      </c>
      <c r="B414" s="187" t="s">
        <v>504</v>
      </c>
      <c r="C414" s="342">
        <v>70000</v>
      </c>
      <c r="D414" s="343">
        <v>70000</v>
      </c>
      <c r="E414" s="344"/>
      <c r="F414" s="345">
        <v>0</v>
      </c>
      <c r="G414" s="344">
        <v>70000</v>
      </c>
      <c r="H414" s="96"/>
    </row>
    <row r="415" spans="1:8" hidden="1" x14ac:dyDescent="0.2">
      <c r="A415" s="341" t="s">
        <v>505</v>
      </c>
      <c r="B415" s="187" t="s">
        <v>506</v>
      </c>
      <c r="C415" s="342">
        <v>0</v>
      </c>
      <c r="D415" s="343">
        <v>0</v>
      </c>
      <c r="E415" s="344">
        <v>0</v>
      </c>
      <c r="F415" s="345">
        <v>0</v>
      </c>
      <c r="G415" s="344">
        <v>500000</v>
      </c>
      <c r="H415" s="96"/>
    </row>
    <row r="416" spans="1:8" hidden="1" x14ac:dyDescent="0.2">
      <c r="A416" s="341" t="s">
        <v>505</v>
      </c>
      <c r="B416" s="372" t="s">
        <v>507</v>
      </c>
      <c r="C416" s="342">
        <v>0</v>
      </c>
      <c r="D416" s="343">
        <v>0</v>
      </c>
      <c r="E416" s="344">
        <v>0</v>
      </c>
      <c r="F416" s="345">
        <v>0</v>
      </c>
      <c r="G416" s="368">
        <v>200000</v>
      </c>
      <c r="H416" s="96"/>
    </row>
    <row r="417" spans="1:8" hidden="1" x14ac:dyDescent="0.2">
      <c r="A417" s="341" t="s">
        <v>505</v>
      </c>
      <c r="B417" s="372" t="s">
        <v>508</v>
      </c>
      <c r="C417" s="342">
        <v>0</v>
      </c>
      <c r="D417" s="343">
        <v>0</v>
      </c>
      <c r="E417" s="344">
        <v>0</v>
      </c>
      <c r="F417" s="345">
        <v>0</v>
      </c>
      <c r="G417" s="344">
        <v>100000</v>
      </c>
      <c r="H417" s="96"/>
    </row>
    <row r="418" spans="1:8" hidden="1" x14ac:dyDescent="0.2">
      <c r="A418" s="341" t="s">
        <v>505</v>
      </c>
      <c r="B418" s="372" t="s">
        <v>509</v>
      </c>
      <c r="C418" s="342">
        <v>0</v>
      </c>
      <c r="D418" s="343">
        <v>0</v>
      </c>
      <c r="E418" s="344">
        <v>0</v>
      </c>
      <c r="F418" s="345">
        <v>0</v>
      </c>
      <c r="G418" s="344">
        <v>100000</v>
      </c>
      <c r="H418" s="96"/>
    </row>
    <row r="419" spans="1:8" hidden="1" x14ac:dyDescent="0.2">
      <c r="A419" s="341" t="s">
        <v>505</v>
      </c>
      <c r="B419" s="372" t="s">
        <v>510</v>
      </c>
      <c r="C419" s="342">
        <v>0</v>
      </c>
      <c r="D419" s="343">
        <v>0</v>
      </c>
      <c r="E419" s="344">
        <v>0</v>
      </c>
      <c r="F419" s="345">
        <v>0</v>
      </c>
      <c r="G419" s="344">
        <v>100000</v>
      </c>
      <c r="H419" s="92"/>
    </row>
    <row r="420" spans="1:8" hidden="1" x14ac:dyDescent="0.2">
      <c r="A420" s="341" t="s">
        <v>505</v>
      </c>
      <c r="B420" s="372" t="s">
        <v>511</v>
      </c>
      <c r="C420" s="342">
        <v>0</v>
      </c>
      <c r="D420" s="343">
        <v>0</v>
      </c>
      <c r="E420" s="344">
        <v>0</v>
      </c>
      <c r="F420" s="345">
        <v>0</v>
      </c>
      <c r="G420" s="344">
        <v>150000</v>
      </c>
      <c r="H420" s="96"/>
    </row>
    <row r="421" spans="1:8" hidden="1" x14ac:dyDescent="0.2">
      <c r="A421" s="341" t="s">
        <v>505</v>
      </c>
      <c r="B421" s="372" t="s">
        <v>512</v>
      </c>
      <c r="C421" s="342">
        <v>0</v>
      </c>
      <c r="D421" s="343">
        <v>0</v>
      </c>
      <c r="E421" s="344">
        <v>0</v>
      </c>
      <c r="F421" s="345">
        <v>0</v>
      </c>
      <c r="G421" s="344">
        <v>100000</v>
      </c>
      <c r="H421" s="96"/>
    </row>
    <row r="422" spans="1:8" hidden="1" x14ac:dyDescent="0.2">
      <c r="A422" s="341" t="s">
        <v>505</v>
      </c>
      <c r="B422" s="372" t="s">
        <v>513</v>
      </c>
      <c r="C422" s="342">
        <v>0</v>
      </c>
      <c r="D422" s="343">
        <v>0</v>
      </c>
      <c r="E422" s="344">
        <v>0</v>
      </c>
      <c r="F422" s="345">
        <v>0</v>
      </c>
      <c r="G422" s="344">
        <v>100000</v>
      </c>
      <c r="H422" s="118"/>
    </row>
    <row r="423" spans="1:8" hidden="1" x14ac:dyDescent="0.2">
      <c r="A423" s="341" t="s">
        <v>505</v>
      </c>
      <c r="B423" s="187" t="s">
        <v>514</v>
      </c>
      <c r="C423" s="342">
        <v>0</v>
      </c>
      <c r="D423" s="343">
        <v>0</v>
      </c>
      <c r="E423" s="344">
        <v>0</v>
      </c>
      <c r="F423" s="345">
        <v>0</v>
      </c>
      <c r="G423" s="344">
        <v>150000</v>
      </c>
      <c r="H423" s="96"/>
    </row>
    <row r="424" spans="1:8" hidden="1" x14ac:dyDescent="0.2">
      <c r="A424" s="341" t="s">
        <v>505</v>
      </c>
      <c r="B424" s="187" t="s">
        <v>515</v>
      </c>
      <c r="C424" s="342">
        <v>0</v>
      </c>
      <c r="D424" s="343">
        <v>0</v>
      </c>
      <c r="E424" s="344">
        <v>0</v>
      </c>
      <c r="F424" s="345">
        <v>0</v>
      </c>
      <c r="G424" s="344">
        <v>700000</v>
      </c>
      <c r="H424" s="96"/>
    </row>
    <row r="425" spans="1:8" hidden="1" x14ac:dyDescent="0.2">
      <c r="A425" s="341" t="s">
        <v>505</v>
      </c>
      <c r="B425" s="187" t="s">
        <v>516</v>
      </c>
      <c r="C425" s="342">
        <v>0</v>
      </c>
      <c r="D425" s="343">
        <v>0</v>
      </c>
      <c r="E425" s="344">
        <v>0</v>
      </c>
      <c r="F425" s="345">
        <v>0</v>
      </c>
      <c r="G425" s="344">
        <v>0</v>
      </c>
      <c r="H425" s="96"/>
    </row>
    <row r="426" spans="1:8" hidden="1" x14ac:dyDescent="0.2">
      <c r="A426" s="341" t="s">
        <v>505</v>
      </c>
      <c r="B426" s="187" t="s">
        <v>517</v>
      </c>
      <c r="C426" s="342">
        <v>0</v>
      </c>
      <c r="D426" s="343">
        <v>0</v>
      </c>
      <c r="E426" s="344">
        <v>0</v>
      </c>
      <c r="F426" s="345">
        <v>0</v>
      </c>
      <c r="G426" s="344">
        <v>0</v>
      </c>
      <c r="H426" s="96"/>
    </row>
    <row r="427" spans="1:8" hidden="1" x14ac:dyDescent="0.2">
      <c r="A427" s="348">
        <v>2221</v>
      </c>
      <c r="B427" s="349" t="s">
        <v>518</v>
      </c>
      <c r="C427" s="350">
        <f>SUM(C428:C430)</f>
        <v>0</v>
      </c>
      <c r="D427" s="369">
        <f>SUM(D428:D430)</f>
        <v>554680</v>
      </c>
      <c r="E427" s="352">
        <f>SUM(E428:E430)</f>
        <v>539765.86</v>
      </c>
      <c r="F427" s="370">
        <f>SUM(F428:F430)</f>
        <v>264680.93</v>
      </c>
      <c r="G427" s="352">
        <f>SUM(G428:G431)</f>
        <v>60000</v>
      </c>
      <c r="H427" s="96"/>
    </row>
    <row r="428" spans="1:8" hidden="1" x14ac:dyDescent="0.2">
      <c r="A428" s="341" t="s">
        <v>519</v>
      </c>
      <c r="B428" s="187" t="s">
        <v>520</v>
      </c>
      <c r="C428" s="342">
        <v>0</v>
      </c>
      <c r="D428" s="343">
        <v>4840</v>
      </c>
      <c r="E428" s="344">
        <v>4840</v>
      </c>
      <c r="F428" s="345">
        <v>4840</v>
      </c>
      <c r="G428" s="344">
        <v>0</v>
      </c>
      <c r="H428" s="96"/>
    </row>
    <row r="429" spans="1:8" hidden="1" x14ac:dyDescent="0.2">
      <c r="A429" s="341" t="s">
        <v>521</v>
      </c>
      <c r="B429" s="187" t="s">
        <v>522</v>
      </c>
      <c r="C429" s="342">
        <v>0</v>
      </c>
      <c r="D429" s="343">
        <v>4840</v>
      </c>
      <c r="E429" s="344">
        <v>4840</v>
      </c>
      <c r="F429" s="345">
        <v>4840</v>
      </c>
      <c r="G429" s="344">
        <v>0</v>
      </c>
      <c r="H429" s="96"/>
    </row>
    <row r="430" spans="1:8" hidden="1" x14ac:dyDescent="0.2">
      <c r="A430" s="341" t="s">
        <v>523</v>
      </c>
      <c r="B430" s="187" t="s">
        <v>524</v>
      </c>
      <c r="C430" s="342">
        <v>0</v>
      </c>
      <c r="D430" s="343">
        <v>545000</v>
      </c>
      <c r="E430" s="344">
        <v>530085.86</v>
      </c>
      <c r="F430" s="345">
        <v>255000.93</v>
      </c>
      <c r="G430" s="344">
        <v>0</v>
      </c>
      <c r="H430" s="96"/>
    </row>
    <row r="431" spans="1:8" hidden="1" x14ac:dyDescent="0.2">
      <c r="A431" s="360" t="s">
        <v>525</v>
      </c>
      <c r="B431" s="373" t="s">
        <v>526</v>
      </c>
      <c r="C431" s="374">
        <v>0</v>
      </c>
      <c r="D431" s="375">
        <v>0</v>
      </c>
      <c r="E431" s="376">
        <v>0</v>
      </c>
      <c r="F431" s="377">
        <v>0</v>
      </c>
      <c r="G431" s="376">
        <v>60000</v>
      </c>
      <c r="H431" s="96"/>
    </row>
    <row r="432" spans="1:8" ht="15.75" hidden="1" x14ac:dyDescent="0.25">
      <c r="A432" s="366"/>
      <c r="B432" s="367" t="s">
        <v>527</v>
      </c>
      <c r="C432" s="331">
        <f>SUM(C433+C435)</f>
        <v>10270000</v>
      </c>
      <c r="D432" s="332">
        <f>SUM(D433+D435)</f>
        <v>4360000</v>
      </c>
      <c r="E432" s="333">
        <f>SUM(E433+E435)</f>
        <v>1000</v>
      </c>
      <c r="F432" s="334">
        <f>SUM(F433+F435)</f>
        <v>1152211.8800000001</v>
      </c>
      <c r="G432" s="333">
        <f>SUM(G433+G435)</f>
        <v>6295000</v>
      </c>
      <c r="H432" s="96"/>
    </row>
    <row r="433" spans="1:8" hidden="1" x14ac:dyDescent="0.2">
      <c r="A433" s="335">
        <v>3613</v>
      </c>
      <c r="B433" s="336" t="s">
        <v>528</v>
      </c>
      <c r="C433" s="337">
        <f>C434</f>
        <v>900000</v>
      </c>
      <c r="D433" s="338">
        <f>D434</f>
        <v>400000</v>
      </c>
      <c r="E433" s="339">
        <f>E434</f>
        <v>0</v>
      </c>
      <c r="F433" s="340">
        <f>F434</f>
        <v>8000</v>
      </c>
      <c r="G433" s="339">
        <f>G434</f>
        <v>550000</v>
      </c>
      <c r="H433" s="96"/>
    </row>
    <row r="434" spans="1:8" hidden="1" x14ac:dyDescent="0.2">
      <c r="A434" s="341" t="s">
        <v>529</v>
      </c>
      <c r="B434" s="187" t="s">
        <v>530</v>
      </c>
      <c r="C434" s="342">
        <v>900000</v>
      </c>
      <c r="D434" s="343">
        <v>400000</v>
      </c>
      <c r="E434" s="344">
        <v>0</v>
      </c>
      <c r="F434" s="345">
        <v>8000</v>
      </c>
      <c r="G434" s="344">
        <v>550000</v>
      </c>
      <c r="H434" s="96"/>
    </row>
    <row r="435" spans="1:8" hidden="1" x14ac:dyDescent="0.2">
      <c r="A435" s="348">
        <v>3639</v>
      </c>
      <c r="B435" s="349" t="s">
        <v>531</v>
      </c>
      <c r="C435" s="350">
        <f>SUM(C436:C444)</f>
        <v>9370000</v>
      </c>
      <c r="D435" s="369">
        <f>SUM(D436:D444)</f>
        <v>3960000</v>
      </c>
      <c r="E435" s="352">
        <f>SUM(E436:E444)</f>
        <v>1000</v>
      </c>
      <c r="F435" s="370">
        <f>SUM(F436:F444)</f>
        <v>1144211.8800000001</v>
      </c>
      <c r="G435" s="352">
        <f>SUM(G436:G444)</f>
        <v>5745000</v>
      </c>
      <c r="H435" s="96"/>
    </row>
    <row r="436" spans="1:8" hidden="1" x14ac:dyDescent="0.2">
      <c r="A436" s="341" t="s">
        <v>532</v>
      </c>
      <c r="B436" s="187" t="s">
        <v>533</v>
      </c>
      <c r="C436" s="342">
        <v>260000</v>
      </c>
      <c r="D436" s="343">
        <v>0</v>
      </c>
      <c r="E436" s="344">
        <v>0</v>
      </c>
      <c r="F436" s="345">
        <v>0</v>
      </c>
      <c r="G436" s="344">
        <v>650000</v>
      </c>
      <c r="H436" s="96"/>
    </row>
    <row r="437" spans="1:8" hidden="1" x14ac:dyDescent="0.2">
      <c r="A437" s="341" t="s">
        <v>534</v>
      </c>
      <c r="B437" s="187" t="s">
        <v>535</v>
      </c>
      <c r="C437" s="342">
        <v>50000</v>
      </c>
      <c r="D437" s="343">
        <v>50000</v>
      </c>
      <c r="E437" s="344"/>
      <c r="F437" s="345">
        <v>12717.55</v>
      </c>
      <c r="G437" s="344">
        <v>20000</v>
      </c>
      <c r="H437" s="96"/>
    </row>
    <row r="438" spans="1:8" hidden="1" x14ac:dyDescent="0.2">
      <c r="A438" s="341" t="s">
        <v>536</v>
      </c>
      <c r="B438" s="187" t="s">
        <v>537</v>
      </c>
      <c r="C438" s="342">
        <v>0</v>
      </c>
      <c r="D438" s="343">
        <v>0</v>
      </c>
      <c r="E438" s="344">
        <v>0</v>
      </c>
      <c r="F438" s="345">
        <v>0</v>
      </c>
      <c r="G438" s="344">
        <v>20000</v>
      </c>
      <c r="H438" s="96"/>
    </row>
    <row r="439" spans="1:8" hidden="1" x14ac:dyDescent="0.2">
      <c r="A439" s="341" t="s">
        <v>538</v>
      </c>
      <c r="B439" s="187" t="s">
        <v>539</v>
      </c>
      <c r="C439" s="342">
        <v>0</v>
      </c>
      <c r="D439" s="343">
        <v>1000</v>
      </c>
      <c r="E439" s="344">
        <v>1000</v>
      </c>
      <c r="F439" s="345">
        <v>1000</v>
      </c>
      <c r="G439" s="344">
        <v>470000</v>
      </c>
      <c r="H439" s="96"/>
    </row>
    <row r="440" spans="1:8" ht="36" hidden="1" x14ac:dyDescent="0.2">
      <c r="A440" s="341" t="s">
        <v>540</v>
      </c>
      <c r="B440" s="378" t="s">
        <v>541</v>
      </c>
      <c r="C440" s="342">
        <v>8950000</v>
      </c>
      <c r="D440" s="343">
        <v>3756600</v>
      </c>
      <c r="E440" s="344" t="s">
        <v>448</v>
      </c>
      <c r="F440" s="345">
        <v>1129022.33</v>
      </c>
      <c r="G440" s="344">
        <v>4540000</v>
      </c>
      <c r="H440" s="96"/>
    </row>
    <row r="441" spans="1:8" hidden="1" x14ac:dyDescent="0.2">
      <c r="A441" s="341" t="s">
        <v>542</v>
      </c>
      <c r="B441" s="187" t="s">
        <v>543</v>
      </c>
      <c r="C441" s="342">
        <v>10000</v>
      </c>
      <c r="D441" s="343">
        <v>10000</v>
      </c>
      <c r="E441" s="344" t="s">
        <v>448</v>
      </c>
      <c r="F441" s="345">
        <v>1472</v>
      </c>
      <c r="G441" s="344">
        <v>45000</v>
      </c>
      <c r="H441" s="96"/>
    </row>
    <row r="442" spans="1:8" hidden="1" x14ac:dyDescent="0.2">
      <c r="A442" s="341" t="s">
        <v>544</v>
      </c>
      <c r="B442" s="187" t="s">
        <v>545</v>
      </c>
      <c r="C442" s="342">
        <v>50000</v>
      </c>
      <c r="D442" s="343">
        <v>0</v>
      </c>
      <c r="E442" s="344">
        <v>0</v>
      </c>
      <c r="F442" s="345">
        <v>0</v>
      </c>
      <c r="G442" s="344">
        <v>0</v>
      </c>
      <c r="H442" s="96"/>
    </row>
    <row r="443" spans="1:8" hidden="1" x14ac:dyDescent="0.2">
      <c r="A443" s="341" t="s">
        <v>546</v>
      </c>
      <c r="B443" s="187" t="s">
        <v>547</v>
      </c>
      <c r="C443" s="342">
        <v>50000</v>
      </c>
      <c r="D443" s="343">
        <v>50000</v>
      </c>
      <c r="E443" s="344" t="s">
        <v>448</v>
      </c>
      <c r="F443" s="345">
        <v>0</v>
      </c>
      <c r="G443" s="344">
        <v>0</v>
      </c>
      <c r="H443" s="96"/>
    </row>
    <row r="444" spans="1:8" hidden="1" x14ac:dyDescent="0.2">
      <c r="A444" s="360" t="s">
        <v>548</v>
      </c>
      <c r="B444" s="373" t="s">
        <v>549</v>
      </c>
      <c r="C444" s="374">
        <v>0</v>
      </c>
      <c r="D444" s="375">
        <v>92400</v>
      </c>
      <c r="E444" s="376"/>
      <c r="F444" s="377">
        <v>0</v>
      </c>
      <c r="G444" s="376">
        <v>0</v>
      </c>
      <c r="H444" s="96"/>
    </row>
    <row r="445" spans="1:8" ht="15.75" hidden="1" x14ac:dyDescent="0.25">
      <c r="A445" s="366"/>
      <c r="B445" s="367" t="s">
        <v>550</v>
      </c>
      <c r="C445" s="379">
        <f>SUM(C446,C449,C455,C469,C472)</f>
        <v>38897343</v>
      </c>
      <c r="D445" s="380">
        <f>SUM(D446,D449,D455,D469,D472)</f>
        <v>36797343</v>
      </c>
      <c r="E445" s="381">
        <f>SUM(E446,E449,E455,E469,E472)</f>
        <v>313046.65000000002</v>
      </c>
      <c r="F445" s="382">
        <f>SUM(F446,F449,F455,F469,F472)</f>
        <v>963168.65</v>
      </c>
      <c r="G445" s="381">
        <f>SUM(G446,G449,G455,G469,G472)</f>
        <v>52726000</v>
      </c>
      <c r="H445" s="96"/>
    </row>
    <row r="446" spans="1:8" hidden="1" x14ac:dyDescent="0.2">
      <c r="A446" s="335">
        <v>3412</v>
      </c>
      <c r="B446" s="336" t="s">
        <v>551</v>
      </c>
      <c r="C446" s="337">
        <f>SUM(C447:C448)</f>
        <v>0</v>
      </c>
      <c r="D446" s="338">
        <f>SUM(D447:D448)</f>
        <v>0</v>
      </c>
      <c r="E446" s="339">
        <f>SUM(E447:E448)</f>
        <v>0</v>
      </c>
      <c r="F446" s="340">
        <f>SUM(F447:F448)</f>
        <v>0</v>
      </c>
      <c r="G446" s="339">
        <f>SUM(G447:G448)</f>
        <v>2500000</v>
      </c>
      <c r="H446" s="96"/>
    </row>
    <row r="447" spans="1:8" hidden="1" x14ac:dyDescent="0.2">
      <c r="A447" s="341" t="s">
        <v>552</v>
      </c>
      <c r="B447" s="187" t="s">
        <v>553</v>
      </c>
      <c r="C447" s="342">
        <v>0</v>
      </c>
      <c r="D447" s="343">
        <v>0</v>
      </c>
      <c r="E447" s="344">
        <v>0</v>
      </c>
      <c r="F447" s="345">
        <v>0</v>
      </c>
      <c r="G447" s="344">
        <v>500000</v>
      </c>
      <c r="H447" s="96"/>
    </row>
    <row r="448" spans="1:8" hidden="1" x14ac:dyDescent="0.2">
      <c r="A448" s="341" t="s">
        <v>552</v>
      </c>
      <c r="B448" s="187" t="s">
        <v>554</v>
      </c>
      <c r="C448" s="342">
        <v>0</v>
      </c>
      <c r="D448" s="343">
        <v>0</v>
      </c>
      <c r="E448" s="344">
        <v>0</v>
      </c>
      <c r="F448" s="345">
        <v>0</v>
      </c>
      <c r="G448" s="344">
        <v>2000000</v>
      </c>
      <c r="H448" s="96"/>
    </row>
    <row r="449" spans="1:8" hidden="1" x14ac:dyDescent="0.2">
      <c r="A449" s="348">
        <v>3613</v>
      </c>
      <c r="B449" s="349" t="s">
        <v>555</v>
      </c>
      <c r="C449" s="350">
        <f>SUM(C450:C454)</f>
        <v>542343</v>
      </c>
      <c r="D449" s="369">
        <f>SUM(D450:D454)</f>
        <v>542343</v>
      </c>
      <c r="E449" s="352">
        <f>SUM(E450:E454)</f>
        <v>0</v>
      </c>
      <c r="F449" s="370">
        <f>SUM(F450:F454)</f>
        <v>48400</v>
      </c>
      <c r="G449" s="352">
        <f>SUM(G450:G454)</f>
        <v>8010000</v>
      </c>
      <c r="H449" s="96"/>
    </row>
    <row r="450" spans="1:8" hidden="1" x14ac:dyDescent="0.2">
      <c r="A450" s="341" t="s">
        <v>556</v>
      </c>
      <c r="B450" s="187" t="s">
        <v>557</v>
      </c>
      <c r="C450" s="342">
        <v>72343</v>
      </c>
      <c r="D450" s="343">
        <v>72343</v>
      </c>
      <c r="E450" s="344" t="s">
        <v>448</v>
      </c>
      <c r="F450" s="345">
        <v>0</v>
      </c>
      <c r="G450" s="344">
        <v>0</v>
      </c>
      <c r="H450" s="96"/>
    </row>
    <row r="451" spans="1:8" hidden="1" x14ac:dyDescent="0.2">
      <c r="A451" s="341" t="s">
        <v>558</v>
      </c>
      <c r="B451" s="187" t="s">
        <v>559</v>
      </c>
      <c r="C451" s="342">
        <v>300000</v>
      </c>
      <c r="D451" s="343">
        <v>300000</v>
      </c>
      <c r="E451" s="344"/>
      <c r="F451" s="345">
        <v>0</v>
      </c>
      <c r="G451" s="344">
        <v>200000</v>
      </c>
      <c r="H451" s="96"/>
    </row>
    <row r="452" spans="1:8" hidden="1" x14ac:dyDescent="0.2">
      <c r="A452" s="341" t="s">
        <v>560</v>
      </c>
      <c r="B452" s="187" t="s">
        <v>561</v>
      </c>
      <c r="C452" s="342">
        <v>70000</v>
      </c>
      <c r="D452" s="343">
        <v>70000</v>
      </c>
      <c r="E452" s="344"/>
      <c r="F452" s="345">
        <v>0</v>
      </c>
      <c r="G452" s="344">
        <v>10000</v>
      </c>
      <c r="H452" s="96"/>
    </row>
    <row r="453" spans="1:8" hidden="1" x14ac:dyDescent="0.2">
      <c r="A453" s="341" t="s">
        <v>562</v>
      </c>
      <c r="B453" s="187" t="s">
        <v>563</v>
      </c>
      <c r="C453" s="342">
        <v>100000</v>
      </c>
      <c r="D453" s="343">
        <v>100000</v>
      </c>
      <c r="E453" s="344"/>
      <c r="F453" s="345">
        <v>48400</v>
      </c>
      <c r="G453" s="344">
        <v>7800000</v>
      </c>
      <c r="H453" s="96"/>
    </row>
    <row r="454" spans="1:8" hidden="1" x14ac:dyDescent="0.2">
      <c r="A454" s="341" t="s">
        <v>564</v>
      </c>
      <c r="B454" s="187" t="s">
        <v>565</v>
      </c>
      <c r="C454" s="342">
        <v>0</v>
      </c>
      <c r="D454" s="343">
        <v>0</v>
      </c>
      <c r="E454" s="344">
        <v>0</v>
      </c>
      <c r="F454" s="345">
        <v>0</v>
      </c>
      <c r="G454" s="344">
        <v>0</v>
      </c>
      <c r="H454" s="96"/>
    </row>
    <row r="455" spans="1:8" hidden="1" x14ac:dyDescent="0.2">
      <c r="A455" s="348">
        <v>3631</v>
      </c>
      <c r="B455" s="349" t="s">
        <v>566</v>
      </c>
      <c r="C455" s="350">
        <f>SUM(C456:C468)</f>
        <v>3555000</v>
      </c>
      <c r="D455" s="369">
        <f>SUM(D456:D468)</f>
        <v>3055000</v>
      </c>
      <c r="E455" s="352">
        <f>SUM(E456:E468)</f>
        <v>313046.65000000002</v>
      </c>
      <c r="F455" s="370">
        <f>SUM(F456:F468)</f>
        <v>344272.65</v>
      </c>
      <c r="G455" s="352">
        <f>SUM(G456:G468)</f>
        <v>10716000</v>
      </c>
      <c r="H455" s="96"/>
    </row>
    <row r="456" spans="1:8" hidden="1" x14ac:dyDescent="0.2">
      <c r="A456" s="341" t="s">
        <v>567</v>
      </c>
      <c r="B456" s="187" t="s">
        <v>568</v>
      </c>
      <c r="C456" s="342">
        <v>500000</v>
      </c>
      <c r="D456" s="343">
        <v>295000</v>
      </c>
      <c r="E456" s="344"/>
      <c r="F456" s="345">
        <v>0</v>
      </c>
      <c r="G456" s="344">
        <v>0</v>
      </c>
      <c r="H456" s="118"/>
    </row>
    <row r="457" spans="1:8" hidden="1" x14ac:dyDescent="0.2">
      <c r="A457" s="341" t="s">
        <v>569</v>
      </c>
      <c r="B457" s="187" t="s">
        <v>570</v>
      </c>
      <c r="C457" s="342">
        <v>230000</v>
      </c>
      <c r="D457" s="343">
        <v>230000</v>
      </c>
      <c r="E457" s="344">
        <v>192909.68</v>
      </c>
      <c r="F457" s="345">
        <v>192909.68</v>
      </c>
      <c r="G457" s="344">
        <v>0</v>
      </c>
      <c r="H457" s="96"/>
    </row>
    <row r="458" spans="1:8" hidden="1" x14ac:dyDescent="0.2">
      <c r="A458" s="341" t="s">
        <v>571</v>
      </c>
      <c r="B458" s="187" t="s">
        <v>572</v>
      </c>
      <c r="C458" s="342">
        <v>700000</v>
      </c>
      <c r="D458" s="343">
        <v>700000</v>
      </c>
      <c r="E458" s="344" t="s">
        <v>448</v>
      </c>
      <c r="F458" s="345">
        <v>0</v>
      </c>
      <c r="G458" s="344">
        <v>0</v>
      </c>
      <c r="H458" s="96"/>
    </row>
    <row r="459" spans="1:8" hidden="1" x14ac:dyDescent="0.2">
      <c r="A459" s="341" t="s">
        <v>573</v>
      </c>
      <c r="B459" s="187" t="s">
        <v>574</v>
      </c>
      <c r="C459" s="342">
        <v>200000</v>
      </c>
      <c r="D459" s="343">
        <v>200000</v>
      </c>
      <c r="E459" s="344"/>
      <c r="F459" s="345">
        <v>0</v>
      </c>
      <c r="G459" s="344">
        <v>6600000</v>
      </c>
      <c r="H459" s="96"/>
    </row>
    <row r="460" spans="1:8" hidden="1" x14ac:dyDescent="0.2">
      <c r="A460" s="341" t="s">
        <v>575</v>
      </c>
      <c r="B460" s="187" t="s">
        <v>576</v>
      </c>
      <c r="C460" s="342">
        <v>35000</v>
      </c>
      <c r="D460" s="343">
        <v>40000</v>
      </c>
      <c r="E460" s="344">
        <v>39546.97</v>
      </c>
      <c r="F460" s="345">
        <v>39546.97</v>
      </c>
      <c r="G460" s="344">
        <v>0</v>
      </c>
      <c r="H460" s="96"/>
    </row>
    <row r="461" spans="1:8" hidden="1" x14ac:dyDescent="0.2">
      <c r="A461" s="341" t="s">
        <v>577</v>
      </c>
      <c r="B461" s="187" t="s">
        <v>578</v>
      </c>
      <c r="C461" s="342">
        <v>80000</v>
      </c>
      <c r="D461" s="343">
        <v>80000</v>
      </c>
      <c r="E461" s="344">
        <v>59290</v>
      </c>
      <c r="F461" s="345">
        <v>59290</v>
      </c>
      <c r="G461" s="344">
        <v>1400000</v>
      </c>
      <c r="H461" s="96"/>
    </row>
    <row r="462" spans="1:8" hidden="1" x14ac:dyDescent="0.2">
      <c r="A462" s="341" t="s">
        <v>579</v>
      </c>
      <c r="B462" s="187" t="s">
        <v>580</v>
      </c>
      <c r="C462" s="342">
        <v>1400000</v>
      </c>
      <c r="D462" s="343">
        <v>1100000</v>
      </c>
      <c r="E462" s="344" t="s">
        <v>448</v>
      </c>
      <c r="F462" s="345">
        <v>31226</v>
      </c>
      <c r="G462" s="344">
        <v>0</v>
      </c>
      <c r="H462" s="96"/>
    </row>
    <row r="463" spans="1:8" hidden="1" x14ac:dyDescent="0.2">
      <c r="A463" s="341" t="s">
        <v>581</v>
      </c>
      <c r="B463" s="187" t="s">
        <v>582</v>
      </c>
      <c r="C463" s="342">
        <v>60000</v>
      </c>
      <c r="D463" s="343">
        <v>60000</v>
      </c>
      <c r="E463" s="344">
        <v>21300</v>
      </c>
      <c r="F463" s="345">
        <v>21300</v>
      </c>
      <c r="G463" s="344">
        <v>0</v>
      </c>
      <c r="H463" s="96"/>
    </row>
    <row r="464" spans="1:8" hidden="1" x14ac:dyDescent="0.2">
      <c r="A464" s="341" t="s">
        <v>583</v>
      </c>
      <c r="B464" s="187" t="s">
        <v>584</v>
      </c>
      <c r="C464" s="342">
        <v>100000</v>
      </c>
      <c r="D464" s="343">
        <v>100000</v>
      </c>
      <c r="E464" s="344" t="s">
        <v>448</v>
      </c>
      <c r="F464" s="345">
        <v>0</v>
      </c>
      <c r="G464" s="344">
        <v>1466000</v>
      </c>
      <c r="H464" s="96"/>
    </row>
    <row r="465" spans="1:8" hidden="1" x14ac:dyDescent="0.2">
      <c r="A465" s="341" t="s">
        <v>585</v>
      </c>
      <c r="B465" s="187" t="s">
        <v>586</v>
      </c>
      <c r="C465" s="342">
        <v>100000</v>
      </c>
      <c r="D465" s="343">
        <v>100000</v>
      </c>
      <c r="E465" s="344" t="s">
        <v>448</v>
      </c>
      <c r="F465" s="345">
        <v>0</v>
      </c>
      <c r="G465" s="344">
        <v>0</v>
      </c>
      <c r="H465" s="96"/>
    </row>
    <row r="466" spans="1:8" hidden="1" x14ac:dyDescent="0.2">
      <c r="A466" s="341" t="s">
        <v>587</v>
      </c>
      <c r="B466" s="187" t="s">
        <v>588</v>
      </c>
      <c r="C466" s="342">
        <v>90000</v>
      </c>
      <c r="D466" s="343">
        <v>90000</v>
      </c>
      <c r="E466" s="344" t="s">
        <v>448</v>
      </c>
      <c r="F466" s="345">
        <v>0</v>
      </c>
      <c r="G466" s="344">
        <v>0</v>
      </c>
      <c r="H466" s="96"/>
    </row>
    <row r="467" spans="1:8" hidden="1" x14ac:dyDescent="0.2">
      <c r="A467" s="341" t="s">
        <v>589</v>
      </c>
      <c r="B467" s="187" t="s">
        <v>590</v>
      </c>
      <c r="C467" s="342">
        <v>60000</v>
      </c>
      <c r="D467" s="343">
        <v>60000</v>
      </c>
      <c r="E467" s="344" t="s">
        <v>448</v>
      </c>
      <c r="F467" s="345">
        <v>0</v>
      </c>
      <c r="G467" s="344">
        <v>1200000</v>
      </c>
      <c r="H467" s="96"/>
    </row>
    <row r="468" spans="1:8" hidden="1" x14ac:dyDescent="0.2">
      <c r="A468" s="341" t="s">
        <v>591</v>
      </c>
      <c r="B468" s="187" t="s">
        <v>592</v>
      </c>
      <c r="C468" s="342">
        <v>0</v>
      </c>
      <c r="D468" s="343">
        <v>0</v>
      </c>
      <c r="E468" s="344">
        <v>0</v>
      </c>
      <c r="F468" s="345">
        <v>0</v>
      </c>
      <c r="G468" s="368">
        <v>50000</v>
      </c>
      <c r="H468" s="96"/>
    </row>
    <row r="469" spans="1:8" hidden="1" x14ac:dyDescent="0.2">
      <c r="A469" s="348">
        <v>3632</v>
      </c>
      <c r="B469" s="349" t="s">
        <v>593</v>
      </c>
      <c r="C469" s="350">
        <f>SUM(C470:C471)</f>
        <v>1400000</v>
      </c>
      <c r="D469" s="369">
        <f>SUM(D470:D471)</f>
        <v>900000</v>
      </c>
      <c r="E469" s="352">
        <f>SUM(E470:E471)</f>
        <v>0</v>
      </c>
      <c r="F469" s="370">
        <f>SUM(F470:F471)</f>
        <v>457240</v>
      </c>
      <c r="G469" s="352">
        <f>SUM(G470:G471)</f>
        <v>0</v>
      </c>
      <c r="H469" s="96"/>
    </row>
    <row r="470" spans="1:8" hidden="1" x14ac:dyDescent="0.2">
      <c r="A470" s="341" t="s">
        <v>594</v>
      </c>
      <c r="B470" s="187" t="s">
        <v>595</v>
      </c>
      <c r="C470" s="342">
        <v>0</v>
      </c>
      <c r="D470" s="343">
        <v>900000</v>
      </c>
      <c r="E470" s="344"/>
      <c r="F470" s="345">
        <v>457240</v>
      </c>
      <c r="G470" s="344">
        <v>0</v>
      </c>
      <c r="H470" s="96"/>
    </row>
    <row r="471" spans="1:8" hidden="1" x14ac:dyDescent="0.2">
      <c r="A471" s="341" t="s">
        <v>596</v>
      </c>
      <c r="B471" s="187" t="s">
        <v>595</v>
      </c>
      <c r="C471" s="342">
        <v>1400000</v>
      </c>
      <c r="D471" s="343">
        <v>0</v>
      </c>
      <c r="E471" s="344">
        <v>0</v>
      </c>
      <c r="F471" s="345">
        <v>0</v>
      </c>
      <c r="G471" s="344">
        <v>0</v>
      </c>
      <c r="H471" s="96"/>
    </row>
    <row r="472" spans="1:8" hidden="1" x14ac:dyDescent="0.2">
      <c r="A472" s="348">
        <v>3633</v>
      </c>
      <c r="B472" s="349" t="s">
        <v>597</v>
      </c>
      <c r="C472" s="350">
        <f>SUM(C473:C475)</f>
        <v>33400000</v>
      </c>
      <c r="D472" s="369">
        <f>SUM(D473:D475)</f>
        <v>32300000</v>
      </c>
      <c r="E472" s="352">
        <f>SUM(E473:E475)</f>
        <v>0</v>
      </c>
      <c r="F472" s="370">
        <f>SUM(F473:F475)</f>
        <v>113256</v>
      </c>
      <c r="G472" s="352">
        <f>SUM(G473:G475)</f>
        <v>31500000</v>
      </c>
      <c r="H472" s="96"/>
    </row>
    <row r="473" spans="1:8" hidden="1" x14ac:dyDescent="0.2">
      <c r="A473" s="341" t="s">
        <v>598</v>
      </c>
      <c r="B473" s="187" t="s">
        <v>599</v>
      </c>
      <c r="C473" s="342">
        <v>3000000</v>
      </c>
      <c r="D473" s="343">
        <v>2000000</v>
      </c>
      <c r="E473" s="344"/>
      <c r="F473" s="345">
        <v>0</v>
      </c>
      <c r="G473" s="344">
        <v>1500000</v>
      </c>
      <c r="H473" s="96"/>
    </row>
    <row r="474" spans="1:8" hidden="1" x14ac:dyDescent="0.2">
      <c r="A474" s="341" t="s">
        <v>600</v>
      </c>
      <c r="B474" s="187" t="s">
        <v>601</v>
      </c>
      <c r="C474" s="342">
        <v>30000000</v>
      </c>
      <c r="D474" s="343">
        <v>30000000</v>
      </c>
      <c r="E474" s="344"/>
      <c r="F474" s="345">
        <v>48400</v>
      </c>
      <c r="G474" s="344">
        <v>30000000</v>
      </c>
      <c r="H474" s="96"/>
    </row>
    <row r="475" spans="1:8" hidden="1" x14ac:dyDescent="0.2">
      <c r="A475" s="360" t="s">
        <v>602</v>
      </c>
      <c r="B475" s="383" t="s">
        <v>603</v>
      </c>
      <c r="C475" s="384">
        <v>400000</v>
      </c>
      <c r="D475" s="385">
        <v>300000</v>
      </c>
      <c r="E475" s="386"/>
      <c r="F475" s="387">
        <v>64856</v>
      </c>
      <c r="G475" s="386">
        <v>0</v>
      </c>
      <c r="H475" s="96"/>
    </row>
    <row r="476" spans="1:8" ht="15.75" hidden="1" x14ac:dyDescent="0.25">
      <c r="A476" s="366"/>
      <c r="B476" s="367" t="s">
        <v>604</v>
      </c>
      <c r="C476" s="331">
        <f>SUM(C477:C480)</f>
        <v>1174000</v>
      </c>
      <c r="D476" s="332">
        <f>SUM(D477:D480)</f>
        <v>650000</v>
      </c>
      <c r="E476" s="333">
        <f>SUM(E477:E480)</f>
        <v>150000</v>
      </c>
      <c r="F476" s="334">
        <f>SUM(F477:F480)</f>
        <v>105000</v>
      </c>
      <c r="G476" s="333">
        <f>SUM(G477:G480)</f>
        <v>472500</v>
      </c>
      <c r="H476" s="96"/>
    </row>
    <row r="477" spans="1:8" hidden="1" x14ac:dyDescent="0.2">
      <c r="A477" s="388" t="s">
        <v>605</v>
      </c>
      <c r="B477" s="358" t="s">
        <v>606</v>
      </c>
      <c r="C477" s="355">
        <v>287000</v>
      </c>
      <c r="D477" s="389">
        <v>250000</v>
      </c>
      <c r="E477" s="359" t="s">
        <v>448</v>
      </c>
      <c r="F477" s="390">
        <v>0</v>
      </c>
      <c r="G477" s="359">
        <v>150000</v>
      </c>
      <c r="H477" s="96"/>
    </row>
    <row r="478" spans="1:8" hidden="1" x14ac:dyDescent="0.2">
      <c r="A478" s="341" t="s">
        <v>607</v>
      </c>
      <c r="B478" s="187" t="s">
        <v>608</v>
      </c>
      <c r="C478" s="342">
        <v>287000</v>
      </c>
      <c r="D478" s="343">
        <v>250000</v>
      </c>
      <c r="E478" s="344" t="s">
        <v>448</v>
      </c>
      <c r="F478" s="345">
        <v>0</v>
      </c>
      <c r="G478" s="344">
        <v>150000</v>
      </c>
      <c r="H478" s="96"/>
    </row>
    <row r="479" spans="1:8" hidden="1" x14ac:dyDescent="0.2">
      <c r="A479" s="341" t="s">
        <v>609</v>
      </c>
      <c r="B479" s="187" t="s">
        <v>610</v>
      </c>
      <c r="C479" s="342">
        <v>600000</v>
      </c>
      <c r="D479" s="343">
        <v>150000</v>
      </c>
      <c r="E479" s="344">
        <v>150000</v>
      </c>
      <c r="F479" s="345">
        <v>105000</v>
      </c>
      <c r="G479" s="344">
        <v>172500</v>
      </c>
      <c r="H479" s="96"/>
    </row>
    <row r="480" spans="1:8" hidden="1" x14ac:dyDescent="0.2">
      <c r="A480" s="391"/>
      <c r="B480" s="373"/>
      <c r="C480" s="374"/>
      <c r="D480" s="375"/>
      <c r="E480" s="376"/>
      <c r="F480" s="377"/>
      <c r="G480" s="376"/>
      <c r="H480" s="96"/>
    </row>
    <row r="481" spans="1:8" ht="20.25" hidden="1" x14ac:dyDescent="0.2">
      <c r="A481" s="392">
        <v>2141</v>
      </c>
      <c r="B481" s="393" t="s">
        <v>31</v>
      </c>
      <c r="C481" s="394">
        <f>SUM(C482:C484)</f>
        <v>3086000</v>
      </c>
      <c r="D481" s="394">
        <f>SUM(D482:D484)</f>
        <v>4456000</v>
      </c>
      <c r="E481" s="394">
        <f>SUM(E482:E484)</f>
        <v>4273000</v>
      </c>
      <c r="F481" s="394">
        <f>SUM(F482:F484)</f>
        <v>3290243</v>
      </c>
      <c r="G481" s="394">
        <f>SUM(G482:G484)</f>
        <v>3640000</v>
      </c>
      <c r="H481" s="96"/>
    </row>
    <row r="482" spans="1:8" ht="31.5" hidden="1" customHeight="1" x14ac:dyDescent="0.2">
      <c r="A482" s="158">
        <v>3341</v>
      </c>
      <c r="B482" s="225" t="s">
        <v>611</v>
      </c>
      <c r="C482" s="395">
        <v>900000</v>
      </c>
      <c r="D482" s="395">
        <v>2270000</v>
      </c>
      <c r="E482" s="396">
        <v>2100000</v>
      </c>
      <c r="F482" s="397">
        <v>2079396</v>
      </c>
      <c r="G482" s="111">
        <v>950000</v>
      </c>
      <c r="H482" s="118"/>
    </row>
    <row r="483" spans="1:8" hidden="1" x14ac:dyDescent="0.2">
      <c r="A483" s="161">
        <v>3399</v>
      </c>
      <c r="B483" s="165" t="s">
        <v>612</v>
      </c>
      <c r="C483" s="166">
        <v>2170000</v>
      </c>
      <c r="D483" s="166">
        <v>2170000</v>
      </c>
      <c r="E483" s="398">
        <v>2170000</v>
      </c>
      <c r="F483" s="399">
        <v>1210847</v>
      </c>
      <c r="G483" s="111">
        <v>2670000</v>
      </c>
      <c r="H483" s="96"/>
    </row>
    <row r="484" spans="1:8" hidden="1" x14ac:dyDescent="0.2">
      <c r="A484" s="400"/>
      <c r="B484" s="165" t="s">
        <v>613</v>
      </c>
      <c r="C484" s="166">
        <v>16000</v>
      </c>
      <c r="D484" s="166">
        <v>16000</v>
      </c>
      <c r="E484" s="401">
        <v>3000</v>
      </c>
      <c r="F484" s="402">
        <v>0</v>
      </c>
      <c r="G484" s="111">
        <v>20000</v>
      </c>
      <c r="H484" s="96"/>
    </row>
    <row r="485" spans="1:8" s="289" customFormat="1" ht="12.75" hidden="1" customHeight="1" x14ac:dyDescent="0.25">
      <c r="A485" s="403"/>
      <c r="B485" s="404"/>
      <c r="C485" s="405"/>
      <c r="D485" s="405"/>
      <c r="E485" s="406"/>
      <c r="F485" s="407"/>
      <c r="G485" s="309"/>
      <c r="H485" s="96"/>
    </row>
    <row r="486" spans="1:8" s="411" customFormat="1" ht="20.25" hidden="1" x14ac:dyDescent="0.3">
      <c r="A486" s="408"/>
      <c r="B486" s="94" t="s">
        <v>614</v>
      </c>
      <c r="C486" s="409">
        <f>SUM(C487:C490)</f>
        <v>10612697</v>
      </c>
      <c r="D486" s="409">
        <v>9354593</v>
      </c>
      <c r="E486" s="409">
        <f>SUM(E487:E490)</f>
        <v>9354593</v>
      </c>
      <c r="F486" s="410">
        <v>5300735.47</v>
      </c>
      <c r="G486" s="409">
        <f>SUM(G487:G490)</f>
        <v>10752956</v>
      </c>
      <c r="H486" s="144"/>
    </row>
    <row r="487" spans="1:8" s="411" customFormat="1" ht="24.75" hidden="1" x14ac:dyDescent="0.2">
      <c r="A487" s="158">
        <v>2141</v>
      </c>
      <c r="B487" s="225" t="s">
        <v>615</v>
      </c>
      <c r="C487" s="166">
        <f>(25+38+64+422+5)*1000</f>
        <v>554000</v>
      </c>
      <c r="D487" s="166">
        <v>703800</v>
      </c>
      <c r="E487" s="412">
        <v>703800</v>
      </c>
      <c r="F487" s="413">
        <v>99904.25</v>
      </c>
      <c r="G487" s="226">
        <v>1226000</v>
      </c>
      <c r="H487" s="135"/>
    </row>
    <row r="488" spans="1:8" s="411" customFormat="1" ht="60.75" hidden="1" x14ac:dyDescent="0.2">
      <c r="A488" s="161">
        <v>2143</v>
      </c>
      <c r="B488" s="414" t="s">
        <v>616</v>
      </c>
      <c r="C488" s="166">
        <v>9407197</v>
      </c>
      <c r="D488" s="166">
        <v>8124293</v>
      </c>
      <c r="E488" s="415">
        <v>8124293</v>
      </c>
      <c r="F488" s="229">
        <v>4990927.7300000004</v>
      </c>
      <c r="G488" s="226">
        <v>8971956</v>
      </c>
      <c r="H488" s="135"/>
    </row>
    <row r="489" spans="1:8" s="411" customFormat="1" hidden="1" x14ac:dyDescent="0.2">
      <c r="A489" s="161">
        <v>3399</v>
      </c>
      <c r="B489" s="165" t="s">
        <v>617</v>
      </c>
      <c r="C489" s="166">
        <v>36500</v>
      </c>
      <c r="D489" s="166">
        <v>36500</v>
      </c>
      <c r="E489" s="203">
        <v>36500</v>
      </c>
      <c r="F489" s="229">
        <v>33332.79</v>
      </c>
      <c r="G489" s="226">
        <v>40000</v>
      </c>
      <c r="H489" s="144"/>
    </row>
    <row r="490" spans="1:8" s="411" customFormat="1" ht="24.75" hidden="1" x14ac:dyDescent="0.2">
      <c r="A490" s="161">
        <v>6223</v>
      </c>
      <c r="B490" s="167" t="s">
        <v>618</v>
      </c>
      <c r="C490" s="166">
        <f>(5+100+5+5+30+280+70+115+5)*1000</f>
        <v>615000</v>
      </c>
      <c r="D490" s="166">
        <v>490000</v>
      </c>
      <c r="E490" s="226">
        <v>490000</v>
      </c>
      <c r="F490" s="134">
        <v>176570.7</v>
      </c>
      <c r="G490" s="226">
        <v>515000</v>
      </c>
      <c r="H490" s="135"/>
    </row>
    <row r="491" spans="1:8" s="107" customFormat="1" hidden="1" x14ac:dyDescent="0.2">
      <c r="A491" s="416"/>
      <c r="B491" s="417"/>
      <c r="C491" s="418"/>
      <c r="D491" s="418"/>
      <c r="E491" s="419"/>
      <c r="F491" s="419"/>
      <c r="G491" s="309"/>
      <c r="H491" s="96"/>
    </row>
    <row r="492" spans="1:8" s="116" customFormat="1" ht="20.25" hidden="1" x14ac:dyDescent="0.2">
      <c r="A492" s="420"/>
      <c r="B492" s="393" t="s">
        <v>33</v>
      </c>
      <c r="C492" s="409">
        <f>SUM(C493,C495,C496)</f>
        <v>6426417</v>
      </c>
      <c r="D492" s="409">
        <f>D496+D495+D493</f>
        <v>6357417</v>
      </c>
      <c r="E492" s="409">
        <f>SUM(E493,E495,E496)</f>
        <v>6413417</v>
      </c>
      <c r="F492" s="421">
        <f>F493+F495+F496</f>
        <v>4365980.75</v>
      </c>
      <c r="G492" s="409">
        <f>SUM(G493,G495,G496)</f>
        <v>7038417</v>
      </c>
      <c r="H492" s="96"/>
    </row>
    <row r="493" spans="1:8" s="116" customFormat="1" hidden="1" x14ac:dyDescent="0.2">
      <c r="A493" s="161">
        <v>2223</v>
      </c>
      <c r="B493" s="161" t="s">
        <v>619</v>
      </c>
      <c r="C493" s="160">
        <f>C494</f>
        <v>76000</v>
      </c>
      <c r="D493" s="160">
        <v>76000</v>
      </c>
      <c r="E493" s="422">
        <v>70000</v>
      </c>
      <c r="F493" s="162">
        <v>42000</v>
      </c>
      <c r="G493" s="111">
        <v>76000</v>
      </c>
      <c r="H493" s="96"/>
    </row>
    <row r="494" spans="1:8" s="116" customFormat="1" hidden="1" x14ac:dyDescent="0.2">
      <c r="A494" s="161"/>
      <c r="B494" s="423" t="s">
        <v>620</v>
      </c>
      <c r="C494" s="132">
        <v>76000</v>
      </c>
      <c r="D494" s="132">
        <v>76000</v>
      </c>
      <c r="E494" s="320">
        <v>70000</v>
      </c>
      <c r="F494" s="127">
        <v>42000</v>
      </c>
      <c r="G494" s="122">
        <v>76000</v>
      </c>
      <c r="H494" s="96"/>
    </row>
    <row r="495" spans="1:8" s="116" customFormat="1" hidden="1" x14ac:dyDescent="0.2">
      <c r="A495" s="272">
        <v>2229</v>
      </c>
      <c r="B495" s="272" t="s">
        <v>621</v>
      </c>
      <c r="C495" s="226">
        <v>0</v>
      </c>
      <c r="D495" s="226">
        <v>71000</v>
      </c>
      <c r="E495" s="424">
        <v>71000</v>
      </c>
      <c r="F495" s="138">
        <v>71000</v>
      </c>
      <c r="G495" s="111">
        <v>0</v>
      </c>
      <c r="H495" s="96"/>
    </row>
    <row r="496" spans="1:8" s="116" customFormat="1" hidden="1" x14ac:dyDescent="0.2">
      <c r="A496" s="161">
        <v>2292</v>
      </c>
      <c r="B496" s="161" t="s">
        <v>622</v>
      </c>
      <c r="C496" s="226">
        <f>SUM(C497:C500)</f>
        <v>6350417</v>
      </c>
      <c r="D496" s="226">
        <f>D497+D498+D499+D500</f>
        <v>6210417</v>
      </c>
      <c r="E496" s="424">
        <f>E497+E498+E499+E500</f>
        <v>6272417</v>
      </c>
      <c r="F496" s="138">
        <v>4252980.75</v>
      </c>
      <c r="G496" s="111">
        <f>G497+G498+G500+G501</f>
        <v>6962417</v>
      </c>
      <c r="H496" s="96"/>
    </row>
    <row r="497" spans="1:55" s="116" customFormat="1" hidden="1" x14ac:dyDescent="0.2">
      <c r="A497" s="161"/>
      <c r="B497" s="142" t="s">
        <v>623</v>
      </c>
      <c r="C497" s="132">
        <v>1112417</v>
      </c>
      <c r="D497" s="132">
        <v>1112417</v>
      </c>
      <c r="E497" s="320">
        <v>1112417</v>
      </c>
      <c r="F497" s="127">
        <v>834312.75</v>
      </c>
      <c r="G497" s="122">
        <v>1112417</v>
      </c>
      <c r="H497" s="96"/>
    </row>
    <row r="498" spans="1:55" s="116" customFormat="1" hidden="1" x14ac:dyDescent="0.2">
      <c r="A498" s="161"/>
      <c r="B498" s="142" t="s">
        <v>624</v>
      </c>
      <c r="C498" s="132">
        <v>5038000</v>
      </c>
      <c r="D498" s="132">
        <v>5038000</v>
      </c>
      <c r="E498" s="320">
        <v>5100000</v>
      </c>
      <c r="F498" s="127">
        <v>3358668</v>
      </c>
      <c r="G498" s="122">
        <v>5100000</v>
      </c>
      <c r="H498" s="96"/>
    </row>
    <row r="499" spans="1:55" s="116" customFormat="1" ht="24.75" hidden="1" x14ac:dyDescent="0.2">
      <c r="A499" s="161"/>
      <c r="B499" s="425" t="s">
        <v>625</v>
      </c>
      <c r="C499" s="132">
        <v>0</v>
      </c>
      <c r="D499" s="132">
        <v>10000</v>
      </c>
      <c r="E499" s="320">
        <v>10000</v>
      </c>
      <c r="F499" s="127">
        <v>10000</v>
      </c>
      <c r="G499" s="122">
        <v>0</v>
      </c>
      <c r="H499" s="118"/>
    </row>
    <row r="500" spans="1:55" s="426" customFormat="1" hidden="1" x14ac:dyDescent="0.2">
      <c r="A500" s="161"/>
      <c r="B500" s="425" t="s">
        <v>626</v>
      </c>
      <c r="C500" s="132">
        <v>200000</v>
      </c>
      <c r="D500" s="132">
        <v>50000</v>
      </c>
      <c r="E500" s="320">
        <v>50000</v>
      </c>
      <c r="F500" s="127">
        <v>50000</v>
      </c>
      <c r="G500" s="122">
        <v>200000</v>
      </c>
      <c r="H500" s="118"/>
    </row>
    <row r="501" spans="1:55" s="116" customFormat="1" hidden="1" x14ac:dyDescent="0.2">
      <c r="A501" s="400"/>
      <c r="B501" s="427" t="s">
        <v>627</v>
      </c>
      <c r="C501" s="253">
        <v>0</v>
      </c>
      <c r="D501" s="253">
        <v>0</v>
      </c>
      <c r="E501" s="320">
        <v>0</v>
      </c>
      <c r="F501" s="127">
        <v>0</v>
      </c>
      <c r="G501" s="121">
        <v>550000</v>
      </c>
      <c r="H501" s="96"/>
    </row>
    <row r="502" spans="1:55" s="116" customFormat="1" hidden="1" x14ac:dyDescent="0.2">
      <c r="A502" s="261"/>
      <c r="B502" s="428"/>
      <c r="C502" s="429"/>
      <c r="D502" s="429"/>
      <c r="E502" s="430"/>
      <c r="F502" s="164"/>
      <c r="G502" s="431"/>
      <c r="H502" s="96"/>
    </row>
    <row r="503" spans="1:55" s="116" customFormat="1" ht="20.25" hidden="1" x14ac:dyDescent="0.3">
      <c r="A503" s="408"/>
      <c r="B503" s="94" t="s">
        <v>34</v>
      </c>
      <c r="C503" s="97">
        <f>SUM(C504:C505)</f>
        <v>112000</v>
      </c>
      <c r="D503" s="95">
        <v>112000</v>
      </c>
      <c r="E503" s="97">
        <f>SUM(E504:E505)</f>
        <v>73000</v>
      </c>
      <c r="F503" s="421">
        <v>33098</v>
      </c>
      <c r="G503" s="97">
        <f>SUM(G504:G505)</f>
        <v>112000</v>
      </c>
      <c r="H503" s="96"/>
    </row>
    <row r="504" spans="1:55" s="116" customFormat="1" ht="12.75" hidden="1" customHeight="1" x14ac:dyDescent="0.2">
      <c r="A504" s="161">
        <v>2223</v>
      </c>
      <c r="B504" s="165" t="s">
        <v>628</v>
      </c>
      <c r="C504" s="166">
        <v>100000</v>
      </c>
      <c r="D504" s="166">
        <v>100000</v>
      </c>
      <c r="E504" s="227">
        <v>70000</v>
      </c>
      <c r="F504" s="227">
        <v>32151</v>
      </c>
      <c r="G504" s="111">
        <v>100000</v>
      </c>
      <c r="H504" s="96"/>
    </row>
    <row r="505" spans="1:55" s="116" customFormat="1" hidden="1" x14ac:dyDescent="0.2">
      <c r="A505" s="161">
        <v>6171</v>
      </c>
      <c r="B505" s="318" t="s">
        <v>629</v>
      </c>
      <c r="C505" s="166">
        <v>12000</v>
      </c>
      <c r="D505" s="166">
        <v>12000</v>
      </c>
      <c r="E505" s="138">
        <v>3000</v>
      </c>
      <c r="F505" s="138">
        <v>947</v>
      </c>
      <c r="G505" s="111">
        <v>12000</v>
      </c>
      <c r="H505" s="96"/>
    </row>
    <row r="506" spans="1:55" s="116" customFormat="1" hidden="1" x14ac:dyDescent="0.2">
      <c r="A506" s="432"/>
      <c r="B506" s="433"/>
      <c r="C506" s="216"/>
      <c r="D506" s="216"/>
      <c r="E506" s="419"/>
      <c r="F506" s="419"/>
      <c r="G506" s="309"/>
      <c r="H506" s="96"/>
    </row>
    <row r="507" spans="1:55" s="116" customFormat="1" ht="20.25" hidden="1" x14ac:dyDescent="0.3">
      <c r="A507" s="293"/>
      <c r="B507" s="434" t="s">
        <v>630</v>
      </c>
      <c r="C507" s="435">
        <f>C508+C509</f>
        <v>500000</v>
      </c>
      <c r="D507" s="435">
        <f>D508+D509</f>
        <v>1201000</v>
      </c>
      <c r="E507" s="436">
        <f>E508+E509</f>
        <v>701000</v>
      </c>
      <c r="F507" s="437">
        <f>F508+F509</f>
        <v>1201000</v>
      </c>
      <c r="G507" s="436">
        <f>G508+G509</f>
        <v>500000</v>
      </c>
      <c r="H507" s="92"/>
      <c r="I507" s="107"/>
      <c r="J507" s="107"/>
      <c r="K507" s="107"/>
      <c r="L507" s="107"/>
      <c r="M507" s="107"/>
      <c r="N507" s="107"/>
      <c r="O507" s="107"/>
      <c r="P507" s="107"/>
      <c r="Q507" s="107"/>
      <c r="R507" s="107"/>
      <c r="S507" s="107"/>
      <c r="T507" s="107"/>
      <c r="U507" s="107"/>
      <c r="V507" s="107"/>
      <c r="W507" s="107"/>
      <c r="X507" s="107"/>
      <c r="Y507" s="107"/>
      <c r="Z507" s="107"/>
      <c r="AA507" s="107"/>
      <c r="AB507" s="107"/>
      <c r="AC507" s="107"/>
      <c r="AD507" s="107"/>
      <c r="AE507" s="107"/>
      <c r="AF507" s="107"/>
      <c r="AG507" s="107"/>
      <c r="AH507" s="107"/>
      <c r="AI507" s="107"/>
      <c r="AJ507" s="107"/>
      <c r="AK507" s="107"/>
      <c r="AL507" s="107"/>
      <c r="AM507" s="107"/>
      <c r="AN507" s="107"/>
      <c r="AO507" s="107"/>
      <c r="AP507" s="107"/>
      <c r="AQ507" s="107"/>
      <c r="AR507" s="107"/>
      <c r="AS507" s="107"/>
      <c r="AT507" s="107"/>
      <c r="AU507" s="107"/>
      <c r="AV507" s="107"/>
      <c r="AW507" s="107"/>
      <c r="AX507" s="107"/>
      <c r="AY507" s="107"/>
      <c r="AZ507" s="107"/>
      <c r="BA507" s="107"/>
      <c r="BB507" s="107"/>
      <c r="BC507" s="107"/>
    </row>
    <row r="508" spans="1:55" s="116" customFormat="1" hidden="1" x14ac:dyDescent="0.2">
      <c r="A508" s="295">
        <v>6115</v>
      </c>
      <c r="B508" s="137" t="s">
        <v>631</v>
      </c>
      <c r="C508" s="138">
        <v>500000</v>
      </c>
      <c r="D508" s="138">
        <v>1201000</v>
      </c>
      <c r="E508" s="227">
        <v>701000</v>
      </c>
      <c r="F508" s="438">
        <v>1201000</v>
      </c>
      <c r="G508" s="227">
        <v>0</v>
      </c>
      <c r="H508" s="92"/>
      <c r="I508" s="107"/>
      <c r="J508" s="107"/>
      <c r="K508" s="107"/>
      <c r="L508" s="107"/>
      <c r="M508" s="107"/>
      <c r="N508" s="107"/>
      <c r="O508" s="107"/>
      <c r="P508" s="107"/>
      <c r="Q508" s="107"/>
      <c r="R508" s="107"/>
      <c r="S508" s="107"/>
      <c r="T508" s="107"/>
      <c r="U508" s="107"/>
      <c r="V508" s="107"/>
      <c r="W508" s="107"/>
      <c r="X508" s="107"/>
      <c r="Y508" s="107"/>
      <c r="Z508" s="107"/>
      <c r="AA508" s="107"/>
      <c r="AB508" s="107"/>
      <c r="AC508" s="107"/>
      <c r="AD508" s="107"/>
      <c r="AE508" s="107"/>
      <c r="AF508" s="107"/>
      <c r="AG508" s="107"/>
      <c r="AH508" s="107"/>
      <c r="AI508" s="107"/>
      <c r="AJ508" s="107"/>
      <c r="AK508" s="107"/>
      <c r="AL508" s="107"/>
      <c r="AM508" s="107"/>
      <c r="AN508" s="107"/>
      <c r="AO508" s="107"/>
      <c r="AP508" s="107"/>
      <c r="AQ508" s="107"/>
      <c r="AR508" s="107"/>
      <c r="AS508" s="107"/>
      <c r="AT508" s="107"/>
      <c r="AU508" s="107"/>
      <c r="AV508" s="107"/>
      <c r="AW508" s="107"/>
      <c r="AX508" s="107"/>
      <c r="AY508" s="107"/>
      <c r="AZ508" s="107"/>
      <c r="BA508" s="107"/>
      <c r="BB508" s="107"/>
      <c r="BC508" s="107"/>
    </row>
    <row r="509" spans="1:55" s="116" customFormat="1" hidden="1" x14ac:dyDescent="0.2">
      <c r="A509" s="165"/>
      <c r="B509" s="137" t="s">
        <v>632</v>
      </c>
      <c r="C509" s="138">
        <v>0</v>
      </c>
      <c r="D509" s="138">
        <v>0</v>
      </c>
      <c r="E509" s="138">
        <v>0</v>
      </c>
      <c r="F509" s="439">
        <v>0</v>
      </c>
      <c r="G509" s="138">
        <v>500000</v>
      </c>
      <c r="H509" s="92"/>
      <c r="I509" s="107"/>
      <c r="J509" s="107"/>
      <c r="K509" s="107"/>
      <c r="L509" s="107"/>
      <c r="M509" s="107"/>
      <c r="N509" s="107"/>
      <c r="O509" s="107"/>
      <c r="P509" s="107"/>
      <c r="Q509" s="107"/>
      <c r="R509" s="107"/>
      <c r="S509" s="107"/>
      <c r="T509" s="107"/>
      <c r="U509" s="107"/>
      <c r="V509" s="107"/>
      <c r="W509" s="107"/>
      <c r="X509" s="107"/>
      <c r="Y509" s="107"/>
      <c r="Z509" s="107"/>
      <c r="AA509" s="107"/>
      <c r="AB509" s="107"/>
      <c r="AC509" s="107"/>
      <c r="AD509" s="107"/>
      <c r="AE509" s="107"/>
      <c r="AF509" s="107"/>
      <c r="AG509" s="107"/>
      <c r="AH509" s="107"/>
      <c r="AI509" s="107"/>
      <c r="AJ509" s="107"/>
      <c r="AK509" s="107"/>
      <c r="AL509" s="107"/>
      <c r="AM509" s="107"/>
      <c r="AN509" s="107"/>
      <c r="AO509" s="107"/>
      <c r="AP509" s="107"/>
      <c r="AQ509" s="107"/>
      <c r="AR509" s="107"/>
      <c r="AS509" s="107"/>
      <c r="AT509" s="107"/>
      <c r="AU509" s="107"/>
      <c r="AV509" s="107"/>
      <c r="AW509" s="107"/>
      <c r="AX509" s="107"/>
      <c r="AY509" s="107"/>
      <c r="AZ509" s="107"/>
      <c r="BA509" s="107"/>
      <c r="BB509" s="107"/>
      <c r="BC509" s="107"/>
    </row>
    <row r="510" spans="1:55" s="116" customFormat="1" hidden="1" x14ac:dyDescent="0.2">
      <c r="A510" s="440"/>
      <c r="B510" s="441"/>
      <c r="C510" s="442"/>
      <c r="D510" s="442"/>
      <c r="E510" s="442"/>
      <c r="F510" s="443"/>
      <c r="G510" s="444"/>
      <c r="H510" s="92"/>
      <c r="I510" s="107"/>
      <c r="J510" s="107"/>
      <c r="K510" s="107"/>
      <c r="L510" s="107"/>
      <c r="M510" s="107"/>
      <c r="N510" s="107"/>
      <c r="O510" s="107"/>
      <c r="P510" s="107"/>
      <c r="Q510" s="107"/>
      <c r="R510" s="107"/>
      <c r="S510" s="107"/>
      <c r="T510" s="107"/>
      <c r="U510" s="107"/>
      <c r="V510" s="107"/>
      <c r="W510" s="107"/>
      <c r="X510" s="107"/>
      <c r="Y510" s="107"/>
      <c r="Z510" s="107"/>
      <c r="AA510" s="107"/>
      <c r="AB510" s="107"/>
      <c r="AC510" s="107"/>
      <c r="AD510" s="107"/>
      <c r="AE510" s="107"/>
      <c r="AF510" s="107"/>
      <c r="AG510" s="107"/>
      <c r="AH510" s="107"/>
      <c r="AI510" s="107"/>
      <c r="AJ510" s="107"/>
      <c r="AK510" s="107"/>
      <c r="AL510" s="107"/>
      <c r="AM510" s="107"/>
      <c r="AN510" s="107"/>
      <c r="AO510" s="107"/>
      <c r="AP510" s="107"/>
      <c r="AQ510" s="107"/>
      <c r="AR510" s="107"/>
      <c r="AS510" s="107"/>
      <c r="AT510" s="107"/>
      <c r="AU510" s="107"/>
      <c r="AV510" s="107"/>
      <c r="AW510" s="107"/>
      <c r="AX510" s="107"/>
      <c r="AY510" s="107"/>
      <c r="AZ510" s="107"/>
      <c r="BA510" s="107"/>
      <c r="BB510" s="107"/>
      <c r="BC510" s="107"/>
    </row>
    <row r="511" spans="1:55" s="116" customFormat="1" ht="20.25" hidden="1" x14ac:dyDescent="0.3">
      <c r="A511" s="445"/>
      <c r="B511" s="446" t="s">
        <v>36</v>
      </c>
      <c r="C511" s="436">
        <f>C512+C565+C590</f>
        <v>117286140</v>
      </c>
      <c r="D511" s="436">
        <f>D512+D565+D590</f>
        <v>125496783.28</v>
      </c>
      <c r="E511" s="436">
        <f>E512+E565+E590</f>
        <v>125496783.28</v>
      </c>
      <c r="F511" s="436">
        <f>F512+F565+F590</f>
        <v>82606294.439999998</v>
      </c>
      <c r="G511" s="436">
        <f>G512+G565+G590</f>
        <v>160009627.30000001</v>
      </c>
      <c r="H511" s="96"/>
    </row>
    <row r="512" spans="1:55" s="116" customFormat="1" ht="16.5" hidden="1" customHeight="1" x14ac:dyDescent="0.25">
      <c r="A512" s="447"/>
      <c r="B512" s="448" t="s">
        <v>633</v>
      </c>
      <c r="C512" s="197">
        <f>SUM(C513,C533,C564,C559)</f>
        <v>55530000</v>
      </c>
      <c r="D512" s="449">
        <f>SUM(D513,D533,D564,D559)</f>
        <v>50086908.670000002</v>
      </c>
      <c r="E512" s="197">
        <f>SUM(E513,E533,E564,E559)</f>
        <v>50086908.670000002</v>
      </c>
      <c r="F512" s="197">
        <f>SUM(F513,F533,F564,F559)</f>
        <v>24467486.900000002</v>
      </c>
      <c r="G512" s="197">
        <f>SUM(G513,G533,G564,G559)</f>
        <v>78486811.299999997</v>
      </c>
      <c r="H512" s="96"/>
    </row>
    <row r="513" spans="1:8" s="116" customFormat="1" hidden="1" x14ac:dyDescent="0.2">
      <c r="A513" s="108">
        <v>3111</v>
      </c>
      <c r="B513" s="450" t="s">
        <v>634</v>
      </c>
      <c r="C513" s="160">
        <f>SUM(C514:C516)</f>
        <v>11263000</v>
      </c>
      <c r="D513" s="451">
        <f>SUM(D514:D516)</f>
        <v>10511914.67</v>
      </c>
      <c r="E513" s="160">
        <f>SUM(E514:E516)</f>
        <v>10511914.67</v>
      </c>
      <c r="F513" s="160">
        <f>SUM(F514:F516)</f>
        <v>6476550.8700000001</v>
      </c>
      <c r="G513" s="160">
        <f>SUM(G514:G516)</f>
        <v>21243000</v>
      </c>
      <c r="H513" s="96"/>
    </row>
    <row r="514" spans="1:8" s="116" customFormat="1" ht="12.75" hidden="1" customHeight="1" x14ac:dyDescent="0.2">
      <c r="A514" s="119"/>
      <c r="B514" s="452" t="s">
        <v>635</v>
      </c>
      <c r="C514" s="453">
        <f t="shared" ref="C514:G515" si="5">SUM(C519,C529,C524)</f>
        <v>5847000</v>
      </c>
      <c r="D514" s="454">
        <f t="shared" si="5"/>
        <v>5650914.6699999999</v>
      </c>
      <c r="E514" s="453">
        <f t="shared" si="5"/>
        <v>5650914.6699999999</v>
      </c>
      <c r="F514" s="453">
        <f t="shared" si="5"/>
        <v>4173000</v>
      </c>
      <c r="G514" s="453">
        <f t="shared" si="5"/>
        <v>5998000</v>
      </c>
      <c r="H514" s="96"/>
    </row>
    <row r="515" spans="1:8" s="116" customFormat="1" ht="12.75" hidden="1" customHeight="1" x14ac:dyDescent="0.2">
      <c r="A515" s="119"/>
      <c r="B515" s="452" t="s">
        <v>636</v>
      </c>
      <c r="C515" s="453">
        <f t="shared" si="5"/>
        <v>1671000</v>
      </c>
      <c r="D515" s="454">
        <f t="shared" si="5"/>
        <v>1116000</v>
      </c>
      <c r="E515" s="453">
        <f t="shared" si="5"/>
        <v>1116000</v>
      </c>
      <c r="F515" s="453">
        <f t="shared" si="5"/>
        <v>888946.87</v>
      </c>
      <c r="G515" s="453">
        <f t="shared" si="5"/>
        <v>3365000</v>
      </c>
      <c r="H515" s="96"/>
    </row>
    <row r="516" spans="1:8" s="289" customFormat="1" ht="12.75" hidden="1" customHeight="1" x14ac:dyDescent="0.25">
      <c r="A516" s="119"/>
      <c r="B516" s="452" t="s">
        <v>637</v>
      </c>
      <c r="C516" s="453">
        <f>C531+C526</f>
        <v>3745000</v>
      </c>
      <c r="D516" s="454">
        <f>D531+D526</f>
        <v>3745000</v>
      </c>
      <c r="E516" s="453">
        <f>E531+E526</f>
        <v>3745000</v>
      </c>
      <c r="F516" s="453">
        <f>F531+F526</f>
        <v>1414604</v>
      </c>
      <c r="G516" s="453">
        <f>G531+G526+G521</f>
        <v>11880000</v>
      </c>
      <c r="H516" s="96"/>
    </row>
    <row r="517" spans="1:8" s="116" customFormat="1" ht="12.75" hidden="1" customHeight="1" x14ac:dyDescent="0.2">
      <c r="A517" s="119"/>
      <c r="B517" s="452"/>
      <c r="C517" s="453"/>
      <c r="D517" s="454"/>
      <c r="E517" s="453"/>
      <c r="F517" s="453"/>
      <c r="G517" s="453"/>
      <c r="H517" s="96"/>
    </row>
    <row r="518" spans="1:8" s="289" customFormat="1" ht="12.75" hidden="1" customHeight="1" x14ac:dyDescent="0.25">
      <c r="A518" s="119"/>
      <c r="B518" s="141" t="s">
        <v>638</v>
      </c>
      <c r="C518" s="166">
        <f>C519+C520</f>
        <v>1955000</v>
      </c>
      <c r="D518" s="138">
        <f>D519+D520</f>
        <v>1770000</v>
      </c>
      <c r="E518" s="166">
        <f>E519+E520</f>
        <v>1770000</v>
      </c>
      <c r="F518" s="166">
        <f>F519+F520</f>
        <v>1405000</v>
      </c>
      <c r="G518" s="166">
        <f>G519+G520+G521</f>
        <v>11049000</v>
      </c>
      <c r="H518" s="96"/>
    </row>
    <row r="519" spans="1:8" s="116" customFormat="1" ht="12.75" hidden="1" customHeight="1" x14ac:dyDescent="0.2">
      <c r="A519" s="119"/>
      <c r="B519" s="141" t="s">
        <v>639</v>
      </c>
      <c r="C519" s="455">
        <f>1822000-50000</f>
        <v>1772000</v>
      </c>
      <c r="D519" s="456">
        <v>1707000</v>
      </c>
      <c r="E519" s="457">
        <v>1707000</v>
      </c>
      <c r="F519" s="228">
        <v>1342000</v>
      </c>
      <c r="G519" s="122">
        <v>1676000</v>
      </c>
      <c r="H519" s="96"/>
    </row>
    <row r="520" spans="1:8" ht="36.75" hidden="1" x14ac:dyDescent="0.2">
      <c r="A520" s="119" t="s">
        <v>640</v>
      </c>
      <c r="B520" s="141" t="s">
        <v>641</v>
      </c>
      <c r="C520" s="455">
        <f>443000-260000</f>
        <v>183000</v>
      </c>
      <c r="D520" s="456">
        <v>63000</v>
      </c>
      <c r="E520" s="457">
        <v>63000</v>
      </c>
      <c r="F520" s="228">
        <v>63000</v>
      </c>
      <c r="G520" s="122">
        <f>(121+90+70+130+462-100)*1000</f>
        <v>773000</v>
      </c>
      <c r="H520" s="118"/>
    </row>
    <row r="521" spans="1:8" ht="25.5" hidden="1" customHeight="1" x14ac:dyDescent="0.2">
      <c r="A521" s="119"/>
      <c r="B521" s="141" t="s">
        <v>642</v>
      </c>
      <c r="C521" s="455"/>
      <c r="D521" s="456"/>
      <c r="E521" s="457"/>
      <c r="F521" s="228"/>
      <c r="G521" s="122">
        <f>(3600+4000+1000)*1000</f>
        <v>8600000</v>
      </c>
      <c r="H521" s="118"/>
    </row>
    <row r="522" spans="1:8" hidden="1" x14ac:dyDescent="0.2">
      <c r="A522" s="458"/>
      <c r="B522" s="459"/>
      <c r="C522" s="460"/>
      <c r="D522" s="461"/>
      <c r="E522" s="457"/>
      <c r="F522" s="228"/>
      <c r="G522" s="121"/>
      <c r="H522" s="96"/>
    </row>
    <row r="523" spans="1:8" hidden="1" x14ac:dyDescent="0.2">
      <c r="A523" s="119"/>
      <c r="B523" s="462" t="s">
        <v>643</v>
      </c>
      <c r="C523" s="166">
        <f>SUM(C524:C526)</f>
        <v>6931000</v>
      </c>
      <c r="D523" s="138">
        <f>SUM(D524:D526)</f>
        <v>6719914.6699999999</v>
      </c>
      <c r="E523" s="166">
        <f>SUM(E524:E526)</f>
        <v>6719914.6699999999</v>
      </c>
      <c r="F523" s="166">
        <f>SUM(F524:F526)</f>
        <v>3762550.87</v>
      </c>
      <c r="G523" s="166">
        <f>SUM(G524:G526)</f>
        <v>3515000</v>
      </c>
      <c r="H523" s="96"/>
    </row>
    <row r="524" spans="1:8" ht="12.75" hidden="1" customHeight="1" x14ac:dyDescent="0.2">
      <c r="A524" s="119"/>
      <c r="B524" s="141" t="s">
        <v>644</v>
      </c>
      <c r="C524" s="455">
        <f>2441000-50000</f>
        <v>2391000</v>
      </c>
      <c r="D524" s="456">
        <v>2279914.67</v>
      </c>
      <c r="E524" s="457">
        <v>2279914.67</v>
      </c>
      <c r="F524" s="228">
        <v>1667000</v>
      </c>
      <c r="G524" s="122">
        <v>2535000</v>
      </c>
      <c r="H524" s="96"/>
    </row>
    <row r="525" spans="1:8" ht="36.75" hidden="1" x14ac:dyDescent="0.2">
      <c r="A525" s="119"/>
      <c r="B525" s="141" t="s">
        <v>645</v>
      </c>
      <c r="C525" s="455">
        <v>940000</v>
      </c>
      <c r="D525" s="456">
        <v>840000</v>
      </c>
      <c r="E525" s="127">
        <v>840000</v>
      </c>
      <c r="F525" s="127">
        <v>825946.87</v>
      </c>
      <c r="G525" s="122">
        <v>980000</v>
      </c>
      <c r="H525" s="118"/>
    </row>
    <row r="526" spans="1:8" s="463" customFormat="1" ht="13.5" hidden="1" customHeight="1" x14ac:dyDescent="0.2">
      <c r="A526" s="119"/>
      <c r="B526" s="141" t="s">
        <v>646</v>
      </c>
      <c r="C526" s="455">
        <v>3600000</v>
      </c>
      <c r="D526" s="456">
        <v>3600000</v>
      </c>
      <c r="E526" s="457">
        <v>3600000</v>
      </c>
      <c r="F526" s="127">
        <v>1269604</v>
      </c>
      <c r="G526" s="122">
        <v>0</v>
      </c>
      <c r="H526" s="96"/>
    </row>
    <row r="527" spans="1:8" ht="12.75" hidden="1" customHeight="1" x14ac:dyDescent="0.2">
      <c r="A527" s="119"/>
      <c r="B527" s="141"/>
      <c r="C527" s="464"/>
      <c r="D527" s="465"/>
      <c r="E527" s="127"/>
      <c r="F527" s="127"/>
      <c r="G527" s="122"/>
      <c r="H527" s="96"/>
    </row>
    <row r="528" spans="1:8" ht="12.75" hidden="1" customHeight="1" x14ac:dyDescent="0.2">
      <c r="A528" s="119"/>
      <c r="B528" s="141" t="s">
        <v>647</v>
      </c>
      <c r="C528" s="466">
        <f>SUM(C529:C531)</f>
        <v>2377000</v>
      </c>
      <c r="D528" s="467">
        <f>SUM(D529:D531)</f>
        <v>2022000</v>
      </c>
      <c r="E528" s="466">
        <f>SUM(E529:E531)</f>
        <v>2022000</v>
      </c>
      <c r="F528" s="466">
        <f>SUM(F529:F531)</f>
        <v>1309000</v>
      </c>
      <c r="G528" s="466">
        <f>SUM(G529:G531)</f>
        <v>6679000</v>
      </c>
      <c r="H528" s="96"/>
    </row>
    <row r="529" spans="1:8" ht="12.75" hidden="1" customHeight="1" x14ac:dyDescent="0.2">
      <c r="A529" s="119"/>
      <c r="B529" s="141" t="s">
        <v>639</v>
      </c>
      <c r="C529" s="455">
        <f>1671000+60000+3000-50000</f>
        <v>1684000</v>
      </c>
      <c r="D529" s="456">
        <v>1664000</v>
      </c>
      <c r="E529" s="127">
        <v>1664000</v>
      </c>
      <c r="F529" s="127">
        <v>1164000</v>
      </c>
      <c r="G529" s="122">
        <v>1787000</v>
      </c>
      <c r="H529" s="96"/>
    </row>
    <row r="530" spans="1:8" ht="44.25" hidden="1" customHeight="1" x14ac:dyDescent="0.2">
      <c r="A530" s="119"/>
      <c r="B530" s="141" t="s">
        <v>648</v>
      </c>
      <c r="C530" s="455">
        <f>2127000-1200000-379000</f>
        <v>548000</v>
      </c>
      <c r="D530" s="456">
        <v>213000</v>
      </c>
      <c r="E530" s="457">
        <v>213000</v>
      </c>
      <c r="F530" s="228">
        <v>0</v>
      </c>
      <c r="G530" s="122">
        <f>+(368+237+417+210+260+120)*1000</f>
        <v>1612000</v>
      </c>
      <c r="H530" s="118"/>
    </row>
    <row r="531" spans="1:8" ht="23.25" hidden="1" customHeight="1" x14ac:dyDescent="0.2">
      <c r="A531" s="119"/>
      <c r="B531" s="141" t="s">
        <v>649</v>
      </c>
      <c r="C531" s="455">
        <f>338000-193000</f>
        <v>145000</v>
      </c>
      <c r="D531" s="456">
        <v>145000</v>
      </c>
      <c r="E531" s="228">
        <v>145000</v>
      </c>
      <c r="F531" s="228">
        <v>145000</v>
      </c>
      <c r="G531" s="122">
        <v>3280000</v>
      </c>
      <c r="H531" s="96"/>
    </row>
    <row r="532" spans="1:8" ht="12.75" hidden="1" customHeight="1" x14ac:dyDescent="0.2">
      <c r="A532" s="119"/>
      <c r="B532" s="141"/>
      <c r="C532" s="468"/>
      <c r="D532" s="469"/>
      <c r="E532" s="122"/>
      <c r="F532" s="470"/>
      <c r="G532" s="122"/>
      <c r="H532" s="96"/>
    </row>
    <row r="533" spans="1:8" hidden="1" x14ac:dyDescent="0.2">
      <c r="A533" s="112">
        <v>3113</v>
      </c>
      <c r="B533" s="117" t="s">
        <v>650</v>
      </c>
      <c r="C533" s="166">
        <f>SUM(C534:C537)</f>
        <v>39833000</v>
      </c>
      <c r="D533" s="138">
        <f>SUM(D534:D537)</f>
        <v>37828000</v>
      </c>
      <c r="E533" s="166">
        <f>SUM(E534:E537)</f>
        <v>37828000</v>
      </c>
      <c r="F533" s="166">
        <f>SUM(F534:F537)</f>
        <v>16623211.620000001</v>
      </c>
      <c r="G533" s="166">
        <f>SUM(G534:G537)</f>
        <v>35699000</v>
      </c>
      <c r="H533" s="96"/>
    </row>
    <row r="534" spans="1:8" ht="12.75" hidden="1" customHeight="1" x14ac:dyDescent="0.2">
      <c r="A534" s="112"/>
      <c r="B534" s="168" t="s">
        <v>651</v>
      </c>
      <c r="C534" s="455">
        <f>+(200+108+50+42)*1000</f>
        <v>400000</v>
      </c>
      <c r="D534" s="456">
        <v>385000</v>
      </c>
      <c r="E534" s="121">
        <v>385000</v>
      </c>
      <c r="F534" s="206">
        <v>112670</v>
      </c>
      <c r="G534" s="122">
        <v>400000</v>
      </c>
      <c r="H534" s="96"/>
    </row>
    <row r="535" spans="1:8" ht="12.75" hidden="1" customHeight="1" x14ac:dyDescent="0.2">
      <c r="A535" s="119"/>
      <c r="B535" s="141" t="s">
        <v>652</v>
      </c>
      <c r="C535" s="471">
        <f t="shared" ref="C535:G536" si="6">SUM(C545,C550,C540,C555)</f>
        <v>19377000</v>
      </c>
      <c r="D535" s="456">
        <f t="shared" si="6"/>
        <v>18807000</v>
      </c>
      <c r="E535" s="471">
        <f t="shared" si="6"/>
        <v>18807000</v>
      </c>
      <c r="F535" s="471">
        <f t="shared" si="6"/>
        <v>13777068.82</v>
      </c>
      <c r="G535" s="471">
        <f t="shared" si="6"/>
        <v>18701000</v>
      </c>
      <c r="H535" s="96"/>
    </row>
    <row r="536" spans="1:8" ht="12.75" hidden="1" customHeight="1" x14ac:dyDescent="0.2">
      <c r="A536" s="119"/>
      <c r="B536" s="141" t="s">
        <v>653</v>
      </c>
      <c r="C536" s="471">
        <f t="shared" si="6"/>
        <v>10759000</v>
      </c>
      <c r="D536" s="456">
        <f t="shared" si="6"/>
        <v>9059000</v>
      </c>
      <c r="E536" s="471">
        <f t="shared" si="6"/>
        <v>9059000</v>
      </c>
      <c r="F536" s="471">
        <f t="shared" si="6"/>
        <v>2403562.31</v>
      </c>
      <c r="G536" s="471">
        <f t="shared" si="6"/>
        <v>10054000</v>
      </c>
      <c r="H536" s="96"/>
    </row>
    <row r="537" spans="1:8" ht="12.75" hidden="1" customHeight="1" x14ac:dyDescent="0.2">
      <c r="A537" s="119"/>
      <c r="B537" s="141" t="s">
        <v>654</v>
      </c>
      <c r="C537" s="471">
        <f>C542+C547+C552+C557</f>
        <v>9297000</v>
      </c>
      <c r="D537" s="456">
        <f>D542+D547+D552+D557</f>
        <v>9577000</v>
      </c>
      <c r="E537" s="471">
        <f>E542+E547+E552+E557</f>
        <v>9577000</v>
      </c>
      <c r="F537" s="471">
        <f>F542+F547+F552+F557</f>
        <v>329910.49</v>
      </c>
      <c r="G537" s="471">
        <f>G542+G547+G552+G557</f>
        <v>6544000</v>
      </c>
      <c r="H537" s="118"/>
    </row>
    <row r="538" spans="1:8" s="116" customFormat="1" ht="12.75" hidden="1" customHeight="1" x14ac:dyDescent="0.2">
      <c r="A538" s="119"/>
      <c r="B538" s="141"/>
      <c r="C538" s="455"/>
      <c r="D538" s="456"/>
      <c r="E538" s="455"/>
      <c r="F538" s="455"/>
      <c r="G538" s="455"/>
      <c r="H538" s="472"/>
    </row>
    <row r="539" spans="1:8" hidden="1" x14ac:dyDescent="0.2">
      <c r="A539" s="119"/>
      <c r="B539" s="141" t="s">
        <v>655</v>
      </c>
      <c r="C539" s="473">
        <f>SUM(C540:C542)</f>
        <v>7839000</v>
      </c>
      <c r="D539" s="171">
        <f>SUM(D540:D542)</f>
        <v>7849000</v>
      </c>
      <c r="E539" s="473">
        <f>SUM(E540:E542)</f>
        <v>7849000</v>
      </c>
      <c r="F539" s="473">
        <f>SUM(F540:F542)</f>
        <v>5274946</v>
      </c>
      <c r="G539" s="473">
        <f>SUM(G540:G542)</f>
        <v>11137000</v>
      </c>
      <c r="H539" s="474"/>
    </row>
    <row r="540" spans="1:8" ht="12.75" hidden="1" customHeight="1" x14ac:dyDescent="0.2">
      <c r="A540" s="119"/>
      <c r="B540" s="141" t="s">
        <v>656</v>
      </c>
      <c r="C540" s="468">
        <f>6959000-40000</f>
        <v>6919000</v>
      </c>
      <c r="D540" s="469">
        <v>6649000</v>
      </c>
      <c r="E540" s="121">
        <v>6649000</v>
      </c>
      <c r="F540" s="121">
        <v>4869000</v>
      </c>
      <c r="G540" s="122">
        <v>6333000</v>
      </c>
      <c r="H540" s="474"/>
    </row>
    <row r="541" spans="1:8" ht="24.75" hidden="1" x14ac:dyDescent="0.2">
      <c r="A541" s="119"/>
      <c r="B541" s="141" t="s">
        <v>657</v>
      </c>
      <c r="C541" s="455">
        <v>280000</v>
      </c>
      <c r="D541" s="456">
        <v>280000</v>
      </c>
      <c r="E541" s="121">
        <v>280000</v>
      </c>
      <c r="F541" s="121">
        <v>263166</v>
      </c>
      <c r="G541" s="122">
        <v>1178000</v>
      </c>
      <c r="H541" s="474"/>
    </row>
    <row r="542" spans="1:8" ht="44.25" hidden="1" customHeight="1" x14ac:dyDescent="0.2">
      <c r="A542" s="119"/>
      <c r="B542" s="141" t="s">
        <v>658</v>
      </c>
      <c r="C542" s="455">
        <f>590000+50000</f>
        <v>640000</v>
      </c>
      <c r="D542" s="456">
        <v>920000</v>
      </c>
      <c r="E542" s="121">
        <v>920000</v>
      </c>
      <c r="F542" s="121">
        <v>142780</v>
      </c>
      <c r="G542" s="122">
        <f>(150+3000+300+70+192+85+129-300)*1000</f>
        <v>3626000</v>
      </c>
      <c r="H542" s="118"/>
    </row>
    <row r="543" spans="1:8" ht="12.75" hidden="1" customHeight="1" x14ac:dyDescent="0.2">
      <c r="A543" s="119"/>
      <c r="B543" s="141"/>
      <c r="C543" s="455"/>
      <c r="D543" s="456"/>
      <c r="E543" s="475"/>
      <c r="F543" s="475"/>
      <c r="G543" s="121"/>
      <c r="H543" s="96"/>
    </row>
    <row r="544" spans="1:8" hidden="1" x14ac:dyDescent="0.2">
      <c r="A544" s="119"/>
      <c r="B544" s="141" t="s">
        <v>659</v>
      </c>
      <c r="C544" s="473">
        <f>SUM(C545:C547)</f>
        <v>12511000</v>
      </c>
      <c r="D544" s="171">
        <f>SUM(D545:D547)</f>
        <v>12411000</v>
      </c>
      <c r="E544" s="473">
        <f>SUM(E545:E547)</f>
        <v>12411000</v>
      </c>
      <c r="F544" s="473">
        <f>SUM(F545:F547)</f>
        <v>3359199.31</v>
      </c>
      <c r="G544" s="473">
        <f>SUM(G545:G547)</f>
        <v>4954000</v>
      </c>
      <c r="H544" s="96"/>
    </row>
    <row r="545" spans="1:8" ht="12.75" hidden="1" customHeight="1" x14ac:dyDescent="0.2">
      <c r="A545" s="119"/>
      <c r="B545" s="141" t="s">
        <v>660</v>
      </c>
      <c r="C545" s="455">
        <f>4261000-20000</f>
        <v>4241000</v>
      </c>
      <c r="D545" s="456">
        <v>4141000</v>
      </c>
      <c r="E545" s="122">
        <v>4141000</v>
      </c>
      <c r="F545" s="122">
        <v>3259068.82</v>
      </c>
      <c r="G545" s="122">
        <v>3940000</v>
      </c>
      <c r="H545" s="96"/>
    </row>
    <row r="546" spans="1:8" ht="24.75" hidden="1" customHeight="1" x14ac:dyDescent="0.2">
      <c r="A546" s="119"/>
      <c r="B546" s="141" t="s">
        <v>661</v>
      </c>
      <c r="C546" s="455">
        <v>0</v>
      </c>
      <c r="D546" s="456">
        <v>0</v>
      </c>
      <c r="E546" s="121">
        <v>0</v>
      </c>
      <c r="F546" s="121">
        <v>0</v>
      </c>
      <c r="G546" s="122">
        <v>576000</v>
      </c>
      <c r="H546" s="96"/>
    </row>
    <row r="547" spans="1:8" ht="24.75" hidden="1" x14ac:dyDescent="0.2">
      <c r="A547" s="119"/>
      <c r="B547" s="141" t="s">
        <v>662</v>
      </c>
      <c r="C547" s="455">
        <v>8270000</v>
      </c>
      <c r="D547" s="456">
        <v>8270000</v>
      </c>
      <c r="E547" s="121">
        <v>8270000</v>
      </c>
      <c r="F547" s="121">
        <v>100130.49</v>
      </c>
      <c r="G547" s="122">
        <v>438000</v>
      </c>
      <c r="H547" s="118"/>
    </row>
    <row r="548" spans="1:8" ht="12.75" hidden="1" customHeight="1" x14ac:dyDescent="0.2">
      <c r="A548" s="119"/>
      <c r="B548" s="141"/>
      <c r="C548" s="455"/>
      <c r="D548" s="456"/>
      <c r="E548" s="121"/>
      <c r="F548" s="121"/>
      <c r="G548" s="121"/>
      <c r="H548" s="474"/>
    </row>
    <row r="549" spans="1:8" ht="12.75" hidden="1" customHeight="1" x14ac:dyDescent="0.2">
      <c r="A549" s="119"/>
      <c r="B549" s="141" t="s">
        <v>663</v>
      </c>
      <c r="C549" s="166">
        <f>SUM(C550:C552)</f>
        <v>5671000</v>
      </c>
      <c r="D549" s="138">
        <f>SUM(D550:D552)</f>
        <v>3871000</v>
      </c>
      <c r="E549" s="166">
        <f>SUM(E550:E552)</f>
        <v>3871000</v>
      </c>
      <c r="F549" s="166">
        <f>SUM(F550:F552)</f>
        <v>2565194.63</v>
      </c>
      <c r="G549" s="166">
        <f>SUM(G550:G552)</f>
        <v>12515000</v>
      </c>
      <c r="H549" s="474"/>
    </row>
    <row r="550" spans="1:8" ht="12.75" hidden="1" customHeight="1" x14ac:dyDescent="0.2">
      <c r="A550" s="119"/>
      <c r="B550" s="141" t="s">
        <v>664</v>
      </c>
      <c r="C550" s="455">
        <f>3454000-20000</f>
        <v>3434000</v>
      </c>
      <c r="D550" s="456">
        <v>3334000</v>
      </c>
      <c r="E550" s="121">
        <v>3334000</v>
      </c>
      <c r="F550" s="121">
        <v>2356000</v>
      </c>
      <c r="G550" s="122">
        <v>3375000</v>
      </c>
      <c r="H550" s="474"/>
    </row>
    <row r="551" spans="1:8" ht="29.25" hidden="1" customHeight="1" x14ac:dyDescent="0.2">
      <c r="A551" s="119"/>
      <c r="B551" s="141" t="s">
        <v>665</v>
      </c>
      <c r="C551" s="455">
        <v>1850000</v>
      </c>
      <c r="D551" s="456">
        <v>150000</v>
      </c>
      <c r="E551" s="121">
        <v>150000</v>
      </c>
      <c r="F551" s="121">
        <v>122194.63</v>
      </c>
      <c r="G551" s="122">
        <f>(4600+2600+500+400)*1000</f>
        <v>8100000</v>
      </c>
      <c r="H551" s="474"/>
    </row>
    <row r="552" spans="1:8" ht="24.75" hidden="1" x14ac:dyDescent="0.2">
      <c r="A552" s="119"/>
      <c r="B552" s="141" t="s">
        <v>666</v>
      </c>
      <c r="C552" s="455">
        <v>387000</v>
      </c>
      <c r="D552" s="456">
        <v>387000</v>
      </c>
      <c r="E552" s="121">
        <v>387000</v>
      </c>
      <c r="F552" s="121">
        <v>87000</v>
      </c>
      <c r="G552" s="122">
        <f>+(600+600-160)*1000</f>
        <v>1040000</v>
      </c>
      <c r="H552" s="474"/>
    </row>
    <row r="553" spans="1:8" ht="12.75" hidden="1" customHeight="1" x14ac:dyDescent="0.2">
      <c r="A553" s="119"/>
      <c r="B553" s="141"/>
      <c r="C553" s="455"/>
      <c r="D553" s="456"/>
      <c r="E553" s="111"/>
      <c r="F553" s="122"/>
      <c r="G553" s="111"/>
      <c r="H553" s="472"/>
    </row>
    <row r="554" spans="1:8" hidden="1" x14ac:dyDescent="0.2">
      <c r="A554" s="119"/>
      <c r="B554" s="141" t="s">
        <v>667</v>
      </c>
      <c r="C554" s="166">
        <f>SUM(C555:C557)</f>
        <v>13412000</v>
      </c>
      <c r="D554" s="138">
        <f>SUM(D555:D557)</f>
        <v>13312000</v>
      </c>
      <c r="E554" s="166">
        <f>SUM(E555:E557)</f>
        <v>13312000</v>
      </c>
      <c r="F554" s="166">
        <f>SUM(F555:F557)</f>
        <v>5311201.68</v>
      </c>
      <c r="G554" s="166">
        <f>SUM(G555:G557)</f>
        <v>6693000</v>
      </c>
      <c r="H554" s="472"/>
    </row>
    <row r="555" spans="1:8" ht="12.75" hidden="1" customHeight="1" x14ac:dyDescent="0.2">
      <c r="A555" s="119"/>
      <c r="B555" s="141" t="s">
        <v>668</v>
      </c>
      <c r="C555" s="455">
        <f>4803000-20000</f>
        <v>4783000</v>
      </c>
      <c r="D555" s="456">
        <v>4683000</v>
      </c>
      <c r="E555" s="253">
        <v>4683000</v>
      </c>
      <c r="F555" s="253">
        <v>3293000</v>
      </c>
      <c r="G555" s="122">
        <v>5053000</v>
      </c>
      <c r="H555" s="96"/>
    </row>
    <row r="556" spans="1:8" ht="15" hidden="1" x14ac:dyDescent="0.2">
      <c r="A556" s="119"/>
      <c r="B556" s="141" t="s">
        <v>669</v>
      </c>
      <c r="C556" s="455">
        <v>8629000</v>
      </c>
      <c r="D556" s="456">
        <v>8629000</v>
      </c>
      <c r="E556" s="309">
        <v>8629000</v>
      </c>
      <c r="F556" s="309">
        <v>2018201.68</v>
      </c>
      <c r="G556" s="122">
        <v>200000</v>
      </c>
      <c r="H556" s="474"/>
    </row>
    <row r="557" spans="1:8" ht="12.75" hidden="1" customHeight="1" x14ac:dyDescent="0.2">
      <c r="A557" s="119"/>
      <c r="B557" s="141" t="s">
        <v>670</v>
      </c>
      <c r="C557" s="455">
        <f>50000-50000</f>
        <v>0</v>
      </c>
      <c r="D557" s="456">
        <v>0</v>
      </c>
      <c r="E557" s="476">
        <v>0</v>
      </c>
      <c r="F557" s="476">
        <v>0</v>
      </c>
      <c r="G557" s="122">
        <f>(320+1250-130)*1000</f>
        <v>1440000</v>
      </c>
      <c r="H557" s="472"/>
    </row>
    <row r="558" spans="1:8" ht="12.75" hidden="1" customHeight="1" x14ac:dyDescent="0.2">
      <c r="A558" s="119"/>
      <c r="B558" s="141"/>
      <c r="C558" s="455"/>
      <c r="D558" s="456"/>
      <c r="E558" s="132"/>
      <c r="F558" s="132"/>
      <c r="G558" s="122"/>
      <c r="H558" s="472"/>
    </row>
    <row r="559" spans="1:8" hidden="1" x14ac:dyDescent="0.2">
      <c r="A559" s="112">
        <v>3233</v>
      </c>
      <c r="B559" s="117" t="s">
        <v>671</v>
      </c>
      <c r="C559" s="166">
        <f>C560</f>
        <v>4374000</v>
      </c>
      <c r="D559" s="138">
        <f>D560</f>
        <v>1686994</v>
      </c>
      <c r="E559" s="166">
        <f>E560</f>
        <v>1686994</v>
      </c>
      <c r="F559" s="166">
        <f>F560</f>
        <v>1343942</v>
      </c>
      <c r="G559" s="166">
        <f>G560</f>
        <v>21464811.300000001</v>
      </c>
      <c r="H559" s="472"/>
    </row>
    <row r="560" spans="1:8" ht="12.75" hidden="1" customHeight="1" x14ac:dyDescent="0.2">
      <c r="A560" s="112"/>
      <c r="B560" s="141" t="s">
        <v>672</v>
      </c>
      <c r="C560" s="471">
        <f>SUM(C561:C563)</f>
        <v>4374000</v>
      </c>
      <c r="D560" s="456">
        <f>SUM(D561:D563)</f>
        <v>1686994</v>
      </c>
      <c r="E560" s="471">
        <f>SUM(E561:E563)</f>
        <v>1686994</v>
      </c>
      <c r="F560" s="471">
        <f>SUM(F561:F563)</f>
        <v>1343942</v>
      </c>
      <c r="G560" s="471">
        <f>SUM(G561:G563)</f>
        <v>21464811.300000001</v>
      </c>
      <c r="H560" s="472"/>
    </row>
    <row r="561" spans="1:8" ht="12.75" hidden="1" customHeight="1" x14ac:dyDescent="0.2">
      <c r="A561" s="112"/>
      <c r="B561" s="141" t="s">
        <v>673</v>
      </c>
      <c r="C561" s="455">
        <f>1509000+2000+3000</f>
        <v>1514000</v>
      </c>
      <c r="D561" s="456">
        <v>1304000</v>
      </c>
      <c r="E561" s="132">
        <v>1304000</v>
      </c>
      <c r="F561" s="132">
        <v>1076000</v>
      </c>
      <c r="G561" s="122">
        <v>1512000</v>
      </c>
      <c r="H561" s="472"/>
    </row>
    <row r="562" spans="1:8" ht="12.75" hidden="1" customHeight="1" x14ac:dyDescent="0.2">
      <c r="A562" s="112"/>
      <c r="B562" s="141" t="s">
        <v>674</v>
      </c>
      <c r="C562" s="455">
        <f>246000-246000</f>
        <v>0</v>
      </c>
      <c r="D562" s="456">
        <v>0</v>
      </c>
      <c r="E562" s="121">
        <v>0</v>
      </c>
      <c r="F562" s="121">
        <v>0</v>
      </c>
      <c r="G562" s="122">
        <v>150000</v>
      </c>
      <c r="H562" s="472"/>
    </row>
    <row r="563" spans="1:8" ht="24.75" hidden="1" x14ac:dyDescent="0.2">
      <c r="A563" s="112"/>
      <c r="B563" s="141" t="s">
        <v>675</v>
      </c>
      <c r="C563" s="455">
        <f>2943000-83000</f>
        <v>2860000</v>
      </c>
      <c r="D563" s="456">
        <v>382994</v>
      </c>
      <c r="E563" s="121">
        <v>382994</v>
      </c>
      <c r="F563" s="121">
        <v>267942</v>
      </c>
      <c r="G563" s="122">
        <f>+(19797.8113+95+50-140)*1000</f>
        <v>19802811.300000001</v>
      </c>
      <c r="H563" s="118"/>
    </row>
    <row r="564" spans="1:8" s="116" customFormat="1" ht="12.75" hidden="1" customHeight="1" x14ac:dyDescent="0.2">
      <c r="A564" s="112">
        <v>3419</v>
      </c>
      <c r="B564" s="117" t="s">
        <v>676</v>
      </c>
      <c r="C564" s="477">
        <v>60000</v>
      </c>
      <c r="D564" s="467">
        <v>60000</v>
      </c>
      <c r="E564" s="111">
        <v>60000</v>
      </c>
      <c r="F564" s="111">
        <v>23782.41</v>
      </c>
      <c r="G564" s="111">
        <v>80000</v>
      </c>
      <c r="H564" s="96"/>
    </row>
    <row r="565" spans="1:8" s="116" customFormat="1" ht="15.75" hidden="1" x14ac:dyDescent="0.25">
      <c r="A565" s="447"/>
      <c r="B565" s="448" t="s">
        <v>677</v>
      </c>
      <c r="C565" s="197">
        <f>SUM(C566,C570,C573,C578,C581,C588)</f>
        <v>39914000</v>
      </c>
      <c r="D565" s="449">
        <f>SUM(D566,D570,D573,D578,D581,D588)</f>
        <v>39435236.609999999</v>
      </c>
      <c r="E565" s="197">
        <f>SUM(E566,E570,E573,E578,E581,E588)</f>
        <v>39435236.609999999</v>
      </c>
      <c r="F565" s="197">
        <f>SUM(F566,F570,F573,F578,F581,F588)</f>
        <v>25118106.539999999</v>
      </c>
      <c r="G565" s="197">
        <f>SUM(G566,G570,G573,G578,G581,G588)</f>
        <v>63946000</v>
      </c>
      <c r="H565" s="92"/>
    </row>
    <row r="566" spans="1:8" s="116" customFormat="1" hidden="1" x14ac:dyDescent="0.2">
      <c r="A566" s="478">
        <v>3311</v>
      </c>
      <c r="B566" s="479" t="s">
        <v>678</v>
      </c>
      <c r="C566" s="226">
        <f>SUM(C567:C569)</f>
        <v>13652000</v>
      </c>
      <c r="D566" s="227">
        <f>SUM(D567:D569)</f>
        <v>13287856.609999999</v>
      </c>
      <c r="E566" s="226">
        <f>SUM(E567:E569)</f>
        <v>13287856.609999999</v>
      </c>
      <c r="F566" s="226">
        <f>SUM(F567:F569)</f>
        <v>8752492.9000000004</v>
      </c>
      <c r="G566" s="226">
        <f>SUM(G567:G569)</f>
        <v>35844000</v>
      </c>
      <c r="H566" s="96"/>
    </row>
    <row r="567" spans="1:8" s="116" customFormat="1" ht="12.75" hidden="1" customHeight="1" x14ac:dyDescent="0.2">
      <c r="A567" s="480"/>
      <c r="B567" s="481" t="s">
        <v>679</v>
      </c>
      <c r="C567" s="455">
        <f>11611000+511000</f>
        <v>12122000</v>
      </c>
      <c r="D567" s="456">
        <v>11554289.039999999</v>
      </c>
      <c r="E567" s="121">
        <v>11554289.039999999</v>
      </c>
      <c r="F567" s="121">
        <v>7809830.2999999998</v>
      </c>
      <c r="G567" s="122">
        <v>12044000</v>
      </c>
      <c r="H567" s="96"/>
    </row>
    <row r="568" spans="1:8" s="116" customFormat="1" ht="24.75" hidden="1" x14ac:dyDescent="0.2">
      <c r="A568" s="480"/>
      <c r="B568" s="482" t="s">
        <v>680</v>
      </c>
      <c r="C568" s="455">
        <f>1150000+220000-400000</f>
        <v>970000</v>
      </c>
      <c r="D568" s="456">
        <v>970000</v>
      </c>
      <c r="E568" s="121">
        <v>970000</v>
      </c>
      <c r="F568" s="121">
        <v>836182.6</v>
      </c>
      <c r="G568" s="122">
        <f>+(20000+4000-200)*1000</f>
        <v>23800000</v>
      </c>
      <c r="H568" s="118"/>
    </row>
    <row r="569" spans="1:8" s="116" customFormat="1" ht="13.5" hidden="1" customHeight="1" x14ac:dyDescent="0.2">
      <c r="A569" s="480"/>
      <c r="B569" s="482" t="s">
        <v>681</v>
      </c>
      <c r="C569" s="483">
        <f>410000+150000</f>
        <v>560000</v>
      </c>
      <c r="D569" s="484">
        <v>763567.57</v>
      </c>
      <c r="E569" s="231">
        <v>763567.57</v>
      </c>
      <c r="F569" s="231">
        <v>106480</v>
      </c>
      <c r="G569" s="122">
        <v>0</v>
      </c>
      <c r="H569" s="96"/>
    </row>
    <row r="570" spans="1:8" hidden="1" x14ac:dyDescent="0.2">
      <c r="A570" s="485">
        <v>3319</v>
      </c>
      <c r="B570" s="486" t="s">
        <v>682</v>
      </c>
      <c r="C570" s="115">
        <f>SUM(C571:C572)</f>
        <v>1005000</v>
      </c>
      <c r="D570" s="138">
        <f>SUM(D571:D572)</f>
        <v>918000</v>
      </c>
      <c r="E570" s="115">
        <f>SUM(E571:E572)</f>
        <v>918000</v>
      </c>
      <c r="F570" s="115">
        <f>SUM(F571:F572)</f>
        <v>235910.69</v>
      </c>
      <c r="G570" s="115">
        <f>SUM(G571:G572)</f>
        <v>1017000</v>
      </c>
      <c r="H570" s="96"/>
    </row>
    <row r="571" spans="1:8" ht="12.75" hidden="1" customHeight="1" x14ac:dyDescent="0.2">
      <c r="A571" s="485"/>
      <c r="B571" s="487" t="s">
        <v>683</v>
      </c>
      <c r="C571" s="455">
        <v>410000</v>
      </c>
      <c r="D571" s="456">
        <v>410000</v>
      </c>
      <c r="E571" s="121">
        <v>410000</v>
      </c>
      <c r="F571" s="121">
        <v>235910.69</v>
      </c>
      <c r="G571" s="122">
        <f>417000+5000</f>
        <v>422000</v>
      </c>
      <c r="H571" s="118"/>
    </row>
    <row r="572" spans="1:8" ht="24.75" hidden="1" customHeight="1" x14ac:dyDescent="0.2">
      <c r="A572" s="485"/>
      <c r="B572" s="488" t="s">
        <v>684</v>
      </c>
      <c r="C572" s="455">
        <v>595000</v>
      </c>
      <c r="D572" s="456">
        <v>508000</v>
      </c>
      <c r="E572" s="121">
        <v>508000</v>
      </c>
      <c r="F572" s="121"/>
      <c r="G572" s="122">
        <v>595000</v>
      </c>
      <c r="H572" s="96"/>
    </row>
    <row r="573" spans="1:8" hidden="1" x14ac:dyDescent="0.2">
      <c r="A573" s="485">
        <v>3322</v>
      </c>
      <c r="B573" s="486" t="s">
        <v>685</v>
      </c>
      <c r="C573" s="166">
        <f>SUM(C574:C577)</f>
        <v>372000</v>
      </c>
      <c r="D573" s="138">
        <f>SUM(D574:D577)</f>
        <v>443000</v>
      </c>
      <c r="E573" s="166">
        <f>SUM(E574:E577)</f>
        <v>443000</v>
      </c>
      <c r="F573" s="166">
        <f>SUM(F574:F577)</f>
        <v>204341.84</v>
      </c>
      <c r="G573" s="166">
        <f>SUM(G574:G577)</f>
        <v>332000</v>
      </c>
      <c r="H573" s="96"/>
    </row>
    <row r="574" spans="1:8" ht="12.75" hidden="1" customHeight="1" x14ac:dyDescent="0.2">
      <c r="A574" s="480"/>
      <c r="B574" s="487" t="s">
        <v>686</v>
      </c>
      <c r="C574" s="455">
        <v>20000</v>
      </c>
      <c r="D574" s="456">
        <v>20000</v>
      </c>
      <c r="E574" s="132">
        <v>20000</v>
      </c>
      <c r="F574" s="132">
        <v>0</v>
      </c>
      <c r="G574" s="122">
        <v>10000</v>
      </c>
      <c r="H574" s="96"/>
    </row>
    <row r="575" spans="1:8" hidden="1" x14ac:dyDescent="0.2">
      <c r="A575" s="480"/>
      <c r="B575" s="487" t="s">
        <v>687</v>
      </c>
      <c r="C575" s="208">
        <v>40000</v>
      </c>
      <c r="D575" s="207">
        <v>40000</v>
      </c>
      <c r="E575" s="121">
        <v>40000</v>
      </c>
      <c r="F575" s="121">
        <v>0</v>
      </c>
      <c r="G575" s="122">
        <v>0</v>
      </c>
      <c r="H575" s="96"/>
    </row>
    <row r="576" spans="1:8" ht="12.75" hidden="1" customHeight="1" x14ac:dyDescent="0.2">
      <c r="A576" s="480"/>
      <c r="B576" s="481" t="s">
        <v>688</v>
      </c>
      <c r="C576" s="455">
        <v>42000</v>
      </c>
      <c r="D576" s="456">
        <v>42000</v>
      </c>
      <c r="E576" s="132">
        <v>42000</v>
      </c>
      <c r="F576" s="132">
        <v>31428</v>
      </c>
      <c r="G576" s="122">
        <v>42000</v>
      </c>
      <c r="H576" s="96"/>
    </row>
    <row r="577" spans="1:8" s="116" customFormat="1" ht="25.5" hidden="1" x14ac:dyDescent="0.2">
      <c r="A577" s="480"/>
      <c r="B577" s="481" t="s">
        <v>689</v>
      </c>
      <c r="C577" s="455">
        <f>305000-35000</f>
        <v>270000</v>
      </c>
      <c r="D577" s="456">
        <v>341000</v>
      </c>
      <c r="E577" s="132">
        <v>341000</v>
      </c>
      <c r="F577" s="132">
        <v>172913.84</v>
      </c>
      <c r="G577" s="122">
        <v>280000</v>
      </c>
      <c r="H577" s="118"/>
    </row>
    <row r="578" spans="1:8" s="116" customFormat="1" hidden="1" x14ac:dyDescent="0.2">
      <c r="A578" s="485">
        <v>3326</v>
      </c>
      <c r="B578" s="489" t="s">
        <v>690</v>
      </c>
      <c r="C578" s="166">
        <f>SUM(C579:C580)</f>
        <v>126000</v>
      </c>
      <c r="D578" s="138">
        <f>SUM(D579:D580)</f>
        <v>126000</v>
      </c>
      <c r="E578" s="166">
        <f>SUM(E579:E580)</f>
        <v>126000</v>
      </c>
      <c r="F578" s="166">
        <f>SUM(F579:F580)</f>
        <v>624.26</v>
      </c>
      <c r="G578" s="166">
        <f>SUM(G579:G580)</f>
        <v>341000</v>
      </c>
      <c r="H578" s="96"/>
    </row>
    <row r="579" spans="1:8" s="116" customFormat="1" ht="12.75" hidden="1" customHeight="1" x14ac:dyDescent="0.2">
      <c r="A579" s="480"/>
      <c r="B579" s="481" t="s">
        <v>691</v>
      </c>
      <c r="C579" s="455">
        <v>116000</v>
      </c>
      <c r="D579" s="456">
        <v>116000</v>
      </c>
      <c r="E579" s="132">
        <v>116000</v>
      </c>
      <c r="F579" s="132">
        <v>0</v>
      </c>
      <c r="G579" s="122">
        <v>338000</v>
      </c>
      <c r="H579" s="96"/>
    </row>
    <row r="580" spans="1:8" s="116" customFormat="1" ht="12.75" hidden="1" customHeight="1" x14ac:dyDescent="0.2">
      <c r="A580" s="480"/>
      <c r="B580" s="481" t="s">
        <v>692</v>
      </c>
      <c r="C580" s="455">
        <v>10000</v>
      </c>
      <c r="D580" s="456">
        <v>10000</v>
      </c>
      <c r="E580" s="132">
        <v>10000</v>
      </c>
      <c r="F580" s="132">
        <v>624.26</v>
      </c>
      <c r="G580" s="122">
        <v>3000</v>
      </c>
      <c r="H580" s="96"/>
    </row>
    <row r="581" spans="1:8" hidden="1" x14ac:dyDescent="0.2">
      <c r="A581" s="485">
        <v>3392</v>
      </c>
      <c r="B581" s="489" t="s">
        <v>693</v>
      </c>
      <c r="C581" s="166">
        <f>C583+C582</f>
        <v>24609000</v>
      </c>
      <c r="D581" s="138">
        <f>D583+D582</f>
        <v>24510380</v>
      </c>
      <c r="E581" s="166">
        <f>E583+E582</f>
        <v>24510380</v>
      </c>
      <c r="F581" s="166">
        <f>F583+F582</f>
        <v>15864967.85</v>
      </c>
      <c r="G581" s="166">
        <f>G583+G582</f>
        <v>26232000</v>
      </c>
      <c r="H581" s="96"/>
    </row>
    <row r="582" spans="1:8" ht="12.75" hidden="1" customHeight="1" x14ac:dyDescent="0.2">
      <c r="A582" s="485"/>
      <c r="B582" s="481" t="s">
        <v>694</v>
      </c>
      <c r="C582" s="455">
        <v>26000</v>
      </c>
      <c r="D582" s="456">
        <v>26000</v>
      </c>
      <c r="E582" s="121">
        <v>26000</v>
      </c>
      <c r="F582" s="121">
        <v>4000</v>
      </c>
      <c r="G582" s="122">
        <v>26000</v>
      </c>
      <c r="H582" s="118"/>
    </row>
    <row r="583" spans="1:8" hidden="1" x14ac:dyDescent="0.2">
      <c r="A583" s="480"/>
      <c r="B583" s="481" t="s">
        <v>695</v>
      </c>
      <c r="C583" s="166">
        <f>SUM(C584+C587+C586)</f>
        <v>24583000</v>
      </c>
      <c r="D583" s="138">
        <f>SUM(D584+D587+D586)</f>
        <v>24484380</v>
      </c>
      <c r="E583" s="166">
        <f>SUM(E584+E587+E586)</f>
        <v>24484380</v>
      </c>
      <c r="F583" s="166">
        <f>SUM(F584+F587+F586)</f>
        <v>15860967.85</v>
      </c>
      <c r="G583" s="166">
        <f>SUM(G584+G587+G586)</f>
        <v>26206000</v>
      </c>
      <c r="H583" s="118"/>
    </row>
    <row r="584" spans="1:8" ht="12.75" hidden="1" customHeight="1" x14ac:dyDescent="0.2">
      <c r="A584" s="480"/>
      <c r="B584" s="481" t="s">
        <v>696</v>
      </c>
      <c r="C584" s="455">
        <f>22225000+975000</f>
        <v>23200000</v>
      </c>
      <c r="D584" s="456">
        <v>23101380</v>
      </c>
      <c r="E584" s="121">
        <v>23101380</v>
      </c>
      <c r="F584" s="121">
        <v>15574415.85</v>
      </c>
      <c r="G584" s="122">
        <v>24300000</v>
      </c>
      <c r="H584" s="96"/>
    </row>
    <row r="585" spans="1:8" ht="12.75" hidden="1" customHeight="1" x14ac:dyDescent="0.2">
      <c r="A585" s="480"/>
      <c r="B585" s="481" t="s">
        <v>697</v>
      </c>
      <c r="C585" s="455"/>
      <c r="D585" s="456"/>
      <c r="E585" s="121"/>
      <c r="F585" s="121"/>
      <c r="G585" s="122"/>
      <c r="H585" s="118"/>
    </row>
    <row r="586" spans="1:8" s="116" customFormat="1" ht="12.75" hidden="1" customHeight="1" x14ac:dyDescent="0.2">
      <c r="A586" s="480"/>
      <c r="B586" s="482" t="s">
        <v>698</v>
      </c>
      <c r="C586" s="455">
        <v>267000</v>
      </c>
      <c r="D586" s="456">
        <v>267000</v>
      </c>
      <c r="E586" s="121">
        <v>267000</v>
      </c>
      <c r="F586" s="121">
        <v>0</v>
      </c>
      <c r="G586" s="122">
        <v>773000</v>
      </c>
      <c r="H586" s="96"/>
    </row>
    <row r="587" spans="1:8" s="116" customFormat="1" ht="48.75" hidden="1" x14ac:dyDescent="0.2">
      <c r="A587" s="480"/>
      <c r="B587" s="481" t="s">
        <v>699</v>
      </c>
      <c r="C587" s="455">
        <v>1116000</v>
      </c>
      <c r="D587" s="456">
        <v>1116000</v>
      </c>
      <c r="E587" s="121">
        <v>1116000</v>
      </c>
      <c r="F587" s="121">
        <v>286552</v>
      </c>
      <c r="G587" s="122">
        <f>+(415+351+130+310+313+57+157-600)*1000</f>
        <v>1133000</v>
      </c>
      <c r="H587" s="118"/>
    </row>
    <row r="588" spans="1:8" hidden="1" x14ac:dyDescent="0.2">
      <c r="A588" s="485">
        <v>3399</v>
      </c>
      <c r="B588" s="489" t="s">
        <v>700</v>
      </c>
      <c r="C588" s="166">
        <f>C589</f>
        <v>150000</v>
      </c>
      <c r="D588" s="138">
        <f>D589</f>
        <v>150000</v>
      </c>
      <c r="E588" s="166">
        <f>E589</f>
        <v>150000</v>
      </c>
      <c r="F588" s="166">
        <f>F589</f>
        <v>59769</v>
      </c>
      <c r="G588" s="166">
        <f>G589</f>
        <v>180000</v>
      </c>
      <c r="H588" s="96"/>
    </row>
    <row r="589" spans="1:8" ht="12.75" hidden="1" customHeight="1" x14ac:dyDescent="0.2">
      <c r="A589" s="480"/>
      <c r="B589" s="481" t="s">
        <v>701</v>
      </c>
      <c r="C589" s="490">
        <v>150000</v>
      </c>
      <c r="D589" s="491">
        <v>150000</v>
      </c>
      <c r="E589" s="309">
        <v>150000</v>
      </c>
      <c r="F589" s="309">
        <v>59769</v>
      </c>
      <c r="G589" s="122">
        <v>180000</v>
      </c>
      <c r="H589" s="118"/>
    </row>
    <row r="590" spans="1:8" ht="15.75" hidden="1" x14ac:dyDescent="0.25">
      <c r="A590" s="447"/>
      <c r="B590" s="196" t="s">
        <v>702</v>
      </c>
      <c r="C590" s="492">
        <f>C591</f>
        <v>21842140</v>
      </c>
      <c r="D590" s="493">
        <f>D591</f>
        <v>35974638</v>
      </c>
      <c r="E590" s="492">
        <f>E591</f>
        <v>35974638</v>
      </c>
      <c r="F590" s="492">
        <f>F591</f>
        <v>33020701</v>
      </c>
      <c r="G590" s="492">
        <f>G591</f>
        <v>17576816</v>
      </c>
      <c r="H590" s="96"/>
    </row>
    <row r="591" spans="1:8" hidden="1" x14ac:dyDescent="0.2">
      <c r="A591" s="112"/>
      <c r="B591" s="450" t="s">
        <v>703</v>
      </c>
      <c r="C591" s="110">
        <f>SUM(C592:C603)</f>
        <v>21842140</v>
      </c>
      <c r="D591" s="494">
        <f>SUM(D592:D603)</f>
        <v>35974638</v>
      </c>
      <c r="E591" s="110">
        <f>SUM(E592:E603)</f>
        <v>35974638</v>
      </c>
      <c r="F591" s="110">
        <f>SUM(F592:F603)</f>
        <v>33020701</v>
      </c>
      <c r="G591" s="110">
        <f>SUM(G592:G603)</f>
        <v>17576816</v>
      </c>
      <c r="H591" s="96"/>
    </row>
    <row r="592" spans="1:8" s="116" customFormat="1" ht="12.75" hidden="1" customHeight="1" x14ac:dyDescent="0.2">
      <c r="A592" s="119"/>
      <c r="B592" s="141" t="s">
        <v>704</v>
      </c>
      <c r="C592" s="455">
        <v>861000</v>
      </c>
      <c r="D592" s="456">
        <v>775000</v>
      </c>
      <c r="E592" s="132">
        <v>775000</v>
      </c>
      <c r="F592" s="132">
        <v>775000</v>
      </c>
      <c r="G592" s="122">
        <v>893000</v>
      </c>
      <c r="H592" s="96"/>
    </row>
    <row r="593" spans="1:8" s="116" customFormat="1" ht="12.75" hidden="1" customHeight="1" x14ac:dyDescent="0.2">
      <c r="A593" s="119"/>
      <c r="B593" s="141" t="s">
        <v>705</v>
      </c>
      <c r="C593" s="455">
        <v>286000</v>
      </c>
      <c r="D593" s="456">
        <v>262000</v>
      </c>
      <c r="E593" s="121">
        <v>262000</v>
      </c>
      <c r="F593" s="121">
        <v>144000</v>
      </c>
      <c r="G593" s="122">
        <v>297000</v>
      </c>
      <c r="H593" s="96"/>
    </row>
    <row r="594" spans="1:8" s="116" customFormat="1" ht="12.75" hidden="1" customHeight="1" x14ac:dyDescent="0.2">
      <c r="A594" s="119"/>
      <c r="B594" s="141" t="s">
        <v>706</v>
      </c>
      <c r="C594" s="455">
        <v>4250000</v>
      </c>
      <c r="D594" s="456">
        <v>4215000</v>
      </c>
      <c r="E594" s="121">
        <v>4215000</v>
      </c>
      <c r="F594" s="121">
        <v>3861500</v>
      </c>
      <c r="G594" s="122">
        <v>3050000</v>
      </c>
      <c r="H594" s="118"/>
    </row>
    <row r="595" spans="1:8" ht="12.75" hidden="1" customHeight="1" x14ac:dyDescent="0.2">
      <c r="A595" s="119"/>
      <c r="B595" s="141" t="s">
        <v>707</v>
      </c>
      <c r="C595" s="455">
        <v>7593000</v>
      </c>
      <c r="D595" s="456">
        <v>7178000</v>
      </c>
      <c r="E595" s="121">
        <v>7178000</v>
      </c>
      <c r="F595" s="121">
        <v>7011000</v>
      </c>
      <c r="G595" s="122">
        <v>5423000</v>
      </c>
      <c r="H595" s="118"/>
    </row>
    <row r="596" spans="1:8" ht="12.75" hidden="1" customHeight="1" x14ac:dyDescent="0.2">
      <c r="A596" s="119"/>
      <c r="B596" s="141" t="s">
        <v>708</v>
      </c>
      <c r="C596" s="455">
        <v>100000</v>
      </c>
      <c r="D596" s="456">
        <v>95000</v>
      </c>
      <c r="E596" s="121">
        <v>95000</v>
      </c>
      <c r="F596" s="121">
        <v>52000</v>
      </c>
      <c r="G596" s="122">
        <v>40000</v>
      </c>
      <c r="H596" s="96"/>
    </row>
    <row r="597" spans="1:8" ht="12.75" hidden="1" customHeight="1" x14ac:dyDescent="0.2">
      <c r="A597" s="119"/>
      <c r="B597" s="141" t="s">
        <v>709</v>
      </c>
      <c r="C597" s="455">
        <v>6700000</v>
      </c>
      <c r="D597" s="456">
        <v>6701700</v>
      </c>
      <c r="E597" s="132">
        <v>6701700</v>
      </c>
      <c r="F597" s="132">
        <v>5198300</v>
      </c>
      <c r="G597" s="122">
        <v>6500000</v>
      </c>
      <c r="H597" s="96"/>
    </row>
    <row r="598" spans="1:8" ht="12.75" hidden="1" customHeight="1" x14ac:dyDescent="0.2">
      <c r="A598" s="119"/>
      <c r="B598" s="141" t="s">
        <v>710</v>
      </c>
      <c r="C598" s="455">
        <v>0</v>
      </c>
      <c r="D598" s="456">
        <v>932</v>
      </c>
      <c r="E598" s="231">
        <v>932</v>
      </c>
      <c r="F598" s="231">
        <v>-932</v>
      </c>
      <c r="G598" s="122">
        <v>0</v>
      </c>
      <c r="H598" s="96"/>
    </row>
    <row r="599" spans="1:8" ht="12.75" hidden="1" customHeight="1" x14ac:dyDescent="0.2">
      <c r="A599" s="119"/>
      <c r="B599" s="141" t="s">
        <v>711</v>
      </c>
      <c r="C599" s="455">
        <v>0</v>
      </c>
      <c r="D599" s="456">
        <v>6800</v>
      </c>
      <c r="E599" s="231">
        <v>6800</v>
      </c>
      <c r="F599" s="231">
        <v>-6800</v>
      </c>
      <c r="G599" s="122">
        <v>0</v>
      </c>
      <c r="H599" s="96"/>
    </row>
    <row r="600" spans="1:8" ht="12.75" hidden="1" customHeight="1" x14ac:dyDescent="0.2">
      <c r="A600" s="120"/>
      <c r="B600" s="141" t="s">
        <v>712</v>
      </c>
      <c r="C600" s="455">
        <v>740000</v>
      </c>
      <c r="D600" s="456">
        <v>746532</v>
      </c>
      <c r="E600" s="309">
        <v>746532</v>
      </c>
      <c r="F600" s="309">
        <v>702468</v>
      </c>
      <c r="G600" s="122">
        <v>666000</v>
      </c>
      <c r="H600" s="96"/>
    </row>
    <row r="601" spans="1:8" ht="12.75" hidden="1" customHeight="1" x14ac:dyDescent="0.2">
      <c r="A601" s="120"/>
      <c r="B601" s="141" t="s">
        <v>713</v>
      </c>
      <c r="C601" s="455">
        <v>120000</v>
      </c>
      <c r="D601" s="456">
        <v>110000</v>
      </c>
      <c r="E601" s="253">
        <v>110000</v>
      </c>
      <c r="F601" s="253">
        <v>33000</v>
      </c>
      <c r="G601" s="122">
        <v>84000</v>
      </c>
      <c r="H601" s="96"/>
    </row>
    <row r="602" spans="1:8" ht="12.75" hidden="1" customHeight="1" x14ac:dyDescent="0.2">
      <c r="A602" s="120"/>
      <c r="B602" s="141" t="s">
        <v>714</v>
      </c>
      <c r="C602" s="455">
        <v>574000</v>
      </c>
      <c r="D602" s="456">
        <v>500000</v>
      </c>
      <c r="E602" s="134">
        <v>500000</v>
      </c>
      <c r="F602" s="134">
        <v>500000</v>
      </c>
      <c r="G602" s="122">
        <v>0</v>
      </c>
      <c r="H602" s="96"/>
    </row>
    <row r="603" spans="1:8" ht="36.75" hidden="1" x14ac:dyDescent="0.2">
      <c r="A603" s="113"/>
      <c r="B603" s="141" t="s">
        <v>715</v>
      </c>
      <c r="C603" s="455">
        <f>160000+276000+15000+55440+90000+21700</f>
        <v>618140</v>
      </c>
      <c r="D603" s="456">
        <v>15383674</v>
      </c>
      <c r="E603" s="121">
        <v>15383674</v>
      </c>
      <c r="F603" s="121">
        <v>14751165</v>
      </c>
      <c r="G603" s="122">
        <f>+(165+220+33.816+15+90+100)*1000</f>
        <v>623816</v>
      </c>
      <c r="H603" s="118"/>
    </row>
    <row r="604" spans="1:8" ht="21" hidden="1" customHeight="1" x14ac:dyDescent="0.3">
      <c r="A604" s="447"/>
      <c r="B604" s="94" t="s">
        <v>716</v>
      </c>
      <c r="C604" s="495">
        <f>SUM(C606)</f>
        <v>24216100</v>
      </c>
      <c r="D604" s="496">
        <v>26216100</v>
      </c>
      <c r="E604" s="497">
        <v>26000000</v>
      </c>
      <c r="F604" s="497">
        <v>16002050.35</v>
      </c>
      <c r="G604" s="497">
        <f>SUM(G606)</f>
        <v>24084500</v>
      </c>
      <c r="H604" s="96"/>
    </row>
    <row r="605" spans="1:8" ht="12" hidden="1" customHeight="1" x14ac:dyDescent="0.2">
      <c r="A605" s="112">
        <v>5311</v>
      </c>
      <c r="B605" s="161" t="s">
        <v>717</v>
      </c>
      <c r="C605" s="498">
        <f>SUM(C606)</f>
        <v>24216100</v>
      </c>
      <c r="D605" s="498">
        <v>26216100</v>
      </c>
      <c r="E605" s="111">
        <v>26000000</v>
      </c>
      <c r="F605" s="122">
        <v>16002050.35</v>
      </c>
      <c r="G605" s="111">
        <f>SUM(G606)</f>
        <v>24084500</v>
      </c>
      <c r="H605" s="96"/>
    </row>
    <row r="606" spans="1:8" ht="61.5" hidden="1" x14ac:dyDescent="0.2">
      <c r="A606" s="112"/>
      <c r="B606" s="425" t="s">
        <v>718</v>
      </c>
      <c r="C606" s="499">
        <f>(16200+4017.6+1458+2+1+200+2+68+169.5+10+240+10+237+35+3+48+2+529+288+80+15+50+20+25+6+500)*1000</f>
        <v>24216100</v>
      </c>
      <c r="D606" s="499">
        <v>26216100</v>
      </c>
      <c r="E606" s="121">
        <v>26000000</v>
      </c>
      <c r="F606" s="121">
        <v>16002050.35</v>
      </c>
      <c r="G606" s="122">
        <f>(16000+3968+1440+2+275+1+101+127.5+10+240+1+242+30+3+27+2+579+283+80+7+50+10+100+6+500)*1000</f>
        <v>24084500</v>
      </c>
      <c r="H606" s="118"/>
    </row>
    <row r="607" spans="1:8" ht="12.75" hidden="1" customHeight="1" x14ac:dyDescent="0.2">
      <c r="A607" s="500"/>
      <c r="B607" s="501"/>
      <c r="C607" s="502"/>
      <c r="D607" s="502"/>
      <c r="E607" s="309"/>
      <c r="F607" s="309"/>
      <c r="G607" s="431"/>
      <c r="H607" s="118"/>
    </row>
    <row r="608" spans="1:8" ht="20.25" hidden="1" x14ac:dyDescent="0.3">
      <c r="A608" s="447"/>
      <c r="B608" s="94" t="s">
        <v>719</v>
      </c>
      <c r="C608" s="97">
        <f>SUM(C609:C614)+C623</f>
        <v>36789421</v>
      </c>
      <c r="D608" s="95">
        <f>SUM(D609:D614)+D623</f>
        <v>33301421</v>
      </c>
      <c r="E608" s="95">
        <f>SUM(E609:E614)+E623</f>
        <v>30587183.09</v>
      </c>
      <c r="F608" s="95">
        <f>SUM(F609:F614)+F623</f>
        <v>14768627.58</v>
      </c>
      <c r="G608" s="95">
        <f>SUM(G609:G614)+G623</f>
        <v>34895800</v>
      </c>
      <c r="H608" s="96"/>
    </row>
    <row r="609" spans="1:8" s="116" customFormat="1" ht="36.75" hidden="1" x14ac:dyDescent="0.2">
      <c r="A609" s="108">
        <v>5212</v>
      </c>
      <c r="B609" s="225" t="s">
        <v>720</v>
      </c>
      <c r="C609" s="226">
        <f>1000+80000+25000+23000+40000</f>
        <v>169000</v>
      </c>
      <c r="D609" s="226">
        <v>169000</v>
      </c>
      <c r="E609" s="111">
        <v>136000</v>
      </c>
      <c r="F609" s="111">
        <v>38199.1</v>
      </c>
      <c r="G609" s="111">
        <v>169000</v>
      </c>
      <c r="H609" s="118"/>
    </row>
    <row r="610" spans="1:8" s="289" customFormat="1" ht="36.75" hidden="1" x14ac:dyDescent="0.25">
      <c r="A610" s="112">
        <v>5213</v>
      </c>
      <c r="B610" s="167" t="s">
        <v>721</v>
      </c>
      <c r="C610" s="166">
        <f>50000+70000+3000+3000+4000+10000+60000</f>
        <v>200000</v>
      </c>
      <c r="D610" s="166">
        <v>800000</v>
      </c>
      <c r="E610" s="166">
        <v>957907.71</v>
      </c>
      <c r="F610" s="166">
        <v>671490.34</v>
      </c>
      <c r="G610" s="111">
        <v>300000</v>
      </c>
      <c r="H610" s="118"/>
    </row>
    <row r="611" spans="1:8" s="116" customFormat="1" ht="24.75" hidden="1" x14ac:dyDescent="0.2">
      <c r="A611" s="112">
        <v>5273</v>
      </c>
      <c r="B611" s="167" t="s">
        <v>722</v>
      </c>
      <c r="C611" s="166">
        <f>1000+2000+1000+1000</f>
        <v>5000</v>
      </c>
      <c r="D611" s="166">
        <v>5000</v>
      </c>
      <c r="E611" s="115">
        <v>5000</v>
      </c>
      <c r="F611" s="115">
        <v>0</v>
      </c>
      <c r="G611" s="111">
        <v>5000</v>
      </c>
      <c r="H611" s="118"/>
    </row>
    <row r="612" spans="1:8" s="289" customFormat="1" ht="15.75" hidden="1" x14ac:dyDescent="0.25">
      <c r="A612" s="112">
        <v>5511</v>
      </c>
      <c r="B612" s="167" t="s">
        <v>723</v>
      </c>
      <c r="C612" s="166">
        <v>1800000</v>
      </c>
      <c r="D612" s="166">
        <v>1800000</v>
      </c>
      <c r="E612" s="115">
        <v>1645974</v>
      </c>
      <c r="F612" s="115">
        <v>1645974</v>
      </c>
      <c r="G612" s="111">
        <v>1800000</v>
      </c>
      <c r="H612" s="118"/>
    </row>
    <row r="613" spans="1:8" s="289" customFormat="1" ht="36.75" hidden="1" x14ac:dyDescent="0.25">
      <c r="A613" s="112">
        <v>5512</v>
      </c>
      <c r="B613" s="167" t="s">
        <v>724</v>
      </c>
      <c r="C613" s="166">
        <f>40000+50000+5000+12000+3600+5000+7000+35000+4000</f>
        <v>161600</v>
      </c>
      <c r="D613" s="166">
        <v>161600</v>
      </c>
      <c r="E613" s="166">
        <v>161380.54</v>
      </c>
      <c r="F613" s="166">
        <v>103169.81</v>
      </c>
      <c r="G613" s="111">
        <v>332600</v>
      </c>
      <c r="H613" s="118"/>
    </row>
    <row r="614" spans="1:8" s="289" customFormat="1" ht="12.75" hidden="1" customHeight="1" x14ac:dyDescent="0.25">
      <c r="A614" s="112">
        <v>6171</v>
      </c>
      <c r="B614" s="165" t="s">
        <v>725</v>
      </c>
      <c r="C614" s="166">
        <f>SUM(C615:C622)</f>
        <v>33103821</v>
      </c>
      <c r="D614" s="166">
        <f>SUM(D615:D622)</f>
        <v>29015821</v>
      </c>
      <c r="E614" s="166">
        <f>SUM(E615:E622)</f>
        <v>26330920.84</v>
      </c>
      <c r="F614" s="166">
        <f>SUM(F615:F622)</f>
        <v>11460329.33</v>
      </c>
      <c r="G614" s="166">
        <f>SUM(G615:G622)</f>
        <v>30939200</v>
      </c>
      <c r="H614" s="96"/>
    </row>
    <row r="615" spans="1:8" s="289" customFormat="1" ht="144" hidden="1" x14ac:dyDescent="0.25">
      <c r="A615" s="112"/>
      <c r="B615" s="503" t="s">
        <v>726</v>
      </c>
      <c r="C615" s="132">
        <f>(40000+100000+32500+600000+980000+1000000+1000000+2000000+1075000+350000+2100000+1500000+1000+182000+1700000+71000+126000+578200+260000+4655000+100000+500000+2070000+500000+200000+200000+4500+1000+21000+2000)-1000000-400000</f>
        <v>20549200</v>
      </c>
      <c r="D615" s="132">
        <v>16631700</v>
      </c>
      <c r="E615" s="132">
        <v>15433900</v>
      </c>
      <c r="F615" s="132">
        <v>7773789.1399999997</v>
      </c>
      <c r="G615" s="122">
        <f>21917200-1500000</f>
        <v>20417200</v>
      </c>
      <c r="H615" s="118"/>
    </row>
    <row r="616" spans="1:8" s="289" customFormat="1" ht="24" hidden="1" x14ac:dyDescent="0.25">
      <c r="A616" s="112"/>
      <c r="B616" s="504" t="s">
        <v>727</v>
      </c>
      <c r="C616" s="132">
        <f>100000+150000+150000+1000000+600000</f>
        <v>2000000</v>
      </c>
      <c r="D616" s="132">
        <v>2420000</v>
      </c>
      <c r="E616" s="121">
        <v>1904250.45</v>
      </c>
      <c r="F616" s="121">
        <v>548557.02</v>
      </c>
      <c r="G616" s="122">
        <v>480000</v>
      </c>
      <c r="H616" s="118"/>
    </row>
    <row r="617" spans="1:8" s="116" customFormat="1" ht="48" hidden="1" x14ac:dyDescent="0.2">
      <c r="A617" s="119"/>
      <c r="B617" s="505" t="s">
        <v>728</v>
      </c>
      <c r="C617" s="132">
        <f>2040000+395000+33000+10000+3936516+50000+530000+312905</f>
        <v>7307421</v>
      </c>
      <c r="D617" s="132">
        <v>6807421</v>
      </c>
      <c r="E617" s="121">
        <v>6437421</v>
      </c>
      <c r="F617" s="121">
        <v>2355907.66</v>
      </c>
      <c r="G617" s="122">
        <v>5977400</v>
      </c>
      <c r="H617" s="118"/>
    </row>
    <row r="618" spans="1:8" ht="24" hidden="1" x14ac:dyDescent="0.2">
      <c r="A618" s="119"/>
      <c r="B618" s="505" t="s">
        <v>729</v>
      </c>
      <c r="C618" s="132">
        <f>100000+314600+20000+100000+200000+400000+200000+600000</f>
        <v>1934600</v>
      </c>
      <c r="D618" s="132">
        <v>1834600</v>
      </c>
      <c r="E618" s="121">
        <v>1234600</v>
      </c>
      <c r="F618" s="121">
        <v>0</v>
      </c>
      <c r="G618" s="122">
        <v>3071000</v>
      </c>
      <c r="H618" s="118"/>
    </row>
    <row r="619" spans="1:8" ht="36.75" hidden="1" x14ac:dyDescent="0.2">
      <c r="A619" s="119"/>
      <c r="B619" s="168" t="s">
        <v>730</v>
      </c>
      <c r="C619" s="132">
        <f>12000+10000+15000+90000+1000+1000+50000+50000+17000+650000</f>
        <v>896000</v>
      </c>
      <c r="D619" s="132">
        <v>896000</v>
      </c>
      <c r="E619" s="121">
        <v>895649.39</v>
      </c>
      <c r="F619" s="121">
        <v>563472.49</v>
      </c>
      <c r="G619" s="122">
        <f>833000-300000</f>
        <v>533000</v>
      </c>
      <c r="H619" s="118"/>
    </row>
    <row r="620" spans="1:8" hidden="1" x14ac:dyDescent="0.2">
      <c r="A620" s="119"/>
      <c r="B620" s="143" t="s">
        <v>731</v>
      </c>
      <c r="C620" s="132">
        <v>200000</v>
      </c>
      <c r="D620" s="132">
        <v>201500</v>
      </c>
      <c r="E620" s="121">
        <v>201500</v>
      </c>
      <c r="F620" s="121">
        <v>132647.82</v>
      </c>
      <c r="G620" s="122">
        <v>200000</v>
      </c>
      <c r="H620" s="118"/>
    </row>
    <row r="621" spans="1:8" hidden="1" x14ac:dyDescent="0.2">
      <c r="A621" s="119"/>
      <c r="B621" s="143" t="s">
        <v>732</v>
      </c>
      <c r="C621" s="132">
        <v>60000</v>
      </c>
      <c r="D621" s="132">
        <v>61000</v>
      </c>
      <c r="E621" s="121">
        <v>60000</v>
      </c>
      <c r="F621" s="121">
        <v>23746.6</v>
      </c>
      <c r="G621" s="122">
        <v>60000</v>
      </c>
      <c r="H621" s="506"/>
    </row>
    <row r="622" spans="1:8" ht="24.75" hidden="1" x14ac:dyDescent="0.2">
      <c r="A622" s="119"/>
      <c r="B622" s="168" t="s">
        <v>733</v>
      </c>
      <c r="C622" s="132">
        <f>2000+20000+9000+18000+11000+72600+24000</f>
        <v>156600</v>
      </c>
      <c r="D622" s="132">
        <v>163600</v>
      </c>
      <c r="E622" s="132">
        <v>163600</v>
      </c>
      <c r="F622" s="132">
        <v>62208.6</v>
      </c>
      <c r="G622" s="122">
        <v>200600</v>
      </c>
      <c r="H622" s="96"/>
    </row>
    <row r="623" spans="1:8" ht="12.75" hidden="1" customHeight="1" x14ac:dyDescent="0.2">
      <c r="A623" s="112">
        <v>6320</v>
      </c>
      <c r="B623" s="165" t="s">
        <v>734</v>
      </c>
      <c r="C623" s="166">
        <f>1300000+50000</f>
        <v>1350000</v>
      </c>
      <c r="D623" s="166">
        <v>1350000</v>
      </c>
      <c r="E623" s="114">
        <v>1350000</v>
      </c>
      <c r="F623" s="114">
        <v>849465</v>
      </c>
      <c r="G623" s="111">
        <v>1350000</v>
      </c>
      <c r="H623" s="96"/>
    </row>
    <row r="624" spans="1:8" ht="12.75" hidden="1" customHeight="1" x14ac:dyDescent="0.2">
      <c r="A624" s="507"/>
      <c r="B624" s="417"/>
      <c r="C624" s="191"/>
      <c r="D624" s="191"/>
      <c r="E624" s="309"/>
      <c r="F624" s="309"/>
      <c r="G624" s="431"/>
      <c r="H624" s="96"/>
    </row>
    <row r="625" spans="1:8" ht="20.25" hidden="1" x14ac:dyDescent="0.3">
      <c r="A625" s="447"/>
      <c r="B625" s="94" t="s">
        <v>735</v>
      </c>
      <c r="C625" s="508">
        <f>C626+C627+C631</f>
        <v>153267660</v>
      </c>
      <c r="D625" s="508">
        <f>D626+D627+D631</f>
        <v>152405979</v>
      </c>
      <c r="E625" s="508">
        <f>E626+E627+E631</f>
        <v>152405979</v>
      </c>
      <c r="F625" s="508">
        <f>F626+F627+F631</f>
        <v>87122082</v>
      </c>
      <c r="G625" s="508">
        <f>G626+G627+G631</f>
        <v>149365960</v>
      </c>
      <c r="H625" s="96"/>
    </row>
    <row r="626" spans="1:8" s="116" customFormat="1" ht="36.75" hidden="1" x14ac:dyDescent="0.2">
      <c r="A626" s="112">
        <v>6112</v>
      </c>
      <c r="B626" s="167" t="s">
        <v>736</v>
      </c>
      <c r="C626" s="166">
        <f>25000+7200000+954800+648000+12000+13000+500+20000+75000+7000+40000+30000</f>
        <v>9025300</v>
      </c>
      <c r="D626" s="166">
        <v>8652800</v>
      </c>
      <c r="E626" s="166">
        <v>8652800</v>
      </c>
      <c r="F626" s="111">
        <v>5523052</v>
      </c>
      <c r="G626" s="111">
        <v>8946400</v>
      </c>
      <c r="H626" s="118"/>
    </row>
    <row r="627" spans="1:8" s="116" customFormat="1" hidden="1" x14ac:dyDescent="0.2">
      <c r="A627" s="112">
        <v>6171</v>
      </c>
      <c r="B627" s="165" t="s">
        <v>725</v>
      </c>
      <c r="C627" s="226">
        <f>SUM(C628:C630)</f>
        <v>138157960</v>
      </c>
      <c r="D627" s="226">
        <f>SUM(D628:D630)</f>
        <v>137668779</v>
      </c>
      <c r="E627" s="226">
        <f>SUM(E628:E630)</f>
        <v>137668779</v>
      </c>
      <c r="F627" s="226">
        <f>SUM(F628:F630)</f>
        <v>77035730</v>
      </c>
      <c r="G627" s="226">
        <f>SUM(G628:G630)</f>
        <v>134519560</v>
      </c>
      <c r="H627" s="96"/>
    </row>
    <row r="628" spans="1:8" ht="36" hidden="1" x14ac:dyDescent="0.2">
      <c r="A628" s="108"/>
      <c r="B628" s="509" t="s">
        <v>737</v>
      </c>
      <c r="C628" s="134">
        <f>89500000+10000+1300000+10000+22518400+8172000+490000+1000+1000000+250000+25000+30000+40000+100000+700000</f>
        <v>124146400</v>
      </c>
      <c r="D628" s="134">
        <v>123657219</v>
      </c>
      <c r="E628" s="134">
        <v>123657219</v>
      </c>
      <c r="F628" s="121">
        <v>68686166</v>
      </c>
      <c r="G628" s="122">
        <v>120650400</v>
      </c>
      <c r="H628" s="118"/>
    </row>
    <row r="629" spans="1:8" ht="25.5" hidden="1" customHeight="1" x14ac:dyDescent="0.25">
      <c r="A629" s="510"/>
      <c r="B629" s="168" t="s">
        <v>738</v>
      </c>
      <c r="C629" s="511">
        <f>5800000+24000+1456000+524160+120000+3000</f>
        <v>7927160</v>
      </c>
      <c r="D629" s="511">
        <v>7927160</v>
      </c>
      <c r="E629" s="511">
        <v>7927160</v>
      </c>
      <c r="F629" s="121">
        <v>4879761</v>
      </c>
      <c r="G629" s="122">
        <v>7669160</v>
      </c>
      <c r="H629" s="96"/>
    </row>
    <row r="630" spans="1:8" ht="48.75" hidden="1" x14ac:dyDescent="0.25">
      <c r="A630" s="510"/>
      <c r="B630" s="414" t="s">
        <v>739</v>
      </c>
      <c r="C630" s="511">
        <f>60700+2687200+1157500+95000+1066000+20000+100000+98000+800000</f>
        <v>6084400</v>
      </c>
      <c r="D630" s="511">
        <v>6084400</v>
      </c>
      <c r="E630" s="511">
        <v>6084400</v>
      </c>
      <c r="F630" s="121">
        <v>3469803</v>
      </c>
      <c r="G630" s="122">
        <f>5900000+300000</f>
        <v>6200000</v>
      </c>
      <c r="H630" s="118"/>
    </row>
    <row r="631" spans="1:8" hidden="1" x14ac:dyDescent="0.2">
      <c r="A631" s="112">
        <v>6330</v>
      </c>
      <c r="B631" s="165" t="s">
        <v>740</v>
      </c>
      <c r="C631" s="166">
        <v>6084400</v>
      </c>
      <c r="D631" s="166">
        <v>6084400</v>
      </c>
      <c r="E631" s="166">
        <v>6084400</v>
      </c>
      <c r="F631" s="115">
        <v>4563300</v>
      </c>
      <c r="G631" s="111">
        <v>5900000</v>
      </c>
      <c r="H631" s="118"/>
    </row>
    <row r="632" spans="1:8" hidden="1" x14ac:dyDescent="0.2">
      <c r="A632" s="512"/>
      <c r="B632" s="513"/>
      <c r="C632" s="514"/>
      <c r="D632" s="514"/>
      <c r="E632" s="309"/>
      <c r="F632" s="309"/>
      <c r="G632" s="431"/>
      <c r="H632" s="118"/>
    </row>
    <row r="633" spans="1:8" ht="20.25" hidden="1" x14ac:dyDescent="0.3">
      <c r="A633" s="447"/>
      <c r="B633" s="94" t="s">
        <v>43</v>
      </c>
      <c r="C633" s="508">
        <f>C634+C662</f>
        <v>10199000</v>
      </c>
      <c r="D633" s="508">
        <f>D634+D662</f>
        <v>10026000</v>
      </c>
      <c r="E633" s="508">
        <f>E634+E662</f>
        <v>8890100</v>
      </c>
      <c r="F633" s="508">
        <f>F634+F662</f>
        <v>6802858.8700000001</v>
      </c>
      <c r="G633" s="508">
        <f>G634+G662</f>
        <v>10937288</v>
      </c>
      <c r="H633" s="118"/>
    </row>
    <row r="634" spans="1:8" ht="15.75" hidden="1" x14ac:dyDescent="0.25">
      <c r="A634" s="447"/>
      <c r="B634" s="196" t="s">
        <v>741</v>
      </c>
      <c r="C634" s="515">
        <f>C635+C636+C637+C638+C642+C644+C646+C649+C651+C653+C655+C660+C661</f>
        <v>3459000</v>
      </c>
      <c r="D634" s="515">
        <f>D635+D636+D637+D638+D642+D644+D646+D649+D651+D653+D655+D660+D661</f>
        <v>3286000</v>
      </c>
      <c r="E634" s="515">
        <f>E635+E636+E637+E638+E642+E644+E646+E649+E651+E653+E655+E660+E661</f>
        <v>2734100</v>
      </c>
      <c r="F634" s="515">
        <f>F635+F636+F637+F638+F642+F644+F646+F649+F651+F653+F655+F660+F661</f>
        <v>769858.87000000011</v>
      </c>
      <c r="G634" s="515">
        <f>G635+G636+G637+G638+G642+G644+G646+G649+G651+G653+G655+G660+G661</f>
        <v>3067000</v>
      </c>
      <c r="H634" s="118"/>
    </row>
    <row r="635" spans="1:8" hidden="1" x14ac:dyDescent="0.2">
      <c r="A635" s="112">
        <v>2293</v>
      </c>
      <c r="B635" s="165" t="s">
        <v>742</v>
      </c>
      <c r="C635" s="166">
        <v>726000</v>
      </c>
      <c r="D635" s="166">
        <v>726000</v>
      </c>
      <c r="E635" s="111">
        <v>710000</v>
      </c>
      <c r="F635" s="111">
        <v>466566.40000000002</v>
      </c>
      <c r="G635" s="111">
        <v>726000</v>
      </c>
      <c r="H635" s="118"/>
    </row>
    <row r="636" spans="1:8" hidden="1" x14ac:dyDescent="0.2">
      <c r="A636" s="112">
        <v>3613</v>
      </c>
      <c r="B636" s="165" t="s">
        <v>743</v>
      </c>
      <c r="C636" s="166">
        <v>3000</v>
      </c>
      <c r="D636" s="166">
        <v>3000</v>
      </c>
      <c r="E636" s="115">
        <v>0</v>
      </c>
      <c r="F636" s="121">
        <v>0</v>
      </c>
      <c r="G636" s="111">
        <v>3000</v>
      </c>
      <c r="H636" s="96"/>
    </row>
    <row r="637" spans="1:8" s="289" customFormat="1" ht="15.75" hidden="1" x14ac:dyDescent="0.25">
      <c r="A637" s="112">
        <v>3632</v>
      </c>
      <c r="B637" s="165" t="s">
        <v>744</v>
      </c>
      <c r="C637" s="166">
        <v>130000</v>
      </c>
      <c r="D637" s="166">
        <v>130000</v>
      </c>
      <c r="E637" s="115">
        <v>130000</v>
      </c>
      <c r="F637" s="115">
        <v>104602.78</v>
      </c>
      <c r="G637" s="111">
        <v>130000</v>
      </c>
      <c r="H637" s="472"/>
    </row>
    <row r="638" spans="1:8" s="289" customFormat="1" ht="12.75" hidden="1" customHeight="1" x14ac:dyDescent="0.25">
      <c r="A638" s="112">
        <v>4329</v>
      </c>
      <c r="B638" s="165" t="s">
        <v>745</v>
      </c>
      <c r="C638" s="166">
        <f>SUM(C639:C641)</f>
        <v>205000</v>
      </c>
      <c r="D638" s="166">
        <f>SUM(D639:D641)</f>
        <v>255000</v>
      </c>
      <c r="E638" s="166">
        <f>SUM(E639:E641)</f>
        <v>254600</v>
      </c>
      <c r="F638" s="166">
        <f>SUM(F639:F641)</f>
        <v>72733</v>
      </c>
      <c r="G638" s="166">
        <f>SUM(G639:G641)</f>
        <v>205000</v>
      </c>
      <c r="H638" s="474"/>
    </row>
    <row r="639" spans="1:8" s="116" customFormat="1" hidden="1" x14ac:dyDescent="0.2">
      <c r="A639" s="112"/>
      <c r="B639" s="182" t="s">
        <v>746</v>
      </c>
      <c r="C639" s="132">
        <v>5000</v>
      </c>
      <c r="D639" s="132">
        <v>5000</v>
      </c>
      <c r="E639" s="121">
        <v>2000</v>
      </c>
      <c r="F639" s="121">
        <v>1333</v>
      </c>
      <c r="G639" s="122">
        <v>5000</v>
      </c>
      <c r="H639" s="474"/>
    </row>
    <row r="640" spans="1:8" s="116" customFormat="1" hidden="1" x14ac:dyDescent="0.2">
      <c r="A640" s="112"/>
      <c r="B640" s="182" t="s">
        <v>747</v>
      </c>
      <c r="C640" s="132">
        <v>200000</v>
      </c>
      <c r="D640" s="132">
        <v>250000</v>
      </c>
      <c r="E640" s="121">
        <v>250000</v>
      </c>
      <c r="F640" s="121">
        <v>68800</v>
      </c>
      <c r="G640" s="122">
        <v>200000</v>
      </c>
      <c r="H640" s="96"/>
    </row>
    <row r="641" spans="1:8" s="116" customFormat="1" hidden="1" x14ac:dyDescent="0.2">
      <c r="A641" s="112"/>
      <c r="B641" s="182" t="s">
        <v>748</v>
      </c>
      <c r="C641" s="132">
        <v>0</v>
      </c>
      <c r="D641" s="132">
        <v>0</v>
      </c>
      <c r="E641" s="121">
        <v>2600</v>
      </c>
      <c r="F641" s="121">
        <v>2600</v>
      </c>
      <c r="G641" s="122">
        <v>0</v>
      </c>
      <c r="H641" s="96"/>
    </row>
    <row r="642" spans="1:8" s="116" customFormat="1" hidden="1" x14ac:dyDescent="0.2">
      <c r="A642" s="112">
        <v>4339</v>
      </c>
      <c r="B642" s="165" t="s">
        <v>749</v>
      </c>
      <c r="C642" s="166">
        <f>C643</f>
        <v>192000</v>
      </c>
      <c r="D642" s="166">
        <f>D643</f>
        <v>144000</v>
      </c>
      <c r="E642" s="166">
        <f>E643</f>
        <v>20000</v>
      </c>
      <c r="F642" s="166">
        <f>F643</f>
        <v>0</v>
      </c>
      <c r="G642" s="166">
        <f>G643</f>
        <v>0</v>
      </c>
      <c r="H642" s="118"/>
    </row>
    <row r="643" spans="1:8" s="116" customFormat="1" hidden="1" x14ac:dyDescent="0.2">
      <c r="A643" s="112"/>
      <c r="B643" s="182" t="s">
        <v>750</v>
      </c>
      <c r="C643" s="132">
        <v>192000</v>
      </c>
      <c r="D643" s="132">
        <v>144000</v>
      </c>
      <c r="E643" s="122">
        <v>20000</v>
      </c>
      <c r="F643" s="122">
        <v>0</v>
      </c>
      <c r="G643" s="122">
        <v>0</v>
      </c>
      <c r="H643" s="118"/>
    </row>
    <row r="644" spans="1:8" s="116" customFormat="1" hidden="1" x14ac:dyDescent="0.2">
      <c r="A644" s="112">
        <v>4344</v>
      </c>
      <c r="B644" s="165" t="s">
        <v>751</v>
      </c>
      <c r="C644" s="166">
        <f>SUM(C645:C645)</f>
        <v>298000</v>
      </c>
      <c r="D644" s="166">
        <f>SUM(D645:D645)</f>
        <v>298000</v>
      </c>
      <c r="E644" s="166">
        <f>SUM(E645:E645)</f>
        <v>293500</v>
      </c>
      <c r="F644" s="166">
        <f>SUM(F645:F645)</f>
        <v>0</v>
      </c>
      <c r="G644" s="166">
        <f>SUM(G645:G645)</f>
        <v>298000</v>
      </c>
      <c r="H644" s="118"/>
    </row>
    <row r="645" spans="1:8" s="116" customFormat="1" hidden="1" x14ac:dyDescent="0.2">
      <c r="A645" s="119"/>
      <c r="B645" s="165" t="s">
        <v>752</v>
      </c>
      <c r="C645" s="132">
        <v>298000</v>
      </c>
      <c r="D645" s="132">
        <v>298000</v>
      </c>
      <c r="E645" s="121">
        <v>293500</v>
      </c>
      <c r="F645" s="121">
        <v>0</v>
      </c>
      <c r="G645" s="122">
        <v>298000</v>
      </c>
      <c r="H645" s="118"/>
    </row>
    <row r="646" spans="1:8" hidden="1" x14ac:dyDescent="0.2">
      <c r="A646" s="112">
        <v>4349</v>
      </c>
      <c r="B646" s="165" t="s">
        <v>753</v>
      </c>
      <c r="C646" s="166">
        <f>SUM(C647:C648)</f>
        <v>350000</v>
      </c>
      <c r="D646" s="166">
        <f>SUM(D647:D648)</f>
        <v>280000</v>
      </c>
      <c r="E646" s="166">
        <f>SUM(E647:E648)</f>
        <v>0</v>
      </c>
      <c r="F646" s="166">
        <f>SUM(F647:F648)</f>
        <v>0</v>
      </c>
      <c r="G646" s="166">
        <f>SUM(G647:G648)</f>
        <v>250000</v>
      </c>
      <c r="H646" s="118"/>
    </row>
    <row r="647" spans="1:8" hidden="1" x14ac:dyDescent="0.2">
      <c r="A647" s="119"/>
      <c r="B647" s="143" t="s">
        <v>754</v>
      </c>
      <c r="C647" s="132">
        <v>280000</v>
      </c>
      <c r="D647" s="132">
        <v>280000</v>
      </c>
      <c r="E647" s="121">
        <v>0</v>
      </c>
      <c r="F647" s="121">
        <v>0</v>
      </c>
      <c r="G647" s="122">
        <v>250000</v>
      </c>
      <c r="H647" s="118"/>
    </row>
    <row r="648" spans="1:8" s="116" customFormat="1" hidden="1" x14ac:dyDescent="0.2">
      <c r="A648" s="119"/>
      <c r="B648" s="143" t="s">
        <v>755</v>
      </c>
      <c r="C648" s="132">
        <v>70000</v>
      </c>
      <c r="D648" s="132">
        <v>0</v>
      </c>
      <c r="E648" s="121">
        <v>0</v>
      </c>
      <c r="F648" s="121">
        <v>0</v>
      </c>
      <c r="G648" s="122">
        <v>0</v>
      </c>
      <c r="H648" s="118"/>
    </row>
    <row r="649" spans="1:8" hidden="1" x14ac:dyDescent="0.2">
      <c r="A649" s="112">
        <v>4351</v>
      </c>
      <c r="B649" s="165" t="s">
        <v>756</v>
      </c>
      <c r="C649" s="166">
        <f>SUM(C650:C650)</f>
        <v>35000</v>
      </c>
      <c r="D649" s="166">
        <f>SUM(D650:D650)</f>
        <v>35000</v>
      </c>
      <c r="E649" s="166">
        <f>SUM(E650:E650)</f>
        <v>35000</v>
      </c>
      <c r="F649" s="166">
        <f>SUM(F650:F650)</f>
        <v>0</v>
      </c>
      <c r="G649" s="166">
        <f>SUM(G650:G650)</f>
        <v>35000</v>
      </c>
      <c r="H649" s="96"/>
    </row>
    <row r="650" spans="1:8" s="116" customFormat="1" hidden="1" x14ac:dyDescent="0.2">
      <c r="A650" s="119"/>
      <c r="B650" s="182" t="s">
        <v>757</v>
      </c>
      <c r="C650" s="132">
        <v>35000</v>
      </c>
      <c r="D650" s="132">
        <v>35000</v>
      </c>
      <c r="E650" s="132">
        <v>35000</v>
      </c>
      <c r="F650" s="132">
        <v>0</v>
      </c>
      <c r="G650" s="122">
        <v>35000</v>
      </c>
      <c r="H650" s="118"/>
    </row>
    <row r="651" spans="1:8" hidden="1" x14ac:dyDescent="0.2">
      <c r="A651" s="112">
        <v>4371</v>
      </c>
      <c r="B651" s="165" t="s">
        <v>758</v>
      </c>
      <c r="C651" s="166">
        <f>SUM(C652:C652)</f>
        <v>240000</v>
      </c>
      <c r="D651" s="166">
        <f>SUM(D652:D652)</f>
        <v>240000</v>
      </c>
      <c r="E651" s="166">
        <f>SUM(E652:E652)</f>
        <v>233000</v>
      </c>
      <c r="F651" s="166">
        <f>SUM(F652:F652)</f>
        <v>0</v>
      </c>
      <c r="G651" s="166">
        <f>SUM(G652:G652)</f>
        <v>240000</v>
      </c>
      <c r="H651" s="118"/>
    </row>
    <row r="652" spans="1:8" hidden="1" x14ac:dyDescent="0.2">
      <c r="A652" s="119"/>
      <c r="B652" s="182" t="s">
        <v>757</v>
      </c>
      <c r="C652" s="132">
        <v>240000</v>
      </c>
      <c r="D652" s="132">
        <v>240000</v>
      </c>
      <c r="E652" s="121">
        <v>233000</v>
      </c>
      <c r="F652" s="121">
        <v>0</v>
      </c>
      <c r="G652" s="122">
        <v>240000</v>
      </c>
      <c r="H652" s="118"/>
    </row>
    <row r="653" spans="1:8" s="116" customFormat="1" hidden="1" x14ac:dyDescent="0.2">
      <c r="A653" s="112">
        <v>4374</v>
      </c>
      <c r="B653" s="516" t="s">
        <v>759</v>
      </c>
      <c r="C653" s="166">
        <f>SUM(C654:C654)</f>
        <v>822000</v>
      </c>
      <c r="D653" s="166">
        <f>SUM(D654:D654)</f>
        <v>822000</v>
      </c>
      <c r="E653" s="166">
        <f>SUM(E654:E654)</f>
        <v>822000</v>
      </c>
      <c r="F653" s="166">
        <f>SUM(F654:F654)</f>
        <v>0</v>
      </c>
      <c r="G653" s="166">
        <f>SUM(G654:G654)</f>
        <v>822000</v>
      </c>
      <c r="H653" s="96"/>
    </row>
    <row r="654" spans="1:8" hidden="1" x14ac:dyDescent="0.2">
      <c r="A654" s="119"/>
      <c r="B654" s="182" t="s">
        <v>757</v>
      </c>
      <c r="C654" s="132">
        <v>822000</v>
      </c>
      <c r="D654" s="132">
        <v>822000</v>
      </c>
      <c r="E654" s="121">
        <v>822000</v>
      </c>
      <c r="F654" s="121">
        <v>0</v>
      </c>
      <c r="G654" s="122">
        <v>822000</v>
      </c>
      <c r="H654" s="118"/>
    </row>
    <row r="655" spans="1:8" s="116" customFormat="1" hidden="1" x14ac:dyDescent="0.2">
      <c r="A655" s="112">
        <v>4379</v>
      </c>
      <c r="B655" s="165" t="s">
        <v>760</v>
      </c>
      <c r="C655" s="166">
        <f>SUM(C656:C659)</f>
        <v>345000</v>
      </c>
      <c r="D655" s="166">
        <f>SUM(D656:D659)</f>
        <v>340000</v>
      </c>
      <c r="E655" s="166">
        <f>SUM(E656:E659)</f>
        <v>225000</v>
      </c>
      <c r="F655" s="166">
        <f>SUM(F656:F659)</f>
        <v>116965.55</v>
      </c>
      <c r="G655" s="166">
        <f>SUM(G656:G659)</f>
        <v>345000</v>
      </c>
      <c r="H655" s="118"/>
    </row>
    <row r="656" spans="1:8" hidden="1" x14ac:dyDescent="0.2">
      <c r="A656" s="119"/>
      <c r="B656" s="143" t="s">
        <v>761</v>
      </c>
      <c r="C656" s="132">
        <v>232000</v>
      </c>
      <c r="D656" s="132">
        <v>232000</v>
      </c>
      <c r="E656" s="121">
        <v>135000</v>
      </c>
      <c r="F656" s="121">
        <v>77907.850000000006</v>
      </c>
      <c r="G656" s="122">
        <v>232000</v>
      </c>
      <c r="H656" s="118"/>
    </row>
    <row r="657" spans="1:8" s="517" customFormat="1" hidden="1" x14ac:dyDescent="0.2">
      <c r="A657" s="119"/>
      <c r="B657" s="143" t="s">
        <v>762</v>
      </c>
      <c r="C657" s="132">
        <v>59000</v>
      </c>
      <c r="D657" s="132">
        <v>59000</v>
      </c>
      <c r="E657" s="121">
        <v>45000</v>
      </c>
      <c r="F657" s="121">
        <v>18050</v>
      </c>
      <c r="G657" s="122">
        <v>59000</v>
      </c>
      <c r="H657" s="96"/>
    </row>
    <row r="658" spans="1:8" hidden="1" x14ac:dyDescent="0.2">
      <c r="A658" s="119"/>
      <c r="B658" s="143" t="s">
        <v>763</v>
      </c>
      <c r="C658" s="132">
        <v>44000</v>
      </c>
      <c r="D658" s="132">
        <v>44000</v>
      </c>
      <c r="E658" s="121">
        <v>40000</v>
      </c>
      <c r="F658" s="121">
        <v>21007.7</v>
      </c>
      <c r="G658" s="122">
        <v>44000</v>
      </c>
      <c r="H658" s="96"/>
    </row>
    <row r="659" spans="1:8" s="116" customFormat="1" hidden="1" x14ac:dyDescent="0.2">
      <c r="A659" s="119"/>
      <c r="B659" s="143" t="s">
        <v>764</v>
      </c>
      <c r="C659" s="132">
        <v>10000</v>
      </c>
      <c r="D659" s="132">
        <v>5000</v>
      </c>
      <c r="E659" s="121">
        <v>5000</v>
      </c>
      <c r="F659" s="121">
        <v>0</v>
      </c>
      <c r="G659" s="122">
        <v>10000</v>
      </c>
      <c r="H659" s="118"/>
    </row>
    <row r="660" spans="1:8" hidden="1" x14ac:dyDescent="0.2">
      <c r="A660" s="112">
        <v>4399</v>
      </c>
      <c r="B660" s="165" t="s">
        <v>765</v>
      </c>
      <c r="C660" s="166">
        <v>13000</v>
      </c>
      <c r="D660" s="166">
        <v>13000</v>
      </c>
      <c r="E660" s="115">
        <v>11000</v>
      </c>
      <c r="F660" s="115">
        <v>8991.14</v>
      </c>
      <c r="G660" s="111">
        <v>13000</v>
      </c>
      <c r="H660" s="118"/>
    </row>
    <row r="661" spans="1:8" hidden="1" x14ac:dyDescent="0.2">
      <c r="A661" s="149">
        <v>6409</v>
      </c>
      <c r="B661" s="518" t="s">
        <v>766</v>
      </c>
      <c r="C661" s="519">
        <v>100000</v>
      </c>
      <c r="D661" s="519">
        <v>0</v>
      </c>
      <c r="E661" s="115">
        <v>0</v>
      </c>
      <c r="F661" s="115">
        <v>0</v>
      </c>
      <c r="G661" s="111">
        <v>0</v>
      </c>
      <c r="H661" s="96"/>
    </row>
    <row r="662" spans="1:8" ht="15.75" hidden="1" x14ac:dyDescent="0.25">
      <c r="A662" s="447"/>
      <c r="B662" s="196" t="s">
        <v>767</v>
      </c>
      <c r="C662" s="197">
        <f>C663</f>
        <v>6740000</v>
      </c>
      <c r="D662" s="197">
        <f>D663</f>
        <v>6740000</v>
      </c>
      <c r="E662" s="197">
        <f>E663</f>
        <v>6156000</v>
      </c>
      <c r="F662" s="197">
        <f>F663</f>
        <v>6033000</v>
      </c>
      <c r="G662" s="197">
        <f>G663</f>
        <v>7870288</v>
      </c>
      <c r="H662" s="96"/>
    </row>
    <row r="663" spans="1:8" hidden="1" x14ac:dyDescent="0.2">
      <c r="A663" s="520"/>
      <c r="B663" s="159" t="s">
        <v>768</v>
      </c>
      <c r="C663" s="166">
        <f>SUM(C664:C671)</f>
        <v>6740000</v>
      </c>
      <c r="D663" s="166">
        <f>SUM(D664:D671)</f>
        <v>6740000</v>
      </c>
      <c r="E663" s="166">
        <f>SUM(E664:E671)</f>
        <v>6156000</v>
      </c>
      <c r="F663" s="166">
        <f>SUM(F664:F671)</f>
        <v>6033000</v>
      </c>
      <c r="G663" s="166">
        <f>SUM(G664:G671)</f>
        <v>7870288</v>
      </c>
      <c r="H663" s="96"/>
    </row>
    <row r="664" spans="1:8" s="116" customFormat="1" hidden="1" x14ac:dyDescent="0.2">
      <c r="A664" s="520"/>
      <c r="B664" s="143" t="s">
        <v>769</v>
      </c>
      <c r="C664" s="132">
        <v>180000</v>
      </c>
      <c r="D664" s="132">
        <v>180000</v>
      </c>
      <c r="E664" s="122">
        <v>148000</v>
      </c>
      <c r="F664" s="122">
        <v>148000</v>
      </c>
      <c r="G664" s="122">
        <v>190000</v>
      </c>
      <c r="H664" s="96"/>
    </row>
    <row r="665" spans="1:8" hidden="1" x14ac:dyDescent="0.2">
      <c r="A665" s="520"/>
      <c r="B665" s="143" t="s">
        <v>770</v>
      </c>
      <c r="C665" s="132">
        <v>150000</v>
      </c>
      <c r="D665" s="132">
        <v>150000</v>
      </c>
      <c r="E665" s="121">
        <v>82000</v>
      </c>
      <c r="F665" s="121">
        <v>82000</v>
      </c>
      <c r="G665" s="122">
        <v>170000</v>
      </c>
      <c r="H665" s="96"/>
    </row>
    <row r="666" spans="1:8" hidden="1" x14ac:dyDescent="0.2">
      <c r="A666" s="520"/>
      <c r="B666" s="143" t="s">
        <v>771</v>
      </c>
      <c r="C666" s="132">
        <v>5373000</v>
      </c>
      <c r="D666" s="132">
        <v>5373000</v>
      </c>
      <c r="E666" s="121">
        <v>5062900</v>
      </c>
      <c r="F666" s="121">
        <v>5062900</v>
      </c>
      <c r="G666" s="122">
        <v>5776002</v>
      </c>
      <c r="H666" s="96"/>
    </row>
    <row r="667" spans="1:8" hidden="1" x14ac:dyDescent="0.2">
      <c r="A667" s="520"/>
      <c r="B667" s="143" t="s">
        <v>772</v>
      </c>
      <c r="C667" s="132">
        <v>400000</v>
      </c>
      <c r="D667" s="132">
        <v>400000</v>
      </c>
      <c r="E667" s="132">
        <v>396100</v>
      </c>
      <c r="F667" s="132">
        <v>396100</v>
      </c>
      <c r="G667" s="122">
        <v>1036286</v>
      </c>
      <c r="H667" s="96"/>
    </row>
    <row r="668" spans="1:8" hidden="1" x14ac:dyDescent="0.2">
      <c r="A668" s="520"/>
      <c r="B668" s="143" t="s">
        <v>773</v>
      </c>
      <c r="C668" s="132">
        <v>287000</v>
      </c>
      <c r="D668" s="132">
        <v>263000</v>
      </c>
      <c r="E668" s="132">
        <v>120000</v>
      </c>
      <c r="F668" s="132">
        <v>120000</v>
      </c>
      <c r="G668" s="122">
        <v>298000</v>
      </c>
      <c r="H668" s="96"/>
    </row>
    <row r="669" spans="1:8" hidden="1" x14ac:dyDescent="0.2">
      <c r="A669" s="520"/>
      <c r="B669" s="143" t="s">
        <v>774</v>
      </c>
      <c r="C669" s="132">
        <v>200000</v>
      </c>
      <c r="D669" s="132">
        <v>180000</v>
      </c>
      <c r="E669" s="132">
        <v>180000</v>
      </c>
      <c r="F669" s="132">
        <v>180000</v>
      </c>
      <c r="G669" s="122">
        <v>250000</v>
      </c>
      <c r="H669" s="96"/>
    </row>
    <row r="670" spans="1:8" hidden="1" x14ac:dyDescent="0.2">
      <c r="A670" s="112"/>
      <c r="B670" s="143" t="s">
        <v>775</v>
      </c>
      <c r="C670" s="132">
        <v>150000</v>
      </c>
      <c r="D670" s="132">
        <v>150000</v>
      </c>
      <c r="E670" s="121">
        <v>123000</v>
      </c>
      <c r="F670" s="121">
        <v>0</v>
      </c>
      <c r="G670" s="122">
        <v>150000</v>
      </c>
      <c r="H670" s="96"/>
    </row>
    <row r="671" spans="1:8" hidden="1" x14ac:dyDescent="0.2">
      <c r="A671" s="112"/>
      <c r="B671" s="246" t="s">
        <v>776</v>
      </c>
      <c r="C671" s="231">
        <v>0</v>
      </c>
      <c r="D671" s="231">
        <v>44000</v>
      </c>
      <c r="E671" s="121">
        <v>44000</v>
      </c>
      <c r="F671" s="121">
        <v>44000</v>
      </c>
      <c r="G671" s="122">
        <v>0</v>
      </c>
      <c r="H671" s="96"/>
    </row>
    <row r="672" spans="1:8" hidden="1" x14ac:dyDescent="0.2">
      <c r="A672" s="500"/>
      <c r="B672" s="521"/>
      <c r="C672" s="279"/>
      <c r="D672" s="279"/>
      <c r="E672" s="231"/>
      <c r="F672" s="231"/>
      <c r="G672" s="431"/>
      <c r="H672" s="96"/>
    </row>
    <row r="673" spans="1:9" ht="20.25" hidden="1" x14ac:dyDescent="0.2">
      <c r="A673" s="500"/>
      <c r="B673" s="522" t="s">
        <v>777</v>
      </c>
      <c r="C673" s="394">
        <f>C674</f>
        <v>14255100</v>
      </c>
      <c r="D673" s="394">
        <v>20033588</v>
      </c>
      <c r="E673" s="394">
        <f>E674</f>
        <v>20033588</v>
      </c>
      <c r="F673" s="394">
        <v>7184316.8099999996</v>
      </c>
      <c r="G673" s="394">
        <f>G674</f>
        <v>13505100</v>
      </c>
      <c r="H673" s="96"/>
    </row>
    <row r="674" spans="1:9" hidden="1" x14ac:dyDescent="0.2">
      <c r="A674" s="523">
        <v>4351</v>
      </c>
      <c r="B674" s="524" t="s">
        <v>778</v>
      </c>
      <c r="C674" s="525">
        <f>SUM(C675:C677)</f>
        <v>14255100</v>
      </c>
      <c r="D674" s="525">
        <v>20033588</v>
      </c>
      <c r="E674" s="525">
        <f>SUM(E675:E677)</f>
        <v>20033588</v>
      </c>
      <c r="F674" s="111">
        <v>7184316.8099999996</v>
      </c>
      <c r="G674" s="525">
        <f>SUM(G675:G677)</f>
        <v>13505100</v>
      </c>
      <c r="H674" s="96"/>
    </row>
    <row r="675" spans="1:9" ht="60" hidden="1" x14ac:dyDescent="0.2">
      <c r="A675" s="119"/>
      <c r="B675" s="509" t="s">
        <v>779</v>
      </c>
      <c r="C675" s="298">
        <v>6911500</v>
      </c>
      <c r="D675" s="298">
        <v>10203820</v>
      </c>
      <c r="E675" s="298">
        <f>D675</f>
        <v>10203820</v>
      </c>
      <c r="F675" s="132">
        <v>3433058.91</v>
      </c>
      <c r="G675" s="298">
        <v>6835500</v>
      </c>
      <c r="H675" s="118"/>
      <c r="I675" s="186"/>
    </row>
    <row r="676" spans="1:9" ht="48" hidden="1" x14ac:dyDescent="0.2">
      <c r="A676" s="119"/>
      <c r="B676" s="509" t="s">
        <v>780</v>
      </c>
      <c r="C676" s="526">
        <v>1796800</v>
      </c>
      <c r="D676" s="526">
        <v>2479432</v>
      </c>
      <c r="E676" s="526">
        <f>D676</f>
        <v>2479432</v>
      </c>
      <c r="F676" s="121">
        <v>763396.3</v>
      </c>
      <c r="G676" s="526">
        <v>1739300</v>
      </c>
      <c r="H676" s="118"/>
      <c r="I676" s="186"/>
    </row>
    <row r="677" spans="1:9" ht="36" hidden="1" x14ac:dyDescent="0.2">
      <c r="A677" s="112"/>
      <c r="B677" s="509" t="s">
        <v>781</v>
      </c>
      <c r="C677" s="298">
        <v>5546800</v>
      </c>
      <c r="D677" s="298">
        <v>7350336</v>
      </c>
      <c r="E677" s="298">
        <f>D677</f>
        <v>7350336</v>
      </c>
      <c r="F677" s="132">
        <v>2987864.6</v>
      </c>
      <c r="G677" s="298">
        <v>4930300</v>
      </c>
      <c r="H677" s="118"/>
      <c r="I677" s="186"/>
    </row>
    <row r="678" spans="1:9" hidden="1" x14ac:dyDescent="0.2">
      <c r="A678" s="500"/>
      <c r="B678" s="527"/>
      <c r="C678" s="440"/>
      <c r="D678" s="440"/>
      <c r="E678" s="440"/>
      <c r="F678" s="309"/>
      <c r="G678" s="440"/>
      <c r="H678" s="96"/>
    </row>
    <row r="679" spans="1:9" ht="20.25" hidden="1" x14ac:dyDescent="0.3">
      <c r="A679" s="447"/>
      <c r="B679" s="94" t="s">
        <v>50</v>
      </c>
      <c r="C679" s="394">
        <f>SUM(C680,C681,C682,C683,C684,C685,C686,C687,C691,C692,C693,C694,C699,C700)</f>
        <v>48341000</v>
      </c>
      <c r="D679" s="394">
        <f>SUM(D680,D681,D682,D683,D684,D685,D686,D687,D691,D692,D693,D694,D699,D700)</f>
        <v>48246622</v>
      </c>
      <c r="E679" s="394">
        <f>SUM(E680,E681,E682,E683,E684,E685,E686,E687,E691,E692,E693,E694,E699,E700)</f>
        <v>48220555</v>
      </c>
      <c r="F679" s="394">
        <f>SUM(F680,F681,F682,F683,F684,F685,F686,F687,F691,F692,F693,F694,F699,F700)</f>
        <v>26931631</v>
      </c>
      <c r="G679" s="394">
        <f>SUM(G680,G681,G682,G683,G684,G685,G686,G687,G691,G692,G693,G694,G699,G700)</f>
        <v>58483000</v>
      </c>
      <c r="H679" s="96"/>
    </row>
    <row r="680" spans="1:9" hidden="1" x14ac:dyDescent="0.2">
      <c r="A680" s="108">
        <v>1014</v>
      </c>
      <c r="B680" s="159" t="s">
        <v>782</v>
      </c>
      <c r="C680" s="226">
        <v>760000</v>
      </c>
      <c r="D680" s="528">
        <v>760000</v>
      </c>
      <c r="E680" s="111">
        <v>760000</v>
      </c>
      <c r="F680" s="528">
        <v>250713</v>
      </c>
      <c r="G680" s="111">
        <v>770000</v>
      </c>
      <c r="H680" s="96"/>
    </row>
    <row r="681" spans="1:9" hidden="1" x14ac:dyDescent="0.2">
      <c r="A681" s="112">
        <v>1031</v>
      </c>
      <c r="B681" s="165" t="s">
        <v>783</v>
      </c>
      <c r="C681" s="166">
        <v>481000</v>
      </c>
      <c r="D681" s="529">
        <v>481000</v>
      </c>
      <c r="E681" s="115">
        <v>481000</v>
      </c>
      <c r="F681" s="529">
        <v>82116</v>
      </c>
      <c r="G681" s="111">
        <v>436000</v>
      </c>
      <c r="H681" s="96"/>
    </row>
    <row r="682" spans="1:9" hidden="1" x14ac:dyDescent="0.2">
      <c r="A682" s="112">
        <v>1036</v>
      </c>
      <c r="B682" s="165" t="s">
        <v>784</v>
      </c>
      <c r="C682" s="166">
        <v>100000</v>
      </c>
      <c r="D682" s="529">
        <v>100000</v>
      </c>
      <c r="E682" s="166">
        <v>100000</v>
      </c>
      <c r="F682" s="530">
        <v>60738</v>
      </c>
      <c r="G682" s="111">
        <v>100000</v>
      </c>
      <c r="H682" s="96"/>
    </row>
    <row r="683" spans="1:9" s="289" customFormat="1" ht="15.75" hidden="1" x14ac:dyDescent="0.25">
      <c r="A683" s="112">
        <v>1037</v>
      </c>
      <c r="B683" s="165" t="s">
        <v>785</v>
      </c>
      <c r="C683" s="166">
        <v>773000</v>
      </c>
      <c r="D683" s="529">
        <v>773000</v>
      </c>
      <c r="E683" s="477">
        <v>773000</v>
      </c>
      <c r="F683" s="531">
        <v>15125.64</v>
      </c>
      <c r="G683" s="111">
        <v>20000</v>
      </c>
      <c r="H683" s="96"/>
    </row>
    <row r="684" spans="1:9" s="116" customFormat="1" hidden="1" x14ac:dyDescent="0.2">
      <c r="A684" s="112">
        <v>1039</v>
      </c>
      <c r="B684" s="165" t="s">
        <v>786</v>
      </c>
      <c r="C684" s="166">
        <v>300000</v>
      </c>
      <c r="D684" s="529">
        <v>570497</v>
      </c>
      <c r="E684" s="532">
        <v>570000</v>
      </c>
      <c r="F684" s="533">
        <v>0</v>
      </c>
      <c r="G684" s="111">
        <v>200000</v>
      </c>
      <c r="H684" s="96"/>
    </row>
    <row r="685" spans="1:9" s="116" customFormat="1" hidden="1" x14ac:dyDescent="0.2">
      <c r="A685" s="112">
        <v>2369</v>
      </c>
      <c r="B685" s="165" t="s">
        <v>787</v>
      </c>
      <c r="C685" s="166">
        <v>370000</v>
      </c>
      <c r="D685" s="529">
        <v>370000</v>
      </c>
      <c r="E685" s="111">
        <v>370000</v>
      </c>
      <c r="F685" s="534">
        <v>400</v>
      </c>
      <c r="G685" s="111">
        <v>370000</v>
      </c>
      <c r="H685" s="96"/>
    </row>
    <row r="686" spans="1:9" s="116" customFormat="1" hidden="1" x14ac:dyDescent="0.2">
      <c r="A686" s="112">
        <v>3721</v>
      </c>
      <c r="B686" s="165" t="s">
        <v>788</v>
      </c>
      <c r="C686" s="166">
        <v>50000</v>
      </c>
      <c r="D686" s="529">
        <v>50000</v>
      </c>
      <c r="E686" s="115">
        <v>50000</v>
      </c>
      <c r="F686" s="529">
        <v>33600</v>
      </c>
      <c r="G686" s="111">
        <v>50000</v>
      </c>
      <c r="H686" s="96"/>
    </row>
    <row r="687" spans="1:9" s="116" customFormat="1" hidden="1" x14ac:dyDescent="0.2">
      <c r="A687" s="112">
        <v>3722</v>
      </c>
      <c r="B687" s="165" t="s">
        <v>789</v>
      </c>
      <c r="C687" s="166">
        <f>SUM(C688:C690)</f>
        <v>24470000</v>
      </c>
      <c r="D687" s="535">
        <f>SUM(D688:D690)</f>
        <v>24350625</v>
      </c>
      <c r="E687" s="166">
        <f>SUM(E688:E690)</f>
        <v>24350625</v>
      </c>
      <c r="F687" s="535">
        <f>SUM(F688:F690)</f>
        <v>14850244.939999999</v>
      </c>
      <c r="G687" s="166">
        <f>SUM(G688:G690)</f>
        <v>27100000</v>
      </c>
      <c r="H687" s="96"/>
    </row>
    <row r="688" spans="1:9" s="116" customFormat="1" hidden="1" x14ac:dyDescent="0.2">
      <c r="A688" s="112"/>
      <c r="B688" s="182" t="s">
        <v>790</v>
      </c>
      <c r="C688" s="132">
        <v>20955000</v>
      </c>
      <c r="D688" s="536">
        <f>C688+130625</f>
        <v>21085625</v>
      </c>
      <c r="E688" s="121">
        <v>21085625</v>
      </c>
      <c r="F688" s="536">
        <v>14100625</v>
      </c>
      <c r="G688" s="122">
        <v>24500000</v>
      </c>
      <c r="H688" s="96"/>
    </row>
    <row r="689" spans="1:256" s="116" customFormat="1" hidden="1" x14ac:dyDescent="0.2">
      <c r="A689" s="112"/>
      <c r="B689" s="182" t="s">
        <v>791</v>
      </c>
      <c r="C689" s="132">
        <v>1990000</v>
      </c>
      <c r="D689" s="536">
        <v>1990000</v>
      </c>
      <c r="E689" s="121">
        <v>1990000</v>
      </c>
      <c r="F689" s="536">
        <v>749619.94</v>
      </c>
      <c r="G689" s="122">
        <f>2140000+100000</f>
        <v>2240000</v>
      </c>
      <c r="H689" s="96"/>
    </row>
    <row r="690" spans="1:256" s="116" customFormat="1" hidden="1" x14ac:dyDescent="0.2">
      <c r="A690" s="112"/>
      <c r="B690" s="168" t="s">
        <v>792</v>
      </c>
      <c r="C690" s="132">
        <v>1525000</v>
      </c>
      <c r="D690" s="536">
        <f>C690-250000</f>
        <v>1275000</v>
      </c>
      <c r="E690" s="121">
        <v>1275000</v>
      </c>
      <c r="F690" s="536">
        <v>0</v>
      </c>
      <c r="G690" s="122">
        <v>360000</v>
      </c>
      <c r="H690" s="96"/>
    </row>
    <row r="691" spans="1:256" s="116" customFormat="1" hidden="1" x14ac:dyDescent="0.2">
      <c r="A691" s="112">
        <v>3733</v>
      </c>
      <c r="B691" s="165" t="s">
        <v>793</v>
      </c>
      <c r="C691" s="166">
        <v>65000</v>
      </c>
      <c r="D691" s="529">
        <v>65000</v>
      </c>
      <c r="E691" s="115">
        <v>40000</v>
      </c>
      <c r="F691" s="529">
        <v>0</v>
      </c>
      <c r="G691" s="111">
        <v>65000</v>
      </c>
      <c r="H691" s="96"/>
    </row>
    <row r="692" spans="1:256" s="116" customFormat="1" hidden="1" x14ac:dyDescent="0.2">
      <c r="A692" s="112">
        <v>3742</v>
      </c>
      <c r="B692" s="167" t="s">
        <v>794</v>
      </c>
      <c r="C692" s="166">
        <v>100000</v>
      </c>
      <c r="D692" s="529">
        <v>100000</v>
      </c>
      <c r="E692" s="477">
        <v>100000</v>
      </c>
      <c r="F692" s="537">
        <v>0</v>
      </c>
      <c r="G692" s="111">
        <v>100000</v>
      </c>
      <c r="H692" s="96"/>
    </row>
    <row r="693" spans="1:256" s="116" customFormat="1" hidden="1" x14ac:dyDescent="0.2">
      <c r="A693" s="112">
        <v>3743</v>
      </c>
      <c r="B693" s="165" t="s">
        <v>795</v>
      </c>
      <c r="C693" s="166">
        <v>2000</v>
      </c>
      <c r="D693" s="529">
        <v>2000</v>
      </c>
      <c r="E693" s="477">
        <v>1430</v>
      </c>
      <c r="F693" s="537">
        <v>0</v>
      </c>
      <c r="G693" s="111">
        <v>2000</v>
      </c>
      <c r="H693" s="96"/>
    </row>
    <row r="694" spans="1:256" s="116" customFormat="1" hidden="1" x14ac:dyDescent="0.2">
      <c r="A694" s="112">
        <v>3745</v>
      </c>
      <c r="B694" s="165" t="s">
        <v>796</v>
      </c>
      <c r="C694" s="166">
        <f>SUM(C695:C698)</f>
        <v>20640000</v>
      </c>
      <c r="D694" s="535">
        <f>SUM(D695:D698)</f>
        <v>20394500</v>
      </c>
      <c r="E694" s="166">
        <f>SUM(E695:E698)</f>
        <v>20394500</v>
      </c>
      <c r="F694" s="535">
        <f>SUM(F695:F698)</f>
        <v>11629207.42</v>
      </c>
      <c r="G694" s="166">
        <f>SUM(G695:G698)</f>
        <v>29115000</v>
      </c>
      <c r="H694" s="96"/>
    </row>
    <row r="695" spans="1:256" s="116" customFormat="1" hidden="1" x14ac:dyDescent="0.2">
      <c r="A695" s="112"/>
      <c r="B695" s="182" t="s">
        <v>797</v>
      </c>
      <c r="C695" s="134">
        <v>150000</v>
      </c>
      <c r="D695" s="538">
        <v>0</v>
      </c>
      <c r="E695" s="134">
        <v>0</v>
      </c>
      <c r="F695" s="538">
        <v>0</v>
      </c>
      <c r="G695" s="122">
        <v>150000</v>
      </c>
      <c r="H695" s="96"/>
    </row>
    <row r="696" spans="1:256" s="116" customFormat="1" hidden="1" x14ac:dyDescent="0.2">
      <c r="A696" s="119"/>
      <c r="B696" s="182" t="s">
        <v>798</v>
      </c>
      <c r="C696" s="132">
        <v>14620000</v>
      </c>
      <c r="D696" s="536">
        <f>C696+104500</f>
        <v>14724500</v>
      </c>
      <c r="E696" s="122">
        <v>14724500</v>
      </c>
      <c r="F696" s="538">
        <v>9851164</v>
      </c>
      <c r="G696" s="122">
        <v>16000000</v>
      </c>
      <c r="H696" s="118"/>
    </row>
    <row r="697" spans="1:256" s="116" customFormat="1" hidden="1" x14ac:dyDescent="0.2">
      <c r="A697" s="119"/>
      <c r="B697" s="182" t="s">
        <v>799</v>
      </c>
      <c r="C697" s="132">
        <v>3570000</v>
      </c>
      <c r="D697" s="536">
        <f>C697-300000+100000</f>
        <v>3370000</v>
      </c>
      <c r="E697" s="121">
        <v>3370000</v>
      </c>
      <c r="F697" s="536">
        <v>844983.42</v>
      </c>
      <c r="G697" s="122">
        <v>3200000</v>
      </c>
      <c r="H697" s="474"/>
    </row>
    <row r="698" spans="1:256" s="116" customFormat="1" ht="24" hidden="1" x14ac:dyDescent="0.2">
      <c r="A698" s="112"/>
      <c r="B698" s="168" t="s">
        <v>800</v>
      </c>
      <c r="C698" s="132">
        <v>2300000</v>
      </c>
      <c r="D698" s="536">
        <v>2300000</v>
      </c>
      <c r="E698" s="122">
        <v>2300000</v>
      </c>
      <c r="F698" s="538">
        <v>933060</v>
      </c>
      <c r="G698" s="122">
        <f>9285000+480000</f>
        <v>9765000</v>
      </c>
      <c r="H698" s="539"/>
    </row>
    <row r="699" spans="1:256" hidden="1" x14ac:dyDescent="0.2">
      <c r="A699" s="112">
        <v>3792</v>
      </c>
      <c r="B699" s="165" t="s">
        <v>801</v>
      </c>
      <c r="C699" s="166">
        <v>150000</v>
      </c>
      <c r="D699" s="529">
        <v>150000</v>
      </c>
      <c r="E699" s="115">
        <v>150000</v>
      </c>
      <c r="F699" s="529">
        <v>9486</v>
      </c>
      <c r="G699" s="111">
        <v>155000</v>
      </c>
      <c r="H699" s="96"/>
    </row>
    <row r="700" spans="1:256" hidden="1" x14ac:dyDescent="0.2">
      <c r="A700" s="112">
        <v>3799</v>
      </c>
      <c r="B700" s="165" t="s">
        <v>802</v>
      </c>
      <c r="C700" s="166">
        <v>80000</v>
      </c>
      <c r="D700" s="529">
        <v>80000</v>
      </c>
      <c r="E700" s="115">
        <v>80000</v>
      </c>
      <c r="F700" s="529">
        <v>0</v>
      </c>
      <c r="G700" s="111">
        <v>0</v>
      </c>
      <c r="H700" s="96"/>
    </row>
    <row r="701" spans="1:256" hidden="1" x14ac:dyDescent="0.2">
      <c r="A701" s="523"/>
      <c r="B701" s="300"/>
      <c r="C701" s="540"/>
      <c r="D701" s="540"/>
      <c r="E701" s="309"/>
      <c r="F701" s="309"/>
      <c r="G701" s="309"/>
      <c r="H701" s="96"/>
    </row>
    <row r="702" spans="1:256" ht="20.25" hidden="1" x14ac:dyDescent="0.2">
      <c r="A702" s="541"/>
      <c r="B702" s="542" t="s">
        <v>803</v>
      </c>
      <c r="C702" s="543">
        <f>SUM(C703,C704,C734,C782,C849,C872,C874,C875,C879)</f>
        <v>272420000</v>
      </c>
      <c r="D702" s="543">
        <f>SUM(D703,D704,D734,D782,D849,D872,D874,D875,D879)</f>
        <v>198055883.74000001</v>
      </c>
      <c r="E702" s="543">
        <f>SUM(E703,E704,E734,E782,E849,E872,E874,E875,E879)</f>
        <v>186143155.44</v>
      </c>
      <c r="F702" s="544">
        <f>SUM(F703,F704,F734,F782,F849,F872,F874,F875,F879)</f>
        <v>96334031.909999996</v>
      </c>
      <c r="G702" s="543">
        <f>SUM(G703,G704,G734,G782,G849,G872,G874,G875,G879)</f>
        <v>222630000</v>
      </c>
      <c r="H702"/>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c r="FS702"/>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c r="HE702"/>
      <c r="HF702"/>
      <c r="HG702"/>
      <c r="HH702"/>
      <c r="HI702"/>
      <c r="HJ702"/>
      <c r="HK702"/>
      <c r="HL702"/>
      <c r="HM702"/>
      <c r="HN702"/>
      <c r="HO702"/>
      <c r="HP702"/>
      <c r="HQ702"/>
      <c r="HR702"/>
      <c r="HS702"/>
      <c r="HT702"/>
      <c r="HU702"/>
      <c r="HV702"/>
      <c r="HW702"/>
      <c r="HX702"/>
      <c r="HY702"/>
      <c r="HZ702"/>
      <c r="IA702"/>
      <c r="IB702"/>
      <c r="IC702"/>
      <c r="ID702"/>
      <c r="IE702"/>
      <c r="IF702"/>
      <c r="IG702"/>
      <c r="IH702"/>
      <c r="II702"/>
      <c r="IJ702"/>
      <c r="IK702"/>
      <c r="IL702"/>
      <c r="IM702"/>
      <c r="IN702"/>
      <c r="IO702"/>
      <c r="IP702"/>
      <c r="IQ702"/>
      <c r="IR702"/>
      <c r="IS702"/>
      <c r="IT702"/>
      <c r="IU702"/>
      <c r="IV702"/>
    </row>
    <row r="703" spans="1:256" ht="12.75" hidden="1" customHeight="1" x14ac:dyDescent="0.2">
      <c r="A703" s="545">
        <v>3122</v>
      </c>
      <c r="B703" s="546" t="s">
        <v>804</v>
      </c>
      <c r="C703" s="547">
        <v>370000</v>
      </c>
      <c r="D703" s="548">
        <v>370000</v>
      </c>
      <c r="E703" s="549">
        <v>315000</v>
      </c>
      <c r="F703" s="550">
        <v>275040</v>
      </c>
      <c r="G703" s="451">
        <v>376000</v>
      </c>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c r="EY703"/>
      <c r="EZ703"/>
      <c r="FA703"/>
      <c r="FB703"/>
      <c r="FC703"/>
      <c r="FD703"/>
      <c r="FE703"/>
      <c r="FF703"/>
      <c r="FG703"/>
      <c r="FH703"/>
      <c r="FI703"/>
      <c r="FJ703"/>
      <c r="FK703"/>
      <c r="FL703"/>
      <c r="FM703"/>
      <c r="FN703"/>
      <c r="FO703"/>
      <c r="FP703"/>
      <c r="FQ703"/>
      <c r="FR703"/>
      <c r="FS703"/>
      <c r="FT703"/>
      <c r="FU703"/>
      <c r="FV703"/>
      <c r="FW703"/>
      <c r="FX703"/>
      <c r="FY703"/>
      <c r="FZ703"/>
      <c r="GA703"/>
      <c r="GB703"/>
      <c r="GC703"/>
      <c r="GD703"/>
      <c r="GE703"/>
      <c r="GF703"/>
      <c r="GG703"/>
      <c r="GH703"/>
      <c r="GI703"/>
      <c r="GJ703"/>
      <c r="GK703"/>
      <c r="GL703"/>
      <c r="GM703"/>
      <c r="GN703"/>
      <c r="GO703"/>
      <c r="GP703"/>
      <c r="GQ703"/>
      <c r="GR703"/>
      <c r="GS703"/>
      <c r="GT703"/>
      <c r="GU703"/>
      <c r="GV703"/>
      <c r="GW703"/>
      <c r="GX703"/>
      <c r="GY703"/>
      <c r="GZ703"/>
      <c r="HA703"/>
      <c r="HB703"/>
      <c r="HC703"/>
      <c r="HD703"/>
      <c r="HE703"/>
      <c r="HF703"/>
      <c r="HG703"/>
      <c r="HH703"/>
      <c r="HI703"/>
      <c r="HJ703"/>
      <c r="HK703"/>
      <c r="HL703"/>
      <c r="HM703"/>
      <c r="HN703"/>
      <c r="HO703"/>
      <c r="HP703"/>
      <c r="HQ703"/>
      <c r="HR703"/>
      <c r="HS703"/>
      <c r="HT703"/>
      <c r="HU703"/>
      <c r="HV703"/>
      <c r="HW703"/>
      <c r="HX703"/>
      <c r="HY703"/>
      <c r="HZ703"/>
      <c r="IA703"/>
      <c r="IB703"/>
      <c r="IC703"/>
      <c r="ID703"/>
      <c r="IE703"/>
      <c r="IF703"/>
      <c r="IG703"/>
      <c r="IH703"/>
      <c r="II703"/>
      <c r="IJ703"/>
      <c r="IK703"/>
      <c r="IL703"/>
      <c r="IM703"/>
      <c r="IN703"/>
      <c r="IO703"/>
      <c r="IP703"/>
      <c r="IQ703"/>
      <c r="IR703"/>
      <c r="IS703"/>
      <c r="IT703"/>
      <c r="IU703"/>
      <c r="IV703"/>
    </row>
    <row r="704" spans="1:256" ht="12.75" hidden="1" customHeight="1" x14ac:dyDescent="0.2">
      <c r="A704" s="551">
        <v>3412</v>
      </c>
      <c r="B704" s="552" t="s">
        <v>805</v>
      </c>
      <c r="C704" s="553">
        <f>C705+C722</f>
        <v>85713000</v>
      </c>
      <c r="D704" s="553">
        <f>D705+D722</f>
        <v>93169650.74000001</v>
      </c>
      <c r="E704" s="553">
        <f>E705+E722</f>
        <v>92258958.379999995</v>
      </c>
      <c r="F704" s="554">
        <f>F705+F722</f>
        <v>50865083.780000001</v>
      </c>
      <c r="G704" s="555">
        <f>G705+G722</f>
        <v>38471000</v>
      </c>
      <c r="H704"/>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c r="FS704"/>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c r="HE704"/>
      <c r="HF704"/>
      <c r="HG704"/>
      <c r="HH704"/>
      <c r="HI704"/>
      <c r="HJ704"/>
      <c r="HK704"/>
      <c r="HL704"/>
      <c r="HM704"/>
      <c r="HN704"/>
      <c r="HO704"/>
      <c r="HP704"/>
      <c r="HQ704"/>
      <c r="HR704"/>
      <c r="HS704"/>
      <c r="HT704"/>
      <c r="HU704"/>
      <c r="HV704"/>
      <c r="HW704"/>
      <c r="HX704"/>
      <c r="HY704"/>
      <c r="HZ704"/>
      <c r="IA704"/>
      <c r="IB704"/>
      <c r="IC704"/>
      <c r="ID704"/>
      <c r="IE704"/>
      <c r="IF704"/>
      <c r="IG704"/>
      <c r="IH704"/>
      <c r="II704"/>
      <c r="IJ704"/>
      <c r="IK704"/>
      <c r="IL704"/>
      <c r="IM704"/>
      <c r="IN704"/>
      <c r="IO704"/>
      <c r="IP704"/>
      <c r="IQ704"/>
      <c r="IR704"/>
      <c r="IS704"/>
      <c r="IT704"/>
      <c r="IU704"/>
      <c r="IV704"/>
    </row>
    <row r="705" spans="1:256" ht="12.75" hidden="1" customHeight="1" x14ac:dyDescent="0.2">
      <c r="A705" s="551"/>
      <c r="B705" s="556" t="s">
        <v>806</v>
      </c>
      <c r="C705" s="553">
        <f>C706+C711+C718</f>
        <v>23763000</v>
      </c>
      <c r="D705" s="553">
        <f>D706+D711+D718</f>
        <v>28219650.740000002</v>
      </c>
      <c r="E705" s="553">
        <f>E706+E711+E718</f>
        <v>26508958.380000003</v>
      </c>
      <c r="F705" s="554">
        <f>F706+F711+F718</f>
        <v>19875050.77</v>
      </c>
      <c r="G705" s="555">
        <f>G706+G711+G718</f>
        <v>25637000</v>
      </c>
      <c r="H70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c r="EZ705"/>
      <c r="FA705"/>
      <c r="FB705"/>
      <c r="FC705"/>
      <c r="FD705"/>
      <c r="FE705"/>
      <c r="FF705"/>
      <c r="FG705"/>
      <c r="FH705"/>
      <c r="FI705"/>
      <c r="FJ705"/>
      <c r="FK705"/>
      <c r="FL705"/>
      <c r="FM705"/>
      <c r="FN705"/>
      <c r="FO705"/>
      <c r="FP705"/>
      <c r="FQ705"/>
      <c r="FR705"/>
      <c r="FS705"/>
      <c r="FT705"/>
      <c r="FU705"/>
      <c r="FV705"/>
      <c r="FW705"/>
      <c r="FX705"/>
      <c r="FY705"/>
      <c r="FZ705"/>
      <c r="GA705"/>
      <c r="GB705"/>
      <c r="GC705"/>
      <c r="GD705"/>
      <c r="GE705"/>
      <c r="GF705"/>
      <c r="GG705"/>
      <c r="GH705"/>
      <c r="GI705"/>
      <c r="GJ705"/>
      <c r="GK705"/>
      <c r="GL705"/>
      <c r="GM705"/>
      <c r="GN705"/>
      <c r="GO705"/>
      <c r="GP705"/>
      <c r="GQ705"/>
      <c r="GR705"/>
      <c r="GS705"/>
      <c r="GT705"/>
      <c r="GU705"/>
      <c r="GV705"/>
      <c r="GW705"/>
      <c r="GX705"/>
      <c r="GY705"/>
      <c r="GZ705"/>
      <c r="HA705"/>
      <c r="HB705"/>
      <c r="HC705"/>
      <c r="HD705"/>
      <c r="HE705"/>
      <c r="HF705"/>
      <c r="HG705"/>
      <c r="HH705"/>
      <c r="HI705"/>
      <c r="HJ705"/>
      <c r="HK705"/>
      <c r="HL705"/>
      <c r="HM705"/>
      <c r="HN705"/>
      <c r="HO705"/>
      <c r="HP705"/>
      <c r="HQ705"/>
      <c r="HR705"/>
      <c r="HS705"/>
      <c r="HT705"/>
      <c r="HU705"/>
      <c r="HV705"/>
      <c r="HW705"/>
      <c r="HX705"/>
      <c r="HY705"/>
      <c r="HZ705"/>
      <c r="IA705"/>
      <c r="IB705"/>
      <c r="IC705"/>
      <c r="ID705"/>
      <c r="IE705"/>
      <c r="IF705"/>
      <c r="IG705"/>
      <c r="IH705"/>
      <c r="II705"/>
      <c r="IJ705"/>
      <c r="IK705"/>
      <c r="IL705"/>
      <c r="IM705"/>
      <c r="IN705"/>
      <c r="IO705"/>
      <c r="IP705"/>
      <c r="IQ705"/>
      <c r="IR705"/>
      <c r="IS705"/>
      <c r="IT705"/>
      <c r="IU705"/>
      <c r="IV705"/>
    </row>
    <row r="706" spans="1:256" ht="12.75" hidden="1" customHeight="1" x14ac:dyDescent="0.2">
      <c r="A706" s="551"/>
      <c r="B706" s="557" t="s">
        <v>807</v>
      </c>
      <c r="C706" s="558">
        <f>SUM(C707:C708)</f>
        <v>2600000</v>
      </c>
      <c r="D706" s="558">
        <f>SUM(D707:D708)</f>
        <v>3700000</v>
      </c>
      <c r="E706" s="558">
        <f>SUM(E707:E708)</f>
        <v>3489307.64</v>
      </c>
      <c r="F706" s="559">
        <f>SUM(F707:F708)</f>
        <v>2282709.0299999998</v>
      </c>
      <c r="G706" s="560">
        <f>SUM(G707:G710)</f>
        <v>1600000</v>
      </c>
      <c r="H706"/>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c r="HK706"/>
      <c r="HL706"/>
      <c r="HM706"/>
      <c r="HN706"/>
      <c r="HO706"/>
      <c r="HP706"/>
      <c r="HQ706"/>
      <c r="HR706"/>
      <c r="HS706"/>
      <c r="HT706"/>
      <c r="HU706"/>
      <c r="HV706"/>
      <c r="HW706"/>
      <c r="HX706"/>
      <c r="HY706"/>
      <c r="HZ706"/>
      <c r="IA706"/>
      <c r="IB706"/>
      <c r="IC706"/>
      <c r="ID706"/>
      <c r="IE706"/>
      <c r="IF706"/>
      <c r="IG706"/>
      <c r="IH706"/>
      <c r="II706"/>
      <c r="IJ706"/>
      <c r="IK706"/>
      <c r="IL706"/>
      <c r="IM706"/>
      <c r="IN706"/>
      <c r="IO706"/>
      <c r="IP706"/>
      <c r="IQ706"/>
      <c r="IR706"/>
      <c r="IS706"/>
      <c r="IT706"/>
      <c r="IU706"/>
      <c r="IV706"/>
    </row>
    <row r="707" spans="1:256" ht="12.75" hidden="1" customHeight="1" x14ac:dyDescent="0.2">
      <c r="A707" s="551"/>
      <c r="B707" s="561" t="s">
        <v>808</v>
      </c>
      <c r="C707" s="558">
        <v>600000</v>
      </c>
      <c r="D707" s="562">
        <f>600000-600000</f>
        <v>0</v>
      </c>
      <c r="E707" s="562">
        <f>600000-600000</f>
        <v>0</v>
      </c>
      <c r="F707" s="563">
        <v>0</v>
      </c>
      <c r="G707" s="127">
        <v>0</v>
      </c>
      <c r="H707"/>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c r="EZ707"/>
      <c r="FA707"/>
      <c r="FB707"/>
      <c r="FC707"/>
      <c r="FD707"/>
      <c r="FE707"/>
      <c r="FF707"/>
      <c r="FG707"/>
      <c r="FH707"/>
      <c r="FI707"/>
      <c r="FJ707"/>
      <c r="FK707"/>
      <c r="FL707"/>
      <c r="FM707"/>
      <c r="FN707"/>
      <c r="FO707"/>
      <c r="FP707"/>
      <c r="FQ707"/>
      <c r="FR707"/>
      <c r="FS707"/>
      <c r="FT707"/>
      <c r="FU707"/>
      <c r="FV707"/>
      <c r="FW707"/>
      <c r="FX707"/>
      <c r="FY707"/>
      <c r="FZ707"/>
      <c r="GA707"/>
      <c r="GB707"/>
      <c r="GC707"/>
      <c r="GD707"/>
      <c r="GE707"/>
      <c r="GF707"/>
      <c r="GG707"/>
      <c r="GH707"/>
      <c r="GI707"/>
      <c r="GJ707"/>
      <c r="GK707"/>
      <c r="GL707"/>
      <c r="GM707"/>
      <c r="GN707"/>
      <c r="GO707"/>
      <c r="GP707"/>
      <c r="GQ707"/>
      <c r="GR707"/>
      <c r="GS707"/>
      <c r="GT707"/>
      <c r="GU707"/>
      <c r="GV707"/>
      <c r="GW707"/>
      <c r="GX707"/>
      <c r="GY707"/>
      <c r="GZ707"/>
      <c r="HA707"/>
      <c r="HB707"/>
      <c r="HC707"/>
      <c r="HD707"/>
      <c r="HE707"/>
      <c r="HF707"/>
      <c r="HG707"/>
      <c r="HH707"/>
      <c r="HI707"/>
      <c r="HJ707"/>
      <c r="HK707"/>
      <c r="HL707"/>
      <c r="HM707"/>
      <c r="HN707"/>
      <c r="HO707"/>
      <c r="HP707"/>
      <c r="HQ707"/>
      <c r="HR707"/>
      <c r="HS707"/>
      <c r="HT707"/>
      <c r="HU707"/>
      <c r="HV707"/>
      <c r="HW707"/>
      <c r="HX707"/>
      <c r="HY707"/>
      <c r="HZ707"/>
      <c r="IA707"/>
      <c r="IB707"/>
      <c r="IC707"/>
      <c r="ID707"/>
      <c r="IE707"/>
      <c r="IF707"/>
      <c r="IG707"/>
      <c r="IH707"/>
      <c r="II707"/>
      <c r="IJ707"/>
      <c r="IK707"/>
      <c r="IL707"/>
      <c r="IM707"/>
      <c r="IN707"/>
      <c r="IO707"/>
      <c r="IP707"/>
      <c r="IQ707"/>
      <c r="IR707"/>
      <c r="IS707"/>
      <c r="IT707"/>
      <c r="IU707"/>
      <c r="IV707"/>
    </row>
    <row r="708" spans="1:256" ht="12.75" hidden="1" customHeight="1" x14ac:dyDescent="0.2">
      <c r="A708" s="551"/>
      <c r="B708" s="561" t="s">
        <v>809</v>
      </c>
      <c r="C708" s="558">
        <v>2000000</v>
      </c>
      <c r="D708" s="562">
        <f>2000000+1700000</f>
        <v>3700000</v>
      </c>
      <c r="E708" s="564">
        <v>3489307.64</v>
      </c>
      <c r="F708" s="563">
        <v>2282709.0299999998</v>
      </c>
      <c r="G708" s="127">
        <v>0</v>
      </c>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c r="EZ708"/>
      <c r="FA708"/>
      <c r="FB708"/>
      <c r="FC708"/>
      <c r="FD708"/>
      <c r="FE708"/>
      <c r="FF708"/>
      <c r="FG708"/>
      <c r="FH708"/>
      <c r="FI708"/>
      <c r="FJ708"/>
      <c r="FK708"/>
      <c r="FL708"/>
      <c r="FM708"/>
      <c r="FN708"/>
      <c r="FO708"/>
      <c r="FP708"/>
      <c r="FQ708"/>
      <c r="FR708"/>
      <c r="FS708"/>
      <c r="FT708"/>
      <c r="FU708"/>
      <c r="FV708"/>
      <c r="FW708"/>
      <c r="FX708"/>
      <c r="FY708"/>
      <c r="FZ708"/>
      <c r="GA708"/>
      <c r="GB708"/>
      <c r="GC708"/>
      <c r="GD708"/>
      <c r="GE708"/>
      <c r="GF708"/>
      <c r="GG708"/>
      <c r="GH708"/>
      <c r="GI708"/>
      <c r="GJ708"/>
      <c r="GK708"/>
      <c r="GL708"/>
      <c r="GM708"/>
      <c r="GN708"/>
      <c r="GO708"/>
      <c r="GP708"/>
      <c r="GQ708"/>
      <c r="GR708"/>
      <c r="GS708"/>
      <c r="GT708"/>
      <c r="GU708"/>
      <c r="GV708"/>
      <c r="GW708"/>
      <c r="GX708"/>
      <c r="GY708"/>
      <c r="GZ708"/>
      <c r="HA708"/>
      <c r="HB708"/>
      <c r="HC708"/>
      <c r="HD708"/>
      <c r="HE708"/>
      <c r="HF708"/>
      <c r="HG708"/>
      <c r="HH708"/>
      <c r="HI708"/>
      <c r="HJ708"/>
      <c r="HK708"/>
      <c r="HL708"/>
      <c r="HM708"/>
      <c r="HN708"/>
      <c r="HO708"/>
      <c r="HP708"/>
      <c r="HQ708"/>
      <c r="HR708"/>
      <c r="HS708"/>
      <c r="HT708"/>
      <c r="HU708"/>
      <c r="HV708"/>
      <c r="HW708"/>
      <c r="HX708"/>
      <c r="HY708"/>
      <c r="HZ708"/>
      <c r="IA708"/>
      <c r="IB708"/>
      <c r="IC708"/>
      <c r="ID708"/>
      <c r="IE708"/>
      <c r="IF708"/>
      <c r="IG708"/>
      <c r="IH708"/>
      <c r="II708"/>
      <c r="IJ708"/>
      <c r="IK708"/>
      <c r="IL708"/>
      <c r="IM708"/>
      <c r="IN708"/>
      <c r="IO708"/>
      <c r="IP708"/>
      <c r="IQ708"/>
      <c r="IR708"/>
      <c r="IS708"/>
      <c r="IT708"/>
      <c r="IU708"/>
      <c r="IV708"/>
    </row>
    <row r="709" spans="1:256" ht="12.75" hidden="1" customHeight="1" x14ac:dyDescent="0.2">
      <c r="A709" s="551"/>
      <c r="B709" s="565" t="s">
        <v>810</v>
      </c>
      <c r="C709" s="558"/>
      <c r="D709" s="562"/>
      <c r="E709" s="566"/>
      <c r="F709" s="567"/>
      <c r="G709" s="568">
        <v>1300000</v>
      </c>
      <c r="H709"/>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c r="EY709"/>
      <c r="EZ709"/>
      <c r="FA709"/>
      <c r="FB709"/>
      <c r="FC709"/>
      <c r="FD709"/>
      <c r="FE709"/>
      <c r="FF709"/>
      <c r="FG709"/>
      <c r="FH709"/>
      <c r="FI709"/>
      <c r="FJ709"/>
      <c r="FK709"/>
      <c r="FL709"/>
      <c r="FM709"/>
      <c r="FN709"/>
      <c r="FO709"/>
      <c r="FP709"/>
      <c r="FQ709"/>
      <c r="FR709"/>
      <c r="FS709"/>
      <c r="FT709"/>
      <c r="FU709"/>
      <c r="FV709"/>
      <c r="FW709"/>
      <c r="FX709"/>
      <c r="FY709"/>
      <c r="FZ709"/>
      <c r="GA709"/>
      <c r="GB709"/>
      <c r="GC709"/>
      <c r="GD709"/>
      <c r="GE709"/>
      <c r="GF709"/>
      <c r="GG709"/>
      <c r="GH709"/>
      <c r="GI709"/>
      <c r="GJ709"/>
      <c r="GK709"/>
      <c r="GL709"/>
      <c r="GM709"/>
      <c r="GN709"/>
      <c r="GO709"/>
      <c r="GP709"/>
      <c r="GQ709"/>
      <c r="GR709"/>
      <c r="GS709"/>
      <c r="GT709"/>
      <c r="GU709"/>
      <c r="GV709"/>
      <c r="GW709"/>
      <c r="GX709"/>
      <c r="GY709"/>
      <c r="GZ709"/>
      <c r="HA709"/>
      <c r="HB709"/>
      <c r="HC709"/>
      <c r="HD709"/>
      <c r="HE709"/>
      <c r="HF709"/>
      <c r="HG709"/>
      <c r="HH709"/>
      <c r="HI709"/>
      <c r="HJ709"/>
      <c r="HK709"/>
      <c r="HL709"/>
      <c r="HM709"/>
      <c r="HN709"/>
      <c r="HO709"/>
      <c r="HP709"/>
      <c r="HQ709"/>
      <c r="HR709"/>
      <c r="HS709"/>
      <c r="HT709"/>
      <c r="HU709"/>
      <c r="HV709"/>
      <c r="HW709"/>
      <c r="HX709"/>
      <c r="HY709"/>
      <c r="HZ709"/>
      <c r="IA709"/>
      <c r="IB709"/>
      <c r="IC709"/>
      <c r="ID709"/>
      <c r="IE709"/>
      <c r="IF709"/>
      <c r="IG709"/>
      <c r="IH709"/>
      <c r="II709"/>
      <c r="IJ709"/>
      <c r="IK709"/>
      <c r="IL709"/>
      <c r="IM709"/>
      <c r="IN709"/>
      <c r="IO709"/>
      <c r="IP709"/>
      <c r="IQ709"/>
      <c r="IR709"/>
      <c r="IS709"/>
      <c r="IT709"/>
      <c r="IU709"/>
      <c r="IV709"/>
    </row>
    <row r="710" spans="1:256" ht="12.75" hidden="1" customHeight="1" x14ac:dyDescent="0.2">
      <c r="A710" s="551"/>
      <c r="B710" s="565" t="s">
        <v>811</v>
      </c>
      <c r="C710" s="569"/>
      <c r="D710" s="570"/>
      <c r="E710" s="571"/>
      <c r="F710" s="572"/>
      <c r="G710" s="170">
        <v>300000</v>
      </c>
      <c r="H71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c r="EY710"/>
      <c r="EZ710"/>
      <c r="FA710"/>
      <c r="FB710"/>
      <c r="FC710"/>
      <c r="FD710"/>
      <c r="FE710"/>
      <c r="FF710"/>
      <c r="FG710"/>
      <c r="FH710"/>
      <c r="FI710"/>
      <c r="FJ710"/>
      <c r="FK710"/>
      <c r="FL710"/>
      <c r="FM710"/>
      <c r="FN710"/>
      <c r="FO710"/>
      <c r="FP710"/>
      <c r="FQ710"/>
      <c r="FR710"/>
      <c r="FS710"/>
      <c r="FT710"/>
      <c r="FU710"/>
      <c r="FV710"/>
      <c r="FW710"/>
      <c r="FX710"/>
      <c r="FY710"/>
      <c r="FZ710"/>
      <c r="GA710"/>
      <c r="GB710"/>
      <c r="GC710"/>
      <c r="GD710"/>
      <c r="GE710"/>
      <c r="GF710"/>
      <c r="GG710"/>
      <c r="GH710"/>
      <c r="GI710"/>
      <c r="GJ710"/>
      <c r="GK710"/>
      <c r="GL710"/>
      <c r="GM710"/>
      <c r="GN710"/>
      <c r="GO710"/>
      <c r="GP710"/>
      <c r="GQ710"/>
      <c r="GR710"/>
      <c r="GS710"/>
      <c r="GT710"/>
      <c r="GU710"/>
      <c r="GV710"/>
      <c r="GW710"/>
      <c r="GX710"/>
      <c r="GY710"/>
      <c r="GZ710"/>
      <c r="HA710"/>
      <c r="HB710"/>
      <c r="HC710"/>
      <c r="HD710"/>
      <c r="HE710"/>
      <c r="HF710"/>
      <c r="HG710"/>
      <c r="HH710"/>
      <c r="HI710"/>
      <c r="HJ710"/>
      <c r="HK710"/>
      <c r="HL710"/>
      <c r="HM710"/>
      <c r="HN710"/>
      <c r="HO710"/>
      <c r="HP710"/>
      <c r="HQ710"/>
      <c r="HR710"/>
      <c r="HS710"/>
      <c r="HT710"/>
      <c r="HU710"/>
      <c r="HV710"/>
      <c r="HW710"/>
      <c r="HX710"/>
      <c r="HY710"/>
      <c r="HZ710"/>
      <c r="IA710"/>
      <c r="IB710"/>
      <c r="IC710"/>
      <c r="ID710"/>
      <c r="IE710"/>
      <c r="IF710"/>
      <c r="IG710"/>
      <c r="IH710"/>
      <c r="II710"/>
      <c r="IJ710"/>
      <c r="IK710"/>
      <c r="IL710"/>
      <c r="IM710"/>
      <c r="IN710"/>
      <c r="IO710"/>
      <c r="IP710"/>
      <c r="IQ710"/>
      <c r="IR710"/>
      <c r="IS710"/>
      <c r="IT710"/>
      <c r="IU710"/>
      <c r="IV710"/>
    </row>
    <row r="711" spans="1:256" ht="12.75" hidden="1" customHeight="1" x14ac:dyDescent="0.2">
      <c r="A711" s="551"/>
      <c r="B711" s="561" t="s">
        <v>812</v>
      </c>
      <c r="C711" s="573">
        <f>SUM(C712:C717)</f>
        <v>450000</v>
      </c>
      <c r="D711" s="574">
        <f>SUM(D712:D717)</f>
        <v>3206650.74</v>
      </c>
      <c r="E711" s="574">
        <f>SUM(E712:E717)</f>
        <v>3206650.74</v>
      </c>
      <c r="F711" s="554">
        <f>SUM(F712:F717)</f>
        <v>3006650.74</v>
      </c>
      <c r="G711" s="555">
        <f>SUM(G712:G717)</f>
        <v>850000</v>
      </c>
      <c r="H711"/>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c r="EZ711"/>
      <c r="FA711"/>
      <c r="FB711"/>
      <c r="FC711"/>
      <c r="FD711"/>
      <c r="FE711"/>
      <c r="FF711"/>
      <c r="FG711"/>
      <c r="FH711"/>
      <c r="FI711"/>
      <c r="FJ711"/>
      <c r="FK711"/>
      <c r="FL711"/>
      <c r="FM711"/>
      <c r="FN711"/>
      <c r="FO711"/>
      <c r="FP711"/>
      <c r="FQ711"/>
      <c r="FR711"/>
      <c r="FS711"/>
      <c r="FT711"/>
      <c r="FU711"/>
      <c r="FV711"/>
      <c r="FW711"/>
      <c r="FX711"/>
      <c r="FY711"/>
      <c r="FZ711"/>
      <c r="GA711"/>
      <c r="GB711"/>
      <c r="GC711"/>
      <c r="GD711"/>
      <c r="GE711"/>
      <c r="GF711"/>
      <c r="GG711"/>
      <c r="GH711"/>
      <c r="GI711"/>
      <c r="GJ711"/>
      <c r="GK711"/>
      <c r="GL711"/>
      <c r="GM711"/>
      <c r="GN711"/>
      <c r="GO711"/>
      <c r="GP711"/>
      <c r="GQ711"/>
      <c r="GR711"/>
      <c r="GS711"/>
      <c r="GT711"/>
      <c r="GU711"/>
      <c r="GV711"/>
      <c r="GW711"/>
      <c r="GX711"/>
      <c r="GY711"/>
      <c r="GZ711"/>
      <c r="HA711"/>
      <c r="HB711"/>
      <c r="HC711"/>
      <c r="HD711"/>
      <c r="HE711"/>
      <c r="HF711"/>
      <c r="HG711"/>
      <c r="HH711"/>
      <c r="HI711"/>
      <c r="HJ711"/>
      <c r="HK711"/>
      <c r="HL711"/>
      <c r="HM711"/>
      <c r="HN711"/>
      <c r="HO711"/>
      <c r="HP711"/>
      <c r="HQ711"/>
      <c r="HR711"/>
      <c r="HS711"/>
      <c r="HT711"/>
      <c r="HU711"/>
      <c r="HV711"/>
      <c r="HW711"/>
      <c r="HX711"/>
      <c r="HY711"/>
      <c r="HZ711"/>
      <c r="IA711"/>
      <c r="IB711"/>
      <c r="IC711"/>
      <c r="ID711"/>
      <c r="IE711"/>
      <c r="IF711"/>
      <c r="IG711"/>
      <c r="IH711"/>
      <c r="II711"/>
      <c r="IJ711"/>
      <c r="IK711"/>
      <c r="IL711"/>
      <c r="IM711"/>
      <c r="IN711"/>
      <c r="IO711"/>
      <c r="IP711"/>
      <c r="IQ711"/>
      <c r="IR711"/>
      <c r="IS711"/>
      <c r="IT711"/>
      <c r="IU711"/>
      <c r="IV711"/>
    </row>
    <row r="712" spans="1:256" ht="12.75" hidden="1" customHeight="1" x14ac:dyDescent="0.2">
      <c r="A712" s="551"/>
      <c r="B712" s="561" t="s">
        <v>813</v>
      </c>
      <c r="C712" s="560">
        <v>250000</v>
      </c>
      <c r="D712" s="562">
        <f>250000-250000</f>
        <v>0</v>
      </c>
      <c r="E712" s="575">
        <v>0</v>
      </c>
      <c r="F712" s="576">
        <v>0</v>
      </c>
      <c r="G712" s="164">
        <v>0</v>
      </c>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c r="EY712"/>
      <c r="EZ712"/>
      <c r="FA712"/>
      <c r="FB712"/>
      <c r="FC712"/>
      <c r="FD712"/>
      <c r="FE712"/>
      <c r="FF712"/>
      <c r="FG712"/>
      <c r="FH712"/>
      <c r="FI712"/>
      <c r="FJ712"/>
      <c r="FK712"/>
      <c r="FL712"/>
      <c r="FM712"/>
      <c r="FN712"/>
      <c r="FO712"/>
      <c r="FP712"/>
      <c r="FQ712"/>
      <c r="FR712"/>
      <c r="FS712"/>
      <c r="FT712"/>
      <c r="FU712"/>
      <c r="FV712"/>
      <c r="FW712"/>
      <c r="FX712"/>
      <c r="FY712"/>
      <c r="FZ712"/>
      <c r="GA712"/>
      <c r="GB712"/>
      <c r="GC712"/>
      <c r="GD712"/>
      <c r="GE712"/>
      <c r="GF712"/>
      <c r="GG712"/>
      <c r="GH712"/>
      <c r="GI712"/>
      <c r="GJ712"/>
      <c r="GK712"/>
      <c r="GL712"/>
      <c r="GM712"/>
      <c r="GN712"/>
      <c r="GO712"/>
      <c r="GP712"/>
      <c r="GQ712"/>
      <c r="GR712"/>
      <c r="GS712"/>
      <c r="GT712"/>
      <c r="GU712"/>
      <c r="GV712"/>
      <c r="GW712"/>
      <c r="GX712"/>
      <c r="GY712"/>
      <c r="GZ712"/>
      <c r="HA712"/>
      <c r="HB712"/>
      <c r="HC712"/>
      <c r="HD712"/>
      <c r="HE712"/>
      <c r="HF712"/>
      <c r="HG712"/>
      <c r="HH712"/>
      <c r="HI712"/>
      <c r="HJ712"/>
      <c r="HK712"/>
      <c r="HL712"/>
      <c r="HM712"/>
      <c r="HN712"/>
      <c r="HO712"/>
      <c r="HP712"/>
      <c r="HQ712"/>
      <c r="HR712"/>
      <c r="HS712"/>
      <c r="HT712"/>
      <c r="HU712"/>
      <c r="HV712"/>
      <c r="HW712"/>
      <c r="HX712"/>
      <c r="HY712"/>
      <c r="HZ712"/>
      <c r="IA712"/>
      <c r="IB712"/>
      <c r="IC712"/>
      <c r="ID712"/>
      <c r="IE712"/>
      <c r="IF712"/>
      <c r="IG712"/>
      <c r="IH712"/>
      <c r="II712"/>
      <c r="IJ712"/>
      <c r="IK712"/>
      <c r="IL712"/>
      <c r="IM712"/>
      <c r="IN712"/>
      <c r="IO712"/>
      <c r="IP712"/>
      <c r="IQ712"/>
      <c r="IR712"/>
      <c r="IS712"/>
      <c r="IT712"/>
      <c r="IU712"/>
      <c r="IV712"/>
    </row>
    <row r="713" spans="1:256" ht="12.75" hidden="1" customHeight="1" x14ac:dyDescent="0.2">
      <c r="A713" s="551"/>
      <c r="B713" s="561" t="s">
        <v>814</v>
      </c>
      <c r="C713" s="560">
        <v>200000</v>
      </c>
      <c r="D713" s="570">
        <v>200000</v>
      </c>
      <c r="E713" s="571">
        <v>200000</v>
      </c>
      <c r="F713" s="563">
        <v>0</v>
      </c>
      <c r="G713" s="127">
        <v>200000</v>
      </c>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c r="EY713"/>
      <c r="EZ713"/>
      <c r="FA713"/>
      <c r="FB713"/>
      <c r="FC713"/>
      <c r="FD713"/>
      <c r="FE713"/>
      <c r="FF713"/>
      <c r="FG713"/>
      <c r="FH713"/>
      <c r="FI713"/>
      <c r="FJ713"/>
      <c r="FK713"/>
      <c r="FL713"/>
      <c r="FM713"/>
      <c r="FN713"/>
      <c r="FO713"/>
      <c r="FP713"/>
      <c r="FQ713"/>
      <c r="FR713"/>
      <c r="FS713"/>
      <c r="FT713"/>
      <c r="FU713"/>
      <c r="FV713"/>
      <c r="FW713"/>
      <c r="FX713"/>
      <c r="FY713"/>
      <c r="FZ713"/>
      <c r="GA713"/>
      <c r="GB713"/>
      <c r="GC713"/>
      <c r="GD713"/>
      <c r="GE713"/>
      <c r="GF713"/>
      <c r="GG713"/>
      <c r="GH713"/>
      <c r="GI713"/>
      <c r="GJ713"/>
      <c r="GK713"/>
      <c r="GL713"/>
      <c r="GM713"/>
      <c r="GN713"/>
      <c r="GO713"/>
      <c r="GP713"/>
      <c r="GQ713"/>
      <c r="GR713"/>
      <c r="GS713"/>
      <c r="GT713"/>
      <c r="GU713"/>
      <c r="GV713"/>
      <c r="GW713"/>
      <c r="GX713"/>
      <c r="GY713"/>
      <c r="GZ713"/>
      <c r="HA713"/>
      <c r="HB713"/>
      <c r="HC713"/>
      <c r="HD713"/>
      <c r="HE713"/>
      <c r="HF713"/>
      <c r="HG713"/>
      <c r="HH713"/>
      <c r="HI713"/>
      <c r="HJ713"/>
      <c r="HK713"/>
      <c r="HL713"/>
      <c r="HM713"/>
      <c r="HN713"/>
      <c r="HO713"/>
      <c r="HP713"/>
      <c r="HQ713"/>
      <c r="HR713"/>
      <c r="HS713"/>
      <c r="HT713"/>
      <c r="HU713"/>
      <c r="HV713"/>
      <c r="HW713"/>
      <c r="HX713"/>
      <c r="HY713"/>
      <c r="HZ713"/>
      <c r="IA713"/>
      <c r="IB713"/>
      <c r="IC713"/>
      <c r="ID713"/>
      <c r="IE713"/>
      <c r="IF713"/>
      <c r="IG713"/>
      <c r="IH713"/>
      <c r="II713"/>
      <c r="IJ713"/>
      <c r="IK713"/>
      <c r="IL713"/>
      <c r="IM713"/>
      <c r="IN713"/>
      <c r="IO713"/>
      <c r="IP713"/>
      <c r="IQ713"/>
      <c r="IR713"/>
      <c r="IS713"/>
      <c r="IT713"/>
      <c r="IU713"/>
      <c r="IV713"/>
    </row>
    <row r="714" spans="1:256" ht="12.75" hidden="1" customHeight="1" x14ac:dyDescent="0.2">
      <c r="A714" s="551"/>
      <c r="B714" s="561" t="s">
        <v>815</v>
      </c>
      <c r="C714" s="560"/>
      <c r="D714" s="562"/>
      <c r="E714" s="564"/>
      <c r="F714" s="577"/>
      <c r="G714" s="127">
        <v>100000</v>
      </c>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c r="EY714"/>
      <c r="EZ714"/>
      <c r="FA714"/>
      <c r="FB714"/>
      <c r="FC714"/>
      <c r="FD714"/>
      <c r="FE714"/>
      <c r="FF714"/>
      <c r="FG714"/>
      <c r="FH714"/>
      <c r="FI714"/>
      <c r="FJ714"/>
      <c r="FK714"/>
      <c r="FL714"/>
      <c r="FM714"/>
      <c r="FN714"/>
      <c r="FO714"/>
      <c r="FP714"/>
      <c r="FQ714"/>
      <c r="FR714"/>
      <c r="FS714"/>
      <c r="FT714"/>
      <c r="FU714"/>
      <c r="FV714"/>
      <c r="FW714"/>
      <c r="FX714"/>
      <c r="FY714"/>
      <c r="FZ714"/>
      <c r="GA714"/>
      <c r="GB714"/>
      <c r="GC714"/>
      <c r="GD714"/>
      <c r="GE714"/>
      <c r="GF714"/>
      <c r="GG714"/>
      <c r="GH714"/>
      <c r="GI714"/>
      <c r="GJ714"/>
      <c r="GK714"/>
      <c r="GL714"/>
      <c r="GM714"/>
      <c r="GN714"/>
      <c r="GO714"/>
      <c r="GP714"/>
      <c r="GQ714"/>
      <c r="GR714"/>
      <c r="GS714"/>
      <c r="GT714"/>
      <c r="GU714"/>
      <c r="GV714"/>
      <c r="GW714"/>
      <c r="GX714"/>
      <c r="GY714"/>
      <c r="GZ714"/>
      <c r="HA714"/>
      <c r="HB714"/>
      <c r="HC714"/>
      <c r="HD714"/>
      <c r="HE714"/>
      <c r="HF714"/>
      <c r="HG714"/>
      <c r="HH714"/>
      <c r="HI714"/>
      <c r="HJ714"/>
      <c r="HK714"/>
      <c r="HL714"/>
      <c r="HM714"/>
      <c r="HN714"/>
      <c r="HO714"/>
      <c r="HP714"/>
      <c r="HQ714"/>
      <c r="HR714"/>
      <c r="HS714"/>
      <c r="HT714"/>
      <c r="HU714"/>
      <c r="HV714"/>
      <c r="HW714"/>
      <c r="HX714"/>
      <c r="HY714"/>
      <c r="HZ714"/>
      <c r="IA714"/>
      <c r="IB714"/>
      <c r="IC714"/>
      <c r="ID714"/>
      <c r="IE714"/>
      <c r="IF714"/>
      <c r="IG714"/>
      <c r="IH714"/>
      <c r="II714"/>
      <c r="IJ714"/>
      <c r="IK714"/>
      <c r="IL714"/>
      <c r="IM714"/>
      <c r="IN714"/>
      <c r="IO714"/>
      <c r="IP714"/>
      <c r="IQ714"/>
      <c r="IR714"/>
      <c r="IS714"/>
      <c r="IT714"/>
      <c r="IU714"/>
      <c r="IV714"/>
    </row>
    <row r="715" spans="1:256" ht="12.75" hidden="1" customHeight="1" x14ac:dyDescent="0.2">
      <c r="A715" s="551"/>
      <c r="B715" s="578" t="s">
        <v>816</v>
      </c>
      <c r="C715" s="560"/>
      <c r="D715" s="562"/>
      <c r="E715" s="579"/>
      <c r="F715" s="580"/>
      <c r="G715" s="127">
        <v>150000</v>
      </c>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c r="HJ715"/>
      <c r="HK715"/>
      <c r="HL715"/>
      <c r="HM715"/>
      <c r="HN715"/>
      <c r="HO715"/>
      <c r="HP715"/>
      <c r="HQ715"/>
      <c r="HR715"/>
      <c r="HS715"/>
      <c r="HT715"/>
      <c r="HU715"/>
      <c r="HV715"/>
      <c r="HW715"/>
      <c r="HX715"/>
      <c r="HY715"/>
      <c r="HZ715"/>
      <c r="IA715"/>
      <c r="IB715"/>
      <c r="IC715"/>
      <c r="ID715"/>
      <c r="IE715"/>
      <c r="IF715"/>
      <c r="IG715"/>
      <c r="IH715"/>
      <c r="II715"/>
      <c r="IJ715"/>
      <c r="IK715"/>
      <c r="IL715"/>
      <c r="IM715"/>
      <c r="IN715"/>
      <c r="IO715"/>
      <c r="IP715"/>
      <c r="IQ715"/>
      <c r="IR715"/>
      <c r="IS715"/>
      <c r="IT715"/>
      <c r="IU715"/>
      <c r="IV715"/>
    </row>
    <row r="716" spans="1:256" ht="12.75" hidden="1" customHeight="1" x14ac:dyDescent="0.2">
      <c r="A716" s="551"/>
      <c r="B716" s="561" t="s">
        <v>817</v>
      </c>
      <c r="C716" s="560"/>
      <c r="D716" s="562"/>
      <c r="E716" s="579"/>
      <c r="F716" s="580"/>
      <c r="G716" s="127">
        <v>400000</v>
      </c>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c r="HJ716"/>
      <c r="HK716"/>
      <c r="HL716"/>
      <c r="HM716"/>
      <c r="HN716"/>
      <c r="HO716"/>
      <c r="HP716"/>
      <c r="HQ716"/>
      <c r="HR716"/>
      <c r="HS716"/>
      <c r="HT716"/>
      <c r="HU716"/>
      <c r="HV716"/>
      <c r="HW716"/>
      <c r="HX716"/>
      <c r="HY716"/>
      <c r="HZ716"/>
      <c r="IA716"/>
      <c r="IB716"/>
      <c r="IC716"/>
      <c r="ID716"/>
      <c r="IE716"/>
      <c r="IF716"/>
      <c r="IG716"/>
      <c r="IH716"/>
      <c r="II716"/>
      <c r="IJ716"/>
      <c r="IK716"/>
      <c r="IL716"/>
      <c r="IM716"/>
      <c r="IN716"/>
      <c r="IO716"/>
      <c r="IP716"/>
      <c r="IQ716"/>
      <c r="IR716"/>
      <c r="IS716"/>
      <c r="IT716"/>
      <c r="IU716"/>
      <c r="IV716"/>
    </row>
    <row r="717" spans="1:256" ht="12.75" hidden="1" customHeight="1" x14ac:dyDescent="0.2">
      <c r="A717" s="551"/>
      <c r="B717" s="561" t="s">
        <v>818</v>
      </c>
      <c r="C717" s="560">
        <v>0</v>
      </c>
      <c r="D717" s="562">
        <v>3006650.74</v>
      </c>
      <c r="E717" s="579">
        <v>3006650.74</v>
      </c>
      <c r="F717" s="580">
        <v>3006650.74</v>
      </c>
      <c r="G717" s="127">
        <v>0</v>
      </c>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c r="FS717"/>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c r="HE717"/>
      <c r="HF717"/>
      <c r="HG717"/>
      <c r="HH717"/>
      <c r="HI717"/>
      <c r="HJ717"/>
      <c r="HK717"/>
      <c r="HL717"/>
      <c r="HM717"/>
      <c r="HN717"/>
      <c r="HO717"/>
      <c r="HP717"/>
      <c r="HQ717"/>
      <c r="HR717"/>
      <c r="HS717"/>
      <c r="HT717"/>
      <c r="HU717"/>
      <c r="HV717"/>
      <c r="HW717"/>
      <c r="HX717"/>
      <c r="HY717"/>
      <c r="HZ717"/>
      <c r="IA717"/>
      <c r="IB717"/>
      <c r="IC717"/>
      <c r="ID717"/>
      <c r="IE717"/>
      <c r="IF717"/>
      <c r="IG717"/>
      <c r="IH717"/>
      <c r="II717"/>
      <c r="IJ717"/>
      <c r="IK717"/>
      <c r="IL717"/>
      <c r="IM717"/>
      <c r="IN717"/>
      <c r="IO717"/>
      <c r="IP717"/>
      <c r="IQ717"/>
      <c r="IR717"/>
      <c r="IS717"/>
      <c r="IT717"/>
      <c r="IU717"/>
      <c r="IV717"/>
    </row>
    <row r="718" spans="1:256" ht="12.75" hidden="1" customHeight="1" x14ac:dyDescent="0.2">
      <c r="A718" s="551"/>
      <c r="B718" s="557" t="s">
        <v>819</v>
      </c>
      <c r="C718" s="553">
        <f>C719+C720</f>
        <v>20713000</v>
      </c>
      <c r="D718" s="581">
        <f>D719+D720</f>
        <v>21313000</v>
      </c>
      <c r="E718" s="581">
        <f>E719+E720</f>
        <v>19813000</v>
      </c>
      <c r="F718" s="582">
        <f>SUM(F719:F721)</f>
        <v>14585691</v>
      </c>
      <c r="G718" s="555">
        <f>SUM(G719:G721)</f>
        <v>23187000</v>
      </c>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c r="FS718"/>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c r="HE718"/>
      <c r="HF718"/>
      <c r="HG718"/>
      <c r="HH718"/>
      <c r="HI718"/>
      <c r="HJ718"/>
      <c r="HK718"/>
      <c r="HL718"/>
      <c r="HM718"/>
      <c r="HN718"/>
      <c r="HO718"/>
      <c r="HP718"/>
      <c r="HQ718"/>
      <c r="HR718"/>
      <c r="HS718"/>
      <c r="HT718"/>
      <c r="HU718"/>
      <c r="HV718"/>
      <c r="HW718"/>
      <c r="HX718"/>
      <c r="HY718"/>
      <c r="HZ718"/>
      <c r="IA718"/>
      <c r="IB718"/>
      <c r="IC718"/>
      <c r="ID718"/>
      <c r="IE718"/>
      <c r="IF718"/>
      <c r="IG718"/>
      <c r="IH718"/>
      <c r="II718"/>
      <c r="IJ718"/>
      <c r="IK718"/>
      <c r="IL718"/>
      <c r="IM718"/>
      <c r="IN718"/>
      <c r="IO718"/>
      <c r="IP718"/>
      <c r="IQ718"/>
      <c r="IR718"/>
      <c r="IS718"/>
      <c r="IT718"/>
      <c r="IU718"/>
      <c r="IV718"/>
    </row>
    <row r="719" spans="1:256" ht="12.75" hidden="1" customHeight="1" x14ac:dyDescent="0.2">
      <c r="A719" s="583"/>
      <c r="B719" s="584" t="s">
        <v>820</v>
      </c>
      <c r="C719" s="560">
        <f>21000000-300000</f>
        <v>20700000</v>
      </c>
      <c r="D719" s="562">
        <f>(21000000-300000)+600000</f>
        <v>21300000</v>
      </c>
      <c r="E719" s="579">
        <v>19800000</v>
      </c>
      <c r="F719" s="580">
        <v>14585691</v>
      </c>
      <c r="G719" s="127">
        <v>23142000</v>
      </c>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c r="FS719"/>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c r="HE719"/>
      <c r="HF719"/>
      <c r="HG719"/>
      <c r="HH719"/>
      <c r="HI719"/>
      <c r="HJ719"/>
      <c r="HK719"/>
      <c r="HL719"/>
      <c r="HM719"/>
      <c r="HN719"/>
      <c r="HO719"/>
      <c r="HP719"/>
      <c r="HQ719"/>
      <c r="HR719"/>
      <c r="HS719"/>
      <c r="HT719"/>
      <c r="HU719"/>
      <c r="HV719"/>
      <c r="HW719"/>
      <c r="HX719"/>
      <c r="HY719"/>
      <c r="HZ719"/>
      <c r="IA719"/>
      <c r="IB719"/>
      <c r="IC719"/>
      <c r="ID719"/>
      <c r="IE719"/>
      <c r="IF719"/>
      <c r="IG719"/>
      <c r="IH719"/>
      <c r="II719"/>
      <c r="IJ719"/>
      <c r="IK719"/>
      <c r="IL719"/>
      <c r="IM719"/>
      <c r="IN719"/>
      <c r="IO719"/>
      <c r="IP719"/>
      <c r="IQ719"/>
      <c r="IR719"/>
      <c r="IS719"/>
      <c r="IT719"/>
      <c r="IU719"/>
      <c r="IV719"/>
    </row>
    <row r="720" spans="1:256" ht="12.75" hidden="1" customHeight="1" x14ac:dyDescent="0.2">
      <c r="A720" s="583"/>
      <c r="B720" s="557" t="s">
        <v>821</v>
      </c>
      <c r="C720" s="560">
        <v>13000</v>
      </c>
      <c r="D720" s="562">
        <v>13000</v>
      </c>
      <c r="E720" s="579">
        <v>13000</v>
      </c>
      <c r="F720" s="580">
        <v>0</v>
      </c>
      <c r="G720" s="127">
        <v>13000</v>
      </c>
      <c r="H720"/>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c r="EZ720"/>
      <c r="FA720"/>
      <c r="FB720"/>
      <c r="FC720"/>
      <c r="FD720"/>
      <c r="FE720"/>
      <c r="FF720"/>
      <c r="FG720"/>
      <c r="FH720"/>
      <c r="FI720"/>
      <c r="FJ720"/>
      <c r="FK720"/>
      <c r="FL720"/>
      <c r="FM720"/>
      <c r="FN720"/>
      <c r="FO720"/>
      <c r="FP720"/>
      <c r="FQ720"/>
      <c r="FR720"/>
      <c r="FS720"/>
      <c r="FT720"/>
      <c r="FU720"/>
      <c r="FV720"/>
      <c r="FW720"/>
      <c r="FX720"/>
      <c r="FY720"/>
      <c r="FZ720"/>
      <c r="GA720"/>
      <c r="GB720"/>
      <c r="GC720"/>
      <c r="GD720"/>
      <c r="GE720"/>
      <c r="GF720"/>
      <c r="GG720"/>
      <c r="GH720"/>
      <c r="GI720"/>
      <c r="GJ720"/>
      <c r="GK720"/>
      <c r="GL720"/>
      <c r="GM720"/>
      <c r="GN720"/>
      <c r="GO720"/>
      <c r="GP720"/>
      <c r="GQ720"/>
      <c r="GR720"/>
      <c r="GS720"/>
      <c r="GT720"/>
      <c r="GU720"/>
      <c r="GV720"/>
      <c r="GW720"/>
      <c r="GX720"/>
      <c r="GY720"/>
      <c r="GZ720"/>
      <c r="HA720"/>
      <c r="HB720"/>
      <c r="HC720"/>
      <c r="HD720"/>
      <c r="HE720"/>
      <c r="HF720"/>
      <c r="HG720"/>
      <c r="HH720"/>
      <c r="HI720"/>
      <c r="HJ720"/>
      <c r="HK720"/>
      <c r="HL720"/>
      <c r="HM720"/>
      <c r="HN720"/>
      <c r="HO720"/>
      <c r="HP720"/>
      <c r="HQ720"/>
      <c r="HR720"/>
      <c r="HS720"/>
      <c r="HT720"/>
      <c r="HU720"/>
      <c r="HV720"/>
      <c r="HW720"/>
      <c r="HX720"/>
      <c r="HY720"/>
      <c r="HZ720"/>
      <c r="IA720"/>
      <c r="IB720"/>
      <c r="IC720"/>
      <c r="ID720"/>
      <c r="IE720"/>
      <c r="IF720"/>
      <c r="IG720"/>
      <c r="IH720"/>
      <c r="II720"/>
      <c r="IJ720"/>
      <c r="IK720"/>
      <c r="IL720"/>
      <c r="IM720"/>
      <c r="IN720"/>
      <c r="IO720"/>
      <c r="IP720"/>
      <c r="IQ720"/>
      <c r="IR720"/>
      <c r="IS720"/>
      <c r="IT720"/>
      <c r="IU720"/>
      <c r="IV720"/>
    </row>
    <row r="721" spans="1:256" ht="12.75" hidden="1" customHeight="1" x14ac:dyDescent="0.2">
      <c r="A721" s="583"/>
      <c r="B721" s="557" t="s">
        <v>822</v>
      </c>
      <c r="C721" s="560"/>
      <c r="D721" s="562"/>
      <c r="E721" s="579"/>
      <c r="F721" s="580"/>
      <c r="G721" s="127">
        <v>32000</v>
      </c>
      <c r="H721"/>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c r="EY721"/>
      <c r="EZ721"/>
      <c r="FA721"/>
      <c r="FB721"/>
      <c r="FC721"/>
      <c r="FD721"/>
      <c r="FE721"/>
      <c r="FF721"/>
      <c r="FG721"/>
      <c r="FH721"/>
      <c r="FI721"/>
      <c r="FJ721"/>
      <c r="FK721"/>
      <c r="FL721"/>
      <c r="FM721"/>
      <c r="FN721"/>
      <c r="FO721"/>
      <c r="FP721"/>
      <c r="FQ721"/>
      <c r="FR721"/>
      <c r="FS721"/>
      <c r="FT721"/>
      <c r="FU721"/>
      <c r="FV721"/>
      <c r="FW721"/>
      <c r="FX721"/>
      <c r="FY721"/>
      <c r="FZ721"/>
      <c r="GA721"/>
      <c r="GB721"/>
      <c r="GC721"/>
      <c r="GD721"/>
      <c r="GE721"/>
      <c r="GF721"/>
      <c r="GG721"/>
      <c r="GH721"/>
      <c r="GI721"/>
      <c r="GJ721"/>
      <c r="GK721"/>
      <c r="GL721"/>
      <c r="GM721"/>
      <c r="GN721"/>
      <c r="GO721"/>
      <c r="GP721"/>
      <c r="GQ721"/>
      <c r="GR721"/>
      <c r="GS721"/>
      <c r="GT721"/>
      <c r="GU721"/>
      <c r="GV721"/>
      <c r="GW721"/>
      <c r="GX721"/>
      <c r="GY721"/>
      <c r="GZ721"/>
      <c r="HA721"/>
      <c r="HB721"/>
      <c r="HC721"/>
      <c r="HD721"/>
      <c r="HE721"/>
      <c r="HF721"/>
      <c r="HG721"/>
      <c r="HH721"/>
      <c r="HI721"/>
      <c r="HJ721"/>
      <c r="HK721"/>
      <c r="HL721"/>
      <c r="HM721"/>
      <c r="HN721"/>
      <c r="HO721"/>
      <c r="HP721"/>
      <c r="HQ721"/>
      <c r="HR721"/>
      <c r="HS721"/>
      <c r="HT721"/>
      <c r="HU721"/>
      <c r="HV721"/>
      <c r="HW721"/>
      <c r="HX721"/>
      <c r="HY721"/>
      <c r="HZ721"/>
      <c r="IA721"/>
      <c r="IB721"/>
      <c r="IC721"/>
      <c r="ID721"/>
      <c r="IE721"/>
      <c r="IF721"/>
      <c r="IG721"/>
      <c r="IH721"/>
      <c r="II721"/>
      <c r="IJ721"/>
      <c r="IK721"/>
      <c r="IL721"/>
      <c r="IM721"/>
      <c r="IN721"/>
      <c r="IO721"/>
      <c r="IP721"/>
      <c r="IQ721"/>
      <c r="IR721"/>
      <c r="IS721"/>
      <c r="IT721"/>
      <c r="IU721"/>
      <c r="IV721"/>
    </row>
    <row r="722" spans="1:256" ht="12.75" hidden="1" customHeight="1" x14ac:dyDescent="0.2">
      <c r="A722" s="583"/>
      <c r="B722" s="585" t="s">
        <v>823</v>
      </c>
      <c r="C722" s="555">
        <f>C723+C726+C730</f>
        <v>61950000</v>
      </c>
      <c r="D722" s="581">
        <f>D723+D726+D730</f>
        <v>64950000</v>
      </c>
      <c r="E722" s="581">
        <f>E723+E726+E730</f>
        <v>65750000</v>
      </c>
      <c r="F722" s="582">
        <f>F723+F726+F730</f>
        <v>30990033.010000002</v>
      </c>
      <c r="G722" s="555">
        <f>G723+G726+G730</f>
        <v>12834000</v>
      </c>
      <c r="H722"/>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c r="HK722"/>
      <c r="HL722"/>
      <c r="HM722"/>
      <c r="HN722"/>
      <c r="HO722"/>
      <c r="HP722"/>
      <c r="HQ722"/>
      <c r="HR722"/>
      <c r="HS722"/>
      <c r="HT722"/>
      <c r="HU722"/>
      <c r="HV722"/>
      <c r="HW722"/>
      <c r="HX722"/>
      <c r="HY722"/>
      <c r="HZ722"/>
      <c r="IA722"/>
      <c r="IB722"/>
      <c r="IC722"/>
      <c r="ID722"/>
      <c r="IE722"/>
      <c r="IF722"/>
      <c r="IG722"/>
      <c r="IH722"/>
      <c r="II722"/>
      <c r="IJ722"/>
      <c r="IK722"/>
      <c r="IL722"/>
      <c r="IM722"/>
      <c r="IN722"/>
      <c r="IO722"/>
      <c r="IP722"/>
      <c r="IQ722"/>
      <c r="IR722"/>
      <c r="IS722"/>
      <c r="IT722"/>
      <c r="IU722"/>
      <c r="IV722"/>
    </row>
    <row r="723" spans="1:256" ht="12.75" hidden="1" customHeight="1" x14ac:dyDescent="0.2">
      <c r="A723" s="583"/>
      <c r="B723" s="557" t="s">
        <v>807</v>
      </c>
      <c r="C723" s="558">
        <f>C724</f>
        <v>52000000</v>
      </c>
      <c r="D723" s="562">
        <f>D724</f>
        <v>55000000</v>
      </c>
      <c r="E723" s="579">
        <v>56800000</v>
      </c>
      <c r="F723" s="582">
        <f>SUM(F724:F725)</f>
        <v>25198915.960000001</v>
      </c>
      <c r="G723" s="558">
        <f>SUM(G724:G725)</f>
        <v>800000</v>
      </c>
      <c r="H723"/>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c r="HJ723"/>
      <c r="HK723"/>
      <c r="HL723"/>
      <c r="HM723"/>
      <c r="HN723"/>
      <c r="HO723"/>
      <c r="HP723"/>
      <c r="HQ723"/>
      <c r="HR723"/>
      <c r="HS723"/>
      <c r="HT723"/>
      <c r="HU723"/>
      <c r="HV723"/>
      <c r="HW723"/>
      <c r="HX723"/>
      <c r="HY723"/>
      <c r="HZ723"/>
      <c r="IA723"/>
      <c r="IB723"/>
      <c r="IC723"/>
      <c r="ID723"/>
      <c r="IE723"/>
      <c r="IF723"/>
      <c r="IG723"/>
      <c r="IH723"/>
      <c r="II723"/>
      <c r="IJ723"/>
      <c r="IK723"/>
      <c r="IL723"/>
      <c r="IM723"/>
      <c r="IN723"/>
      <c r="IO723"/>
      <c r="IP723"/>
      <c r="IQ723"/>
      <c r="IR723"/>
      <c r="IS723"/>
      <c r="IT723"/>
      <c r="IU723"/>
      <c r="IV723"/>
    </row>
    <row r="724" spans="1:256" ht="12.75" hidden="1" customHeight="1" x14ac:dyDescent="0.2">
      <c r="A724" s="583"/>
      <c r="B724" s="561" t="s">
        <v>824</v>
      </c>
      <c r="C724" s="560">
        <v>52000000</v>
      </c>
      <c r="D724" s="562">
        <f>52000000+3000000</f>
        <v>55000000</v>
      </c>
      <c r="E724" s="579">
        <v>56800000</v>
      </c>
      <c r="F724" s="580">
        <v>25198915.960000001</v>
      </c>
      <c r="G724" s="127">
        <v>0</v>
      </c>
      <c r="H724"/>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c r="FS724"/>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c r="HE724"/>
      <c r="HF724"/>
      <c r="HG724"/>
      <c r="HH724"/>
      <c r="HI724"/>
      <c r="HJ724"/>
      <c r="HK724"/>
      <c r="HL724"/>
      <c r="HM724"/>
      <c r="HN724"/>
      <c r="HO724"/>
      <c r="HP724"/>
      <c r="HQ724"/>
      <c r="HR724"/>
      <c r="HS724"/>
      <c r="HT724"/>
      <c r="HU724"/>
      <c r="HV724"/>
      <c r="HW724"/>
      <c r="HX724"/>
      <c r="HY724"/>
      <c r="HZ724"/>
      <c r="IA724"/>
      <c r="IB724"/>
      <c r="IC724"/>
      <c r="ID724"/>
      <c r="IE724"/>
      <c r="IF724"/>
      <c r="IG724"/>
      <c r="IH724"/>
      <c r="II724"/>
      <c r="IJ724"/>
      <c r="IK724"/>
      <c r="IL724"/>
      <c r="IM724"/>
      <c r="IN724"/>
      <c r="IO724"/>
      <c r="IP724"/>
      <c r="IQ724"/>
      <c r="IR724"/>
      <c r="IS724"/>
      <c r="IT724"/>
      <c r="IU724"/>
      <c r="IV724"/>
    </row>
    <row r="725" spans="1:256" ht="12.75" hidden="1" customHeight="1" x14ac:dyDescent="0.2">
      <c r="A725" s="583"/>
      <c r="B725" s="586" t="s">
        <v>825</v>
      </c>
      <c r="C725" s="560"/>
      <c r="D725" s="562"/>
      <c r="E725" s="564"/>
      <c r="F725" s="580"/>
      <c r="G725" s="127">
        <v>800000</v>
      </c>
      <c r="H725"/>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c r="HJ725"/>
      <c r="HK725"/>
      <c r="HL725"/>
      <c r="HM725"/>
      <c r="HN725"/>
      <c r="HO725"/>
      <c r="HP725"/>
      <c r="HQ725"/>
      <c r="HR725"/>
      <c r="HS725"/>
      <c r="HT725"/>
      <c r="HU725"/>
      <c r="HV725"/>
      <c r="HW725"/>
      <c r="HX725"/>
      <c r="HY725"/>
      <c r="HZ725"/>
      <c r="IA725"/>
      <c r="IB725"/>
      <c r="IC725"/>
      <c r="ID725"/>
      <c r="IE725"/>
      <c r="IF725"/>
      <c r="IG725"/>
      <c r="IH725"/>
      <c r="II725"/>
      <c r="IJ725"/>
      <c r="IK725"/>
      <c r="IL725"/>
      <c r="IM725"/>
      <c r="IN725"/>
      <c r="IO725"/>
      <c r="IP725"/>
      <c r="IQ725"/>
      <c r="IR725"/>
      <c r="IS725"/>
      <c r="IT725"/>
      <c r="IU725"/>
      <c r="IV725"/>
    </row>
    <row r="726" spans="1:256" ht="12.75" hidden="1" customHeight="1" x14ac:dyDescent="0.2">
      <c r="A726" s="583"/>
      <c r="B726" s="557" t="s">
        <v>819</v>
      </c>
      <c r="C726" s="560">
        <f>C727</f>
        <v>9450000</v>
      </c>
      <c r="D726" s="562">
        <f>D727</f>
        <v>9450000</v>
      </c>
      <c r="E726" s="564">
        <v>8450000</v>
      </c>
      <c r="F726" s="582">
        <f>F727</f>
        <v>5573946.25</v>
      </c>
      <c r="G726" s="560">
        <f>SUM(G727:G729)</f>
        <v>9884000</v>
      </c>
      <c r="H726"/>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c r="HJ726"/>
      <c r="HK726"/>
      <c r="HL726"/>
      <c r="HM726"/>
      <c r="HN726"/>
      <c r="HO726"/>
      <c r="HP726"/>
      <c r="HQ726"/>
      <c r="HR726"/>
      <c r="HS726"/>
      <c r="HT726"/>
      <c r="HU726"/>
      <c r="HV726"/>
      <c r="HW726"/>
      <c r="HX726"/>
      <c r="HY726"/>
      <c r="HZ726"/>
      <c r="IA726"/>
      <c r="IB726"/>
      <c r="IC726"/>
      <c r="ID726"/>
      <c r="IE726"/>
      <c r="IF726"/>
      <c r="IG726"/>
      <c r="IH726"/>
      <c r="II726"/>
      <c r="IJ726"/>
      <c r="IK726"/>
      <c r="IL726"/>
      <c r="IM726"/>
      <c r="IN726"/>
      <c r="IO726"/>
      <c r="IP726"/>
      <c r="IQ726"/>
      <c r="IR726"/>
      <c r="IS726"/>
      <c r="IT726"/>
      <c r="IU726"/>
      <c r="IV726"/>
    </row>
    <row r="727" spans="1:256" ht="12.75" hidden="1" customHeight="1" x14ac:dyDescent="0.2">
      <c r="A727" s="583"/>
      <c r="B727" s="557" t="s">
        <v>826</v>
      </c>
      <c r="C727" s="560">
        <f>9750000-300000</f>
        <v>9450000</v>
      </c>
      <c r="D727" s="562">
        <f>9750000-300000</f>
        <v>9450000</v>
      </c>
      <c r="E727" s="564">
        <v>8450000</v>
      </c>
      <c r="F727" s="580">
        <v>5573946.25</v>
      </c>
      <c r="G727" s="127">
        <v>9850000</v>
      </c>
      <c r="H727"/>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c r="FS727"/>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c r="HE727"/>
      <c r="HF727"/>
      <c r="HG727"/>
      <c r="HH727"/>
      <c r="HI727"/>
      <c r="HJ727"/>
      <c r="HK727"/>
      <c r="HL727"/>
      <c r="HM727"/>
      <c r="HN727"/>
      <c r="HO727"/>
      <c r="HP727"/>
      <c r="HQ727"/>
      <c r="HR727"/>
      <c r="HS727"/>
      <c r="HT727"/>
      <c r="HU727"/>
      <c r="HV727"/>
      <c r="HW727"/>
      <c r="HX727"/>
      <c r="HY727"/>
      <c r="HZ727"/>
      <c r="IA727"/>
      <c r="IB727"/>
      <c r="IC727"/>
      <c r="ID727"/>
      <c r="IE727"/>
      <c r="IF727"/>
      <c r="IG727"/>
      <c r="IH727"/>
      <c r="II727"/>
      <c r="IJ727"/>
      <c r="IK727"/>
      <c r="IL727"/>
      <c r="IM727"/>
      <c r="IN727"/>
      <c r="IO727"/>
      <c r="IP727"/>
      <c r="IQ727"/>
      <c r="IR727"/>
      <c r="IS727"/>
      <c r="IT727"/>
      <c r="IU727"/>
      <c r="IV727"/>
    </row>
    <row r="728" spans="1:256" ht="12.75" hidden="1" customHeight="1" x14ac:dyDescent="0.2">
      <c r="A728" s="583"/>
      <c r="B728" s="557" t="s">
        <v>827</v>
      </c>
      <c r="C728" s="558"/>
      <c r="D728" s="562"/>
      <c r="E728" s="564"/>
      <c r="F728" s="580"/>
      <c r="G728" s="127">
        <v>34000</v>
      </c>
      <c r="H728"/>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c r="HJ728"/>
      <c r="HK728"/>
      <c r="HL728"/>
      <c r="HM728"/>
      <c r="HN728"/>
      <c r="HO728"/>
      <c r="HP728"/>
      <c r="HQ728"/>
      <c r="HR728"/>
      <c r="HS728"/>
      <c r="HT728"/>
      <c r="HU728"/>
      <c r="HV728"/>
      <c r="HW728"/>
      <c r="HX728"/>
      <c r="HY728"/>
      <c r="HZ728"/>
      <c r="IA728"/>
      <c r="IB728"/>
      <c r="IC728"/>
      <c r="ID728"/>
      <c r="IE728"/>
      <c r="IF728"/>
      <c r="IG728"/>
      <c r="IH728"/>
      <c r="II728"/>
      <c r="IJ728"/>
      <c r="IK728"/>
      <c r="IL728"/>
      <c r="IM728"/>
      <c r="IN728"/>
      <c r="IO728"/>
      <c r="IP728"/>
      <c r="IQ728"/>
      <c r="IR728"/>
      <c r="IS728"/>
      <c r="IT728"/>
      <c r="IU728"/>
      <c r="IV728"/>
    </row>
    <row r="729" spans="1:256" ht="12.75" hidden="1" customHeight="1" x14ac:dyDescent="0.2">
      <c r="A729" s="583"/>
      <c r="B729" s="561" t="s">
        <v>828</v>
      </c>
      <c r="C729" s="560"/>
      <c r="D729" s="562"/>
      <c r="E729" s="564"/>
      <c r="F729" s="580"/>
      <c r="G729" s="127">
        <v>0</v>
      </c>
      <c r="H729"/>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c r="HJ729"/>
      <c r="HK729"/>
      <c r="HL729"/>
      <c r="HM729"/>
      <c r="HN729"/>
      <c r="HO729"/>
      <c r="HP729"/>
      <c r="HQ729"/>
      <c r="HR729"/>
      <c r="HS729"/>
      <c r="HT729"/>
      <c r="HU729"/>
      <c r="HV729"/>
      <c r="HW729"/>
      <c r="HX729"/>
      <c r="HY729"/>
      <c r="HZ729"/>
      <c r="IA729"/>
      <c r="IB729"/>
      <c r="IC729"/>
      <c r="ID729"/>
      <c r="IE729"/>
      <c r="IF729"/>
      <c r="IG729"/>
      <c r="IH729"/>
      <c r="II729"/>
      <c r="IJ729"/>
      <c r="IK729"/>
      <c r="IL729"/>
      <c r="IM729"/>
      <c r="IN729"/>
      <c r="IO729"/>
      <c r="IP729"/>
      <c r="IQ729"/>
      <c r="IR729"/>
      <c r="IS729"/>
      <c r="IT729"/>
      <c r="IU729"/>
      <c r="IV729"/>
    </row>
    <row r="730" spans="1:256" ht="12.75" hidden="1" customHeight="1" x14ac:dyDescent="0.2">
      <c r="A730" s="583"/>
      <c r="B730" s="557" t="s">
        <v>829</v>
      </c>
      <c r="C730" s="558">
        <f>C731</f>
        <v>500000</v>
      </c>
      <c r="D730" s="562">
        <f>D731</f>
        <v>500000</v>
      </c>
      <c r="E730" s="564">
        <v>500000</v>
      </c>
      <c r="F730" s="582">
        <f>F731</f>
        <v>217170.8</v>
      </c>
      <c r="G730" s="560">
        <f>SUM(G731:G733)</f>
        <v>2150000</v>
      </c>
      <c r="H730"/>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c r="HJ730"/>
      <c r="HK730"/>
      <c r="HL730"/>
      <c r="HM730"/>
      <c r="HN730"/>
      <c r="HO730"/>
      <c r="HP730"/>
      <c r="HQ730"/>
      <c r="HR730"/>
      <c r="HS730"/>
      <c r="HT730"/>
      <c r="HU730"/>
      <c r="HV730"/>
      <c r="HW730"/>
      <c r="HX730"/>
      <c r="HY730"/>
      <c r="HZ730"/>
      <c r="IA730"/>
      <c r="IB730"/>
      <c r="IC730"/>
      <c r="ID730"/>
      <c r="IE730"/>
      <c r="IF730"/>
      <c r="IG730"/>
      <c r="IH730"/>
      <c r="II730"/>
      <c r="IJ730"/>
      <c r="IK730"/>
      <c r="IL730"/>
      <c r="IM730"/>
      <c r="IN730"/>
      <c r="IO730"/>
      <c r="IP730"/>
      <c r="IQ730"/>
      <c r="IR730"/>
      <c r="IS730"/>
      <c r="IT730"/>
      <c r="IU730"/>
      <c r="IV730"/>
    </row>
    <row r="731" spans="1:256" ht="12.75" hidden="1" customHeight="1" x14ac:dyDescent="0.2">
      <c r="A731" s="583"/>
      <c r="B731" s="557" t="s">
        <v>830</v>
      </c>
      <c r="C731" s="558">
        <v>500000</v>
      </c>
      <c r="D731" s="562">
        <v>500000</v>
      </c>
      <c r="E731" s="564">
        <v>500000</v>
      </c>
      <c r="F731" s="580">
        <v>217170.8</v>
      </c>
      <c r="G731" s="127">
        <v>500000</v>
      </c>
      <c r="H731"/>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c r="FS731"/>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c r="HE731"/>
      <c r="HF731"/>
      <c r="HG731"/>
      <c r="HH731"/>
      <c r="HI731"/>
      <c r="HJ731"/>
      <c r="HK731"/>
      <c r="HL731"/>
      <c r="HM731"/>
      <c r="HN731"/>
      <c r="HO731"/>
      <c r="HP731"/>
      <c r="HQ731"/>
      <c r="HR731"/>
      <c r="HS731"/>
      <c r="HT731"/>
      <c r="HU731"/>
      <c r="HV731"/>
      <c r="HW731"/>
      <c r="HX731"/>
      <c r="HY731"/>
      <c r="HZ731"/>
      <c r="IA731"/>
      <c r="IB731"/>
      <c r="IC731"/>
      <c r="ID731"/>
      <c r="IE731"/>
      <c r="IF731"/>
      <c r="IG731"/>
      <c r="IH731"/>
      <c r="II731"/>
      <c r="IJ731"/>
      <c r="IK731"/>
      <c r="IL731"/>
      <c r="IM731"/>
      <c r="IN731"/>
      <c r="IO731"/>
      <c r="IP731"/>
      <c r="IQ731"/>
      <c r="IR731"/>
      <c r="IS731"/>
      <c r="IT731"/>
      <c r="IU731"/>
      <c r="IV731"/>
    </row>
    <row r="732" spans="1:256" ht="12.75" hidden="1" customHeight="1" x14ac:dyDescent="0.2">
      <c r="A732" s="587"/>
      <c r="B732" s="557" t="s">
        <v>831</v>
      </c>
      <c r="C732" s="558"/>
      <c r="D732" s="562"/>
      <c r="E732" s="564"/>
      <c r="F732" s="580"/>
      <c r="G732" s="127">
        <v>900000</v>
      </c>
      <c r="H732"/>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c r="EZ732"/>
      <c r="FA732"/>
      <c r="FB732"/>
      <c r="FC732"/>
      <c r="FD732"/>
      <c r="FE732"/>
      <c r="FF732"/>
      <c r="FG732"/>
      <c r="FH732"/>
      <c r="FI732"/>
      <c r="FJ732"/>
      <c r="FK732"/>
      <c r="FL732"/>
      <c r="FM732"/>
      <c r="FN732"/>
      <c r="FO732"/>
      <c r="FP732"/>
      <c r="FQ732"/>
      <c r="FR732"/>
      <c r="FS732"/>
      <c r="FT732"/>
      <c r="FU732"/>
      <c r="FV732"/>
      <c r="FW732"/>
      <c r="FX732"/>
      <c r="FY732"/>
      <c r="FZ732"/>
      <c r="GA732"/>
      <c r="GB732"/>
      <c r="GC732"/>
      <c r="GD732"/>
      <c r="GE732"/>
      <c r="GF732"/>
      <c r="GG732"/>
      <c r="GH732"/>
      <c r="GI732"/>
      <c r="GJ732"/>
      <c r="GK732"/>
      <c r="GL732"/>
      <c r="GM732"/>
      <c r="GN732"/>
      <c r="GO732"/>
      <c r="GP732"/>
      <c r="GQ732"/>
      <c r="GR732"/>
      <c r="GS732"/>
      <c r="GT732"/>
      <c r="GU732"/>
      <c r="GV732"/>
      <c r="GW732"/>
      <c r="GX732"/>
      <c r="GY732"/>
      <c r="GZ732"/>
      <c r="HA732"/>
      <c r="HB732"/>
      <c r="HC732"/>
      <c r="HD732"/>
      <c r="HE732"/>
      <c r="HF732"/>
      <c r="HG732"/>
      <c r="HH732"/>
      <c r="HI732"/>
      <c r="HJ732"/>
      <c r="HK732"/>
      <c r="HL732"/>
      <c r="HM732"/>
      <c r="HN732"/>
      <c r="HO732"/>
      <c r="HP732"/>
      <c r="HQ732"/>
      <c r="HR732"/>
      <c r="HS732"/>
      <c r="HT732"/>
      <c r="HU732"/>
      <c r="HV732"/>
      <c r="HW732"/>
      <c r="HX732"/>
      <c r="HY732"/>
      <c r="HZ732"/>
      <c r="IA732"/>
      <c r="IB732"/>
      <c r="IC732"/>
      <c r="ID732"/>
      <c r="IE732"/>
      <c r="IF732"/>
      <c r="IG732"/>
      <c r="IH732"/>
      <c r="II732"/>
      <c r="IJ732"/>
      <c r="IK732"/>
      <c r="IL732"/>
      <c r="IM732"/>
      <c r="IN732"/>
      <c r="IO732"/>
      <c r="IP732"/>
      <c r="IQ732"/>
      <c r="IR732"/>
      <c r="IS732"/>
      <c r="IT732"/>
      <c r="IU732"/>
      <c r="IV732"/>
    </row>
    <row r="733" spans="1:256" ht="12.75" hidden="1" customHeight="1" x14ac:dyDescent="0.2">
      <c r="A733" s="583"/>
      <c r="B733" s="557" t="s">
        <v>832</v>
      </c>
      <c r="C733" s="560"/>
      <c r="D733" s="562"/>
      <c r="E733" s="564"/>
      <c r="F733" s="580"/>
      <c r="G733" s="127">
        <v>750000</v>
      </c>
      <c r="H733"/>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c r="FS733"/>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c r="HE733"/>
      <c r="HF733"/>
      <c r="HG733"/>
      <c r="HH733"/>
      <c r="HI733"/>
      <c r="HJ733"/>
      <c r="HK733"/>
      <c r="HL733"/>
      <c r="HM733"/>
      <c r="HN733"/>
      <c r="HO733"/>
      <c r="HP733"/>
      <c r="HQ733"/>
      <c r="HR733"/>
      <c r="HS733"/>
      <c r="HT733"/>
      <c r="HU733"/>
      <c r="HV733"/>
      <c r="HW733"/>
      <c r="HX733"/>
      <c r="HY733"/>
      <c r="HZ733"/>
      <c r="IA733"/>
      <c r="IB733"/>
      <c r="IC733"/>
      <c r="ID733"/>
      <c r="IE733"/>
      <c r="IF733"/>
      <c r="IG733"/>
      <c r="IH733"/>
      <c r="II733"/>
      <c r="IJ733"/>
      <c r="IK733"/>
      <c r="IL733"/>
      <c r="IM733"/>
      <c r="IN733"/>
      <c r="IO733"/>
      <c r="IP733"/>
      <c r="IQ733"/>
      <c r="IR733"/>
      <c r="IS733"/>
      <c r="IT733"/>
      <c r="IU733"/>
      <c r="IV733"/>
    </row>
    <row r="734" spans="1:256" s="588" customFormat="1" ht="12.75" hidden="1" customHeight="1" x14ac:dyDescent="0.2">
      <c r="A734" s="551">
        <v>3612</v>
      </c>
      <c r="B734" s="552" t="s">
        <v>833</v>
      </c>
      <c r="C734" s="553">
        <f>C735+C746</f>
        <v>49543000</v>
      </c>
      <c r="D734" s="581">
        <f>D735+D746</f>
        <v>45394000</v>
      </c>
      <c r="E734" s="581">
        <f>E735+E746</f>
        <v>41541631.149999999</v>
      </c>
      <c r="F734" s="582">
        <f>F735+F746</f>
        <v>22992944.09</v>
      </c>
      <c r="G734" s="553">
        <f>G735+G746</f>
        <v>129014000</v>
      </c>
    </row>
    <row r="735" spans="1:256" ht="12.75" hidden="1" customHeight="1" x14ac:dyDescent="0.2">
      <c r="A735" s="551"/>
      <c r="B735" s="557" t="s">
        <v>807</v>
      </c>
      <c r="C735" s="558">
        <f>SUM(C736:C740)</f>
        <v>4483000</v>
      </c>
      <c r="D735" s="562">
        <f>SUM(D736:D740)</f>
        <v>3333000</v>
      </c>
      <c r="E735" s="562">
        <f>SUM(E736:E740)</f>
        <v>2344298.37</v>
      </c>
      <c r="F735" s="582">
        <f>SUM(F736:F745)</f>
        <v>757778.37</v>
      </c>
      <c r="G735" s="558">
        <f>SUM(G736:G745)</f>
        <v>89954000</v>
      </c>
      <c r="H735"/>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c r="EZ735"/>
      <c r="FA735"/>
      <c r="FB735"/>
      <c r="FC735"/>
      <c r="FD735"/>
      <c r="FE735"/>
      <c r="FF735"/>
      <c r="FG735"/>
      <c r="FH735"/>
      <c r="FI735"/>
      <c r="FJ735"/>
      <c r="FK735"/>
      <c r="FL735"/>
      <c r="FM735"/>
      <c r="FN735"/>
      <c r="FO735"/>
      <c r="FP735"/>
      <c r="FQ735"/>
      <c r="FR735"/>
      <c r="FS735"/>
      <c r="FT735"/>
      <c r="FU735"/>
      <c r="FV735"/>
      <c r="FW735"/>
      <c r="FX735"/>
      <c r="FY735"/>
      <c r="FZ735"/>
      <c r="GA735"/>
      <c r="GB735"/>
      <c r="GC735"/>
      <c r="GD735"/>
      <c r="GE735"/>
      <c r="GF735"/>
      <c r="GG735"/>
      <c r="GH735"/>
      <c r="GI735"/>
      <c r="GJ735"/>
      <c r="GK735"/>
      <c r="GL735"/>
      <c r="GM735"/>
      <c r="GN735"/>
      <c r="GO735"/>
      <c r="GP735"/>
      <c r="GQ735"/>
      <c r="GR735"/>
      <c r="GS735"/>
      <c r="GT735"/>
      <c r="GU735"/>
      <c r="GV735"/>
      <c r="GW735"/>
      <c r="GX735"/>
      <c r="GY735"/>
      <c r="GZ735"/>
      <c r="HA735"/>
      <c r="HB735"/>
      <c r="HC735"/>
      <c r="HD735"/>
      <c r="HE735"/>
      <c r="HF735"/>
      <c r="HG735"/>
      <c r="HH735"/>
      <c r="HI735"/>
      <c r="HJ735"/>
      <c r="HK735"/>
      <c r="HL735"/>
      <c r="HM735"/>
      <c r="HN735"/>
      <c r="HO735"/>
      <c r="HP735"/>
      <c r="HQ735"/>
      <c r="HR735"/>
      <c r="HS735"/>
      <c r="HT735"/>
      <c r="HU735"/>
      <c r="HV735"/>
      <c r="HW735"/>
      <c r="HX735"/>
      <c r="HY735"/>
      <c r="HZ735"/>
      <c r="IA735"/>
      <c r="IB735"/>
      <c r="IC735"/>
      <c r="ID735"/>
      <c r="IE735"/>
      <c r="IF735"/>
      <c r="IG735"/>
      <c r="IH735"/>
      <c r="II735"/>
      <c r="IJ735"/>
      <c r="IK735"/>
      <c r="IL735"/>
      <c r="IM735"/>
      <c r="IN735"/>
      <c r="IO735"/>
      <c r="IP735"/>
      <c r="IQ735"/>
      <c r="IR735"/>
      <c r="IS735"/>
      <c r="IT735"/>
      <c r="IU735"/>
      <c r="IV735"/>
    </row>
    <row r="736" spans="1:256" ht="12.75" hidden="1" customHeight="1" x14ac:dyDescent="0.2">
      <c r="A736" s="551"/>
      <c r="B736" s="557" t="s">
        <v>834</v>
      </c>
      <c r="C736" s="558">
        <f>3300000-517000</f>
        <v>2783000</v>
      </c>
      <c r="D736" s="562">
        <f>3300000-517000-900000</f>
        <v>1883000</v>
      </c>
      <c r="E736" s="564">
        <v>1050000</v>
      </c>
      <c r="F736" s="589">
        <v>0</v>
      </c>
      <c r="G736" s="590">
        <v>654000</v>
      </c>
      <c r="H736"/>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c r="FS736"/>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c r="HE736"/>
      <c r="HF736"/>
      <c r="HG736"/>
      <c r="HH736"/>
      <c r="HI736"/>
      <c r="HJ736"/>
      <c r="HK736"/>
      <c r="HL736"/>
      <c r="HM736"/>
      <c r="HN736"/>
      <c r="HO736"/>
      <c r="HP736"/>
      <c r="HQ736"/>
      <c r="HR736"/>
      <c r="HS736"/>
      <c r="HT736"/>
      <c r="HU736"/>
      <c r="HV736"/>
      <c r="HW736"/>
      <c r="HX736"/>
      <c r="HY736"/>
      <c r="HZ736"/>
      <c r="IA736"/>
      <c r="IB736"/>
      <c r="IC736"/>
      <c r="ID736"/>
      <c r="IE736"/>
      <c r="IF736"/>
      <c r="IG736"/>
      <c r="IH736"/>
      <c r="II736"/>
      <c r="IJ736"/>
      <c r="IK736"/>
      <c r="IL736"/>
      <c r="IM736"/>
      <c r="IN736"/>
      <c r="IO736"/>
      <c r="IP736"/>
      <c r="IQ736"/>
      <c r="IR736"/>
      <c r="IS736"/>
      <c r="IT736"/>
      <c r="IU736"/>
      <c r="IV736"/>
    </row>
    <row r="737" spans="1:256" ht="12.75" hidden="1" customHeight="1" x14ac:dyDescent="0.2">
      <c r="A737" s="551"/>
      <c r="B737" s="561" t="s">
        <v>835</v>
      </c>
      <c r="C737" s="560">
        <v>1000000</v>
      </c>
      <c r="D737" s="562">
        <f>1000000-250000</f>
        <v>750000</v>
      </c>
      <c r="E737" s="564">
        <v>651298.37</v>
      </c>
      <c r="F737" s="580">
        <v>651298.37</v>
      </c>
      <c r="G737" s="127">
        <v>0</v>
      </c>
      <c r="H737"/>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c r="EZ737"/>
      <c r="FA737"/>
      <c r="FB737"/>
      <c r="FC737"/>
      <c r="FD737"/>
      <c r="FE737"/>
      <c r="FF737"/>
      <c r="FG737"/>
      <c r="FH737"/>
      <c r="FI737"/>
      <c r="FJ737"/>
      <c r="FK737"/>
      <c r="FL737"/>
      <c r="FM737"/>
      <c r="FN737"/>
      <c r="FO737"/>
      <c r="FP737"/>
      <c r="FQ737"/>
      <c r="FR737"/>
      <c r="FS737"/>
      <c r="FT737"/>
      <c r="FU737"/>
      <c r="FV737"/>
      <c r="FW737"/>
      <c r="FX737"/>
      <c r="FY737"/>
      <c r="FZ737"/>
      <c r="GA737"/>
      <c r="GB737"/>
      <c r="GC737"/>
      <c r="GD737"/>
      <c r="GE737"/>
      <c r="GF737"/>
      <c r="GG737"/>
      <c r="GH737"/>
      <c r="GI737"/>
      <c r="GJ737"/>
      <c r="GK737"/>
      <c r="GL737"/>
      <c r="GM737"/>
      <c r="GN737"/>
      <c r="GO737"/>
      <c r="GP737"/>
      <c r="GQ737"/>
      <c r="GR737"/>
      <c r="GS737"/>
      <c r="GT737"/>
      <c r="GU737"/>
      <c r="GV737"/>
      <c r="GW737"/>
      <c r="GX737"/>
      <c r="GY737"/>
      <c r="GZ737"/>
      <c r="HA737"/>
      <c r="HB737"/>
      <c r="HC737"/>
      <c r="HD737"/>
      <c r="HE737"/>
      <c r="HF737"/>
      <c r="HG737"/>
      <c r="HH737"/>
      <c r="HI737"/>
      <c r="HJ737"/>
      <c r="HK737"/>
      <c r="HL737"/>
      <c r="HM737"/>
      <c r="HN737"/>
      <c r="HO737"/>
      <c r="HP737"/>
      <c r="HQ737"/>
      <c r="HR737"/>
      <c r="HS737"/>
      <c r="HT737"/>
      <c r="HU737"/>
      <c r="HV737"/>
      <c r="HW737"/>
      <c r="HX737"/>
      <c r="HY737"/>
      <c r="HZ737"/>
      <c r="IA737"/>
      <c r="IB737"/>
      <c r="IC737"/>
      <c r="ID737"/>
      <c r="IE737"/>
      <c r="IF737"/>
      <c r="IG737"/>
      <c r="IH737"/>
      <c r="II737"/>
      <c r="IJ737"/>
      <c r="IK737"/>
      <c r="IL737"/>
      <c r="IM737"/>
      <c r="IN737"/>
      <c r="IO737"/>
      <c r="IP737"/>
      <c r="IQ737"/>
      <c r="IR737"/>
      <c r="IS737"/>
      <c r="IT737"/>
      <c r="IU737"/>
      <c r="IV737"/>
    </row>
    <row r="738" spans="1:256" ht="12.75" hidden="1" customHeight="1" x14ac:dyDescent="0.2">
      <c r="A738" s="551" t="s">
        <v>448</v>
      </c>
      <c r="B738" s="561" t="s">
        <v>836</v>
      </c>
      <c r="C738" s="558">
        <f>8000000-8000000</f>
        <v>0</v>
      </c>
      <c r="D738" s="591">
        <v>107000</v>
      </c>
      <c r="E738" s="592">
        <v>107000</v>
      </c>
      <c r="F738" s="580">
        <v>106480</v>
      </c>
      <c r="G738" s="127">
        <v>0</v>
      </c>
      <c r="H738"/>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c r="EY738"/>
      <c r="EZ738"/>
      <c r="FA738"/>
      <c r="FB738"/>
      <c r="FC738"/>
      <c r="FD738"/>
      <c r="FE738"/>
      <c r="FF738"/>
      <c r="FG738"/>
      <c r="FH738"/>
      <c r="FI738"/>
      <c r="FJ738"/>
      <c r="FK738"/>
      <c r="FL738"/>
      <c r="FM738"/>
      <c r="FN738"/>
      <c r="FO738"/>
      <c r="FP738"/>
      <c r="FQ738"/>
      <c r="FR738"/>
      <c r="FS738"/>
      <c r="FT738"/>
      <c r="FU738"/>
      <c r="FV738"/>
      <c r="FW738"/>
      <c r="FX738"/>
      <c r="FY738"/>
      <c r="FZ738"/>
      <c r="GA738"/>
      <c r="GB738"/>
      <c r="GC738"/>
      <c r="GD738"/>
      <c r="GE738"/>
      <c r="GF738"/>
      <c r="GG738"/>
      <c r="GH738"/>
      <c r="GI738"/>
      <c r="GJ738"/>
      <c r="GK738"/>
      <c r="GL738"/>
      <c r="GM738"/>
      <c r="GN738"/>
      <c r="GO738"/>
      <c r="GP738"/>
      <c r="GQ738"/>
      <c r="GR738"/>
      <c r="GS738"/>
      <c r="GT738"/>
      <c r="GU738"/>
      <c r="GV738"/>
      <c r="GW738"/>
      <c r="GX738"/>
      <c r="GY738"/>
      <c r="GZ738"/>
      <c r="HA738"/>
      <c r="HB738"/>
      <c r="HC738"/>
      <c r="HD738"/>
      <c r="HE738"/>
      <c r="HF738"/>
      <c r="HG738"/>
      <c r="HH738"/>
      <c r="HI738"/>
      <c r="HJ738"/>
      <c r="HK738"/>
      <c r="HL738"/>
      <c r="HM738"/>
      <c r="HN738"/>
      <c r="HO738"/>
      <c r="HP738"/>
      <c r="HQ738"/>
      <c r="HR738"/>
      <c r="HS738"/>
      <c r="HT738"/>
      <c r="HU738"/>
      <c r="HV738"/>
      <c r="HW738"/>
      <c r="HX738"/>
      <c r="HY738"/>
      <c r="HZ738"/>
      <c r="IA738"/>
      <c r="IB738"/>
      <c r="IC738"/>
      <c r="ID738"/>
      <c r="IE738"/>
      <c r="IF738"/>
      <c r="IG738"/>
      <c r="IH738"/>
      <c r="II738"/>
      <c r="IJ738"/>
      <c r="IK738"/>
      <c r="IL738"/>
      <c r="IM738"/>
      <c r="IN738"/>
      <c r="IO738"/>
      <c r="IP738"/>
      <c r="IQ738"/>
      <c r="IR738"/>
      <c r="IS738"/>
      <c r="IT738"/>
      <c r="IU738"/>
      <c r="IV738"/>
    </row>
    <row r="739" spans="1:256" ht="12.75" hidden="1" customHeight="1" x14ac:dyDescent="0.2">
      <c r="A739" s="551"/>
      <c r="B739" s="557" t="s">
        <v>837</v>
      </c>
      <c r="C739" s="558">
        <v>350000</v>
      </c>
      <c r="D739" s="591">
        <v>293000</v>
      </c>
      <c r="E739" s="592">
        <v>240000</v>
      </c>
      <c r="F739" s="589">
        <v>0</v>
      </c>
      <c r="G739" s="476">
        <v>0</v>
      </c>
      <c r="H739"/>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c r="EZ739"/>
      <c r="FA739"/>
      <c r="FB739"/>
      <c r="FC739"/>
      <c r="FD739"/>
      <c r="FE739"/>
      <c r="FF739"/>
      <c r="FG739"/>
      <c r="FH739"/>
      <c r="FI739"/>
      <c r="FJ739"/>
      <c r="FK739"/>
      <c r="FL739"/>
      <c r="FM739"/>
      <c r="FN739"/>
      <c r="FO739"/>
      <c r="FP739"/>
      <c r="FQ739"/>
      <c r="FR739"/>
      <c r="FS739"/>
      <c r="FT739"/>
      <c r="FU739"/>
      <c r="FV739"/>
      <c r="FW739"/>
      <c r="FX739"/>
      <c r="FY739"/>
      <c r="FZ739"/>
      <c r="GA739"/>
      <c r="GB739"/>
      <c r="GC739"/>
      <c r="GD739"/>
      <c r="GE739"/>
      <c r="GF739"/>
      <c r="GG739"/>
      <c r="GH739"/>
      <c r="GI739"/>
      <c r="GJ739"/>
      <c r="GK739"/>
      <c r="GL739"/>
      <c r="GM739"/>
      <c r="GN739"/>
      <c r="GO739"/>
      <c r="GP739"/>
      <c r="GQ739"/>
      <c r="GR739"/>
      <c r="GS739"/>
      <c r="GT739"/>
      <c r="GU739"/>
      <c r="GV739"/>
      <c r="GW739"/>
      <c r="GX739"/>
      <c r="GY739"/>
      <c r="GZ739"/>
      <c r="HA739"/>
      <c r="HB739"/>
      <c r="HC739"/>
      <c r="HD739"/>
      <c r="HE739"/>
      <c r="HF739"/>
      <c r="HG739"/>
      <c r="HH739"/>
      <c r="HI739"/>
      <c r="HJ739"/>
      <c r="HK739"/>
      <c r="HL739"/>
      <c r="HM739"/>
      <c r="HN739"/>
      <c r="HO739"/>
      <c r="HP739"/>
      <c r="HQ739"/>
      <c r="HR739"/>
      <c r="HS739"/>
      <c r="HT739"/>
      <c r="HU739"/>
      <c r="HV739"/>
      <c r="HW739"/>
      <c r="HX739"/>
      <c r="HY739"/>
      <c r="HZ739"/>
      <c r="IA739"/>
      <c r="IB739"/>
      <c r="IC739"/>
      <c r="ID739"/>
      <c r="IE739"/>
      <c r="IF739"/>
      <c r="IG739"/>
      <c r="IH739"/>
      <c r="II739"/>
      <c r="IJ739"/>
      <c r="IK739"/>
      <c r="IL739"/>
      <c r="IM739"/>
      <c r="IN739"/>
      <c r="IO739"/>
      <c r="IP739"/>
      <c r="IQ739"/>
      <c r="IR739"/>
      <c r="IS739"/>
      <c r="IT739"/>
      <c r="IU739"/>
      <c r="IV739"/>
    </row>
    <row r="740" spans="1:256" ht="12.75" hidden="1" customHeight="1" x14ac:dyDescent="0.2">
      <c r="A740" s="551"/>
      <c r="B740" s="557" t="s">
        <v>838</v>
      </c>
      <c r="C740" s="558">
        <v>350000</v>
      </c>
      <c r="D740" s="591">
        <v>300000</v>
      </c>
      <c r="E740" s="593">
        <v>296000</v>
      </c>
      <c r="F740" s="580">
        <v>0</v>
      </c>
      <c r="G740" s="127">
        <v>0</v>
      </c>
      <c r="H740"/>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c r="EZ740"/>
      <c r="FA740"/>
      <c r="FB740"/>
      <c r="FC740"/>
      <c r="FD740"/>
      <c r="FE740"/>
      <c r="FF740"/>
      <c r="FG740"/>
      <c r="FH740"/>
      <c r="FI740"/>
      <c r="FJ740"/>
      <c r="FK740"/>
      <c r="FL740"/>
      <c r="FM740"/>
      <c r="FN740"/>
      <c r="FO740"/>
      <c r="FP740"/>
      <c r="FQ740"/>
      <c r="FR740"/>
      <c r="FS740"/>
      <c r="FT740"/>
      <c r="FU740"/>
      <c r="FV740"/>
      <c r="FW740"/>
      <c r="FX740"/>
      <c r="FY740"/>
      <c r="FZ740"/>
      <c r="GA740"/>
      <c r="GB740"/>
      <c r="GC740"/>
      <c r="GD740"/>
      <c r="GE740"/>
      <c r="GF740"/>
      <c r="GG740"/>
      <c r="GH740"/>
      <c r="GI740"/>
      <c r="GJ740"/>
      <c r="GK740"/>
      <c r="GL740"/>
      <c r="GM740"/>
      <c r="GN740"/>
      <c r="GO740"/>
      <c r="GP740"/>
      <c r="GQ740"/>
      <c r="GR740"/>
      <c r="GS740"/>
      <c r="GT740"/>
      <c r="GU740"/>
      <c r="GV740"/>
      <c r="GW740"/>
      <c r="GX740"/>
      <c r="GY740"/>
      <c r="GZ740"/>
      <c r="HA740"/>
      <c r="HB740"/>
      <c r="HC740"/>
      <c r="HD740"/>
      <c r="HE740"/>
      <c r="HF740"/>
      <c r="HG740"/>
      <c r="HH740"/>
      <c r="HI740"/>
      <c r="HJ740"/>
      <c r="HK740"/>
      <c r="HL740"/>
      <c r="HM740"/>
      <c r="HN740"/>
      <c r="HO740"/>
      <c r="HP740"/>
      <c r="HQ740"/>
      <c r="HR740"/>
      <c r="HS740"/>
      <c r="HT740"/>
      <c r="HU740"/>
      <c r="HV740"/>
      <c r="HW740"/>
      <c r="HX740"/>
      <c r="HY740"/>
      <c r="HZ740"/>
      <c r="IA740"/>
      <c r="IB740"/>
      <c r="IC740"/>
      <c r="ID740"/>
      <c r="IE740"/>
      <c r="IF740"/>
      <c r="IG740"/>
      <c r="IH740"/>
      <c r="II740"/>
      <c r="IJ740"/>
      <c r="IK740"/>
      <c r="IL740"/>
      <c r="IM740"/>
      <c r="IN740"/>
      <c r="IO740"/>
      <c r="IP740"/>
      <c r="IQ740"/>
      <c r="IR740"/>
      <c r="IS740"/>
      <c r="IT740"/>
      <c r="IU740"/>
      <c r="IV740"/>
    </row>
    <row r="741" spans="1:256" ht="12.75" hidden="1" customHeight="1" x14ac:dyDescent="0.2">
      <c r="A741" s="594"/>
      <c r="B741" s="561" t="s">
        <v>839</v>
      </c>
      <c r="C741" s="558"/>
      <c r="D741" s="595"/>
      <c r="E741" s="596"/>
      <c r="F741" s="597"/>
      <c r="G741" s="598">
        <v>14500000</v>
      </c>
      <c r="H741"/>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c r="EY741"/>
      <c r="EZ741"/>
      <c r="FA741"/>
      <c r="FB741"/>
      <c r="FC741"/>
      <c r="FD741"/>
      <c r="FE741"/>
      <c r="FF741"/>
      <c r="FG741"/>
      <c r="FH741"/>
      <c r="FI741"/>
      <c r="FJ741"/>
      <c r="FK741"/>
      <c r="FL741"/>
      <c r="FM741"/>
      <c r="FN741"/>
      <c r="FO741"/>
      <c r="FP741"/>
      <c r="FQ741"/>
      <c r="FR741"/>
      <c r="FS741"/>
      <c r="FT741"/>
      <c r="FU741"/>
      <c r="FV741"/>
      <c r="FW741"/>
      <c r="FX741"/>
      <c r="FY741"/>
      <c r="FZ741"/>
      <c r="GA741"/>
      <c r="GB741"/>
      <c r="GC741"/>
      <c r="GD741"/>
      <c r="GE741"/>
      <c r="GF741"/>
      <c r="GG741"/>
      <c r="GH741"/>
      <c r="GI741"/>
      <c r="GJ741"/>
      <c r="GK741"/>
      <c r="GL741"/>
      <c r="GM741"/>
      <c r="GN741"/>
      <c r="GO741"/>
      <c r="GP741"/>
      <c r="GQ741"/>
      <c r="GR741"/>
      <c r="GS741"/>
      <c r="GT741"/>
      <c r="GU741"/>
      <c r="GV741"/>
      <c r="GW741"/>
      <c r="GX741"/>
      <c r="GY741"/>
      <c r="GZ741"/>
      <c r="HA741"/>
      <c r="HB741"/>
      <c r="HC741"/>
      <c r="HD741"/>
      <c r="HE741"/>
      <c r="HF741"/>
      <c r="HG741"/>
      <c r="HH741"/>
      <c r="HI741"/>
      <c r="HJ741"/>
      <c r="HK741"/>
      <c r="HL741"/>
      <c r="HM741"/>
      <c r="HN741"/>
      <c r="HO741"/>
      <c r="HP741"/>
      <c r="HQ741"/>
      <c r="HR741"/>
      <c r="HS741"/>
      <c r="HT741"/>
      <c r="HU741"/>
      <c r="HV741"/>
      <c r="HW741"/>
      <c r="HX741"/>
      <c r="HY741"/>
      <c r="HZ741"/>
      <c r="IA741"/>
      <c r="IB741"/>
      <c r="IC741"/>
      <c r="ID741"/>
      <c r="IE741"/>
      <c r="IF741"/>
      <c r="IG741"/>
      <c r="IH741"/>
      <c r="II741"/>
      <c r="IJ741"/>
      <c r="IK741"/>
      <c r="IL741"/>
      <c r="IM741"/>
      <c r="IN741"/>
      <c r="IO741"/>
      <c r="IP741"/>
      <c r="IQ741"/>
      <c r="IR741"/>
      <c r="IS741"/>
      <c r="IT741"/>
      <c r="IU741"/>
      <c r="IV741"/>
    </row>
    <row r="742" spans="1:256" ht="12.75" hidden="1" customHeight="1" x14ac:dyDescent="0.2">
      <c r="A742" s="594"/>
      <c r="B742" s="561" t="s">
        <v>840</v>
      </c>
      <c r="C742" s="558"/>
      <c r="D742" s="595"/>
      <c r="E742" s="599"/>
      <c r="F742" s="597"/>
      <c r="G742" s="600">
        <v>9500000</v>
      </c>
      <c r="H742"/>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c r="EY742"/>
      <c r="EZ742"/>
      <c r="FA742"/>
      <c r="FB742"/>
      <c r="FC742"/>
      <c r="FD742"/>
      <c r="FE742"/>
      <c r="FF742"/>
      <c r="FG742"/>
      <c r="FH742"/>
      <c r="FI742"/>
      <c r="FJ742"/>
      <c r="FK742"/>
      <c r="FL742"/>
      <c r="FM742"/>
      <c r="FN742"/>
      <c r="FO742"/>
      <c r="FP742"/>
      <c r="FQ742"/>
      <c r="FR742"/>
      <c r="FS742"/>
      <c r="FT742"/>
      <c r="FU742"/>
      <c r="FV742"/>
      <c r="FW742"/>
      <c r="FX742"/>
      <c r="FY742"/>
      <c r="FZ742"/>
      <c r="GA742"/>
      <c r="GB742"/>
      <c r="GC742"/>
      <c r="GD742"/>
      <c r="GE742"/>
      <c r="GF742"/>
      <c r="GG742"/>
      <c r="GH742"/>
      <c r="GI742"/>
      <c r="GJ742"/>
      <c r="GK742"/>
      <c r="GL742"/>
      <c r="GM742"/>
      <c r="GN742"/>
      <c r="GO742"/>
      <c r="GP742"/>
      <c r="GQ742"/>
      <c r="GR742"/>
      <c r="GS742"/>
      <c r="GT742"/>
      <c r="GU742"/>
      <c r="GV742"/>
      <c r="GW742"/>
      <c r="GX742"/>
      <c r="GY742"/>
      <c r="GZ742"/>
      <c r="HA742"/>
      <c r="HB742"/>
      <c r="HC742"/>
      <c r="HD742"/>
      <c r="HE742"/>
      <c r="HF742"/>
      <c r="HG742"/>
      <c r="HH742"/>
      <c r="HI742"/>
      <c r="HJ742"/>
      <c r="HK742"/>
      <c r="HL742"/>
      <c r="HM742"/>
      <c r="HN742"/>
      <c r="HO742"/>
      <c r="HP742"/>
      <c r="HQ742"/>
      <c r="HR742"/>
      <c r="HS742"/>
      <c r="HT742"/>
      <c r="HU742"/>
      <c r="HV742"/>
      <c r="HW742"/>
      <c r="HX742"/>
      <c r="HY742"/>
      <c r="HZ742"/>
      <c r="IA742"/>
      <c r="IB742"/>
      <c r="IC742"/>
      <c r="ID742"/>
      <c r="IE742"/>
      <c r="IF742"/>
      <c r="IG742"/>
      <c r="IH742"/>
      <c r="II742"/>
      <c r="IJ742"/>
      <c r="IK742"/>
      <c r="IL742"/>
      <c r="IM742"/>
      <c r="IN742"/>
      <c r="IO742"/>
      <c r="IP742"/>
      <c r="IQ742"/>
      <c r="IR742"/>
      <c r="IS742"/>
      <c r="IT742"/>
      <c r="IU742"/>
      <c r="IV742"/>
    </row>
    <row r="743" spans="1:256" ht="12.75" hidden="1" customHeight="1" x14ac:dyDescent="0.2">
      <c r="A743" s="594"/>
      <c r="B743" s="561" t="s">
        <v>841</v>
      </c>
      <c r="C743" s="558"/>
      <c r="D743" s="595"/>
      <c r="E743" s="596"/>
      <c r="F743" s="597"/>
      <c r="G743" s="598">
        <v>65000000</v>
      </c>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c r="FD743"/>
      <c r="FE743"/>
      <c r="FF743"/>
      <c r="FG743"/>
      <c r="FH743"/>
      <c r="FI743"/>
      <c r="FJ743"/>
      <c r="FK743"/>
      <c r="FL743"/>
      <c r="FM743"/>
      <c r="FN743"/>
      <c r="FO743"/>
      <c r="FP743"/>
      <c r="FQ743"/>
      <c r="FR743"/>
      <c r="FS743"/>
      <c r="FT743"/>
      <c r="FU743"/>
      <c r="FV743"/>
      <c r="FW743"/>
      <c r="FX743"/>
      <c r="FY743"/>
      <c r="FZ743"/>
      <c r="GA743"/>
      <c r="GB743"/>
      <c r="GC743"/>
      <c r="GD743"/>
      <c r="GE743"/>
      <c r="GF743"/>
      <c r="GG743"/>
      <c r="GH743"/>
      <c r="GI743"/>
      <c r="GJ743"/>
      <c r="GK743"/>
      <c r="GL743"/>
      <c r="GM743"/>
      <c r="GN743"/>
      <c r="GO743"/>
      <c r="GP743"/>
      <c r="GQ743"/>
      <c r="GR743"/>
      <c r="GS743"/>
      <c r="GT743"/>
      <c r="GU743"/>
      <c r="GV743"/>
      <c r="GW743"/>
      <c r="GX743"/>
      <c r="GY743"/>
      <c r="GZ743"/>
      <c r="HA743"/>
      <c r="HB743"/>
      <c r="HC743"/>
      <c r="HD743"/>
      <c r="HE743"/>
      <c r="HF743"/>
      <c r="HG743"/>
      <c r="HH743"/>
      <c r="HI743"/>
      <c r="HJ743"/>
      <c r="HK743"/>
      <c r="HL743"/>
      <c r="HM743"/>
      <c r="HN743"/>
      <c r="HO743"/>
      <c r="HP743"/>
      <c r="HQ743"/>
      <c r="HR743"/>
      <c r="HS743"/>
      <c r="HT743"/>
      <c r="HU743"/>
      <c r="HV743"/>
      <c r="HW743"/>
      <c r="HX743"/>
      <c r="HY743"/>
      <c r="HZ743"/>
      <c r="IA743"/>
      <c r="IB743"/>
      <c r="IC743"/>
      <c r="ID743"/>
      <c r="IE743"/>
      <c r="IF743"/>
      <c r="IG743"/>
      <c r="IH743"/>
      <c r="II743"/>
      <c r="IJ743"/>
      <c r="IK743"/>
      <c r="IL743"/>
      <c r="IM743"/>
      <c r="IN743"/>
      <c r="IO743"/>
      <c r="IP743"/>
      <c r="IQ743"/>
      <c r="IR743"/>
      <c r="IS743"/>
      <c r="IT743"/>
      <c r="IU743"/>
      <c r="IV743"/>
    </row>
    <row r="744" spans="1:256" s="607" customFormat="1" ht="12.75" hidden="1" customHeight="1" x14ac:dyDescent="0.2">
      <c r="A744" s="601"/>
      <c r="B744" s="565" t="s">
        <v>842</v>
      </c>
      <c r="C744" s="602"/>
      <c r="D744" s="603"/>
      <c r="E744" s="604"/>
      <c r="F744" s="605"/>
      <c r="G744" s="606">
        <v>300000</v>
      </c>
    </row>
    <row r="745" spans="1:256" ht="12.75" hidden="1" customHeight="1" x14ac:dyDescent="0.2">
      <c r="A745" s="594"/>
      <c r="B745" s="561" t="s">
        <v>843</v>
      </c>
      <c r="C745" s="558"/>
      <c r="D745" s="595"/>
      <c r="E745" s="599"/>
      <c r="F745" s="597"/>
      <c r="G745" s="600">
        <v>0</v>
      </c>
      <c r="H745"/>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c r="EZ745"/>
      <c r="FA745"/>
      <c r="FB745"/>
      <c r="FC745"/>
      <c r="FD745"/>
      <c r="FE745"/>
      <c r="FF745"/>
      <c r="FG745"/>
      <c r="FH745"/>
      <c r="FI745"/>
      <c r="FJ745"/>
      <c r="FK745"/>
      <c r="FL745"/>
      <c r="FM745"/>
      <c r="FN745"/>
      <c r="FO745"/>
      <c r="FP745"/>
      <c r="FQ745"/>
      <c r="FR745"/>
      <c r="FS745"/>
      <c r="FT745"/>
      <c r="FU745"/>
      <c r="FV745"/>
      <c r="FW745"/>
      <c r="FX745"/>
      <c r="FY745"/>
      <c r="FZ745"/>
      <c r="GA745"/>
      <c r="GB745"/>
      <c r="GC745"/>
      <c r="GD745"/>
      <c r="GE745"/>
      <c r="GF745"/>
      <c r="GG745"/>
      <c r="GH745"/>
      <c r="GI745"/>
      <c r="GJ745"/>
      <c r="GK745"/>
      <c r="GL745"/>
      <c r="GM745"/>
      <c r="GN745"/>
      <c r="GO745"/>
      <c r="GP745"/>
      <c r="GQ745"/>
      <c r="GR745"/>
      <c r="GS745"/>
      <c r="GT745"/>
      <c r="GU745"/>
      <c r="GV745"/>
      <c r="GW745"/>
      <c r="GX745"/>
      <c r="GY745"/>
      <c r="GZ745"/>
      <c r="HA745"/>
      <c r="HB745"/>
      <c r="HC745"/>
      <c r="HD745"/>
      <c r="HE745"/>
      <c r="HF745"/>
      <c r="HG745"/>
      <c r="HH745"/>
      <c r="HI745"/>
      <c r="HJ745"/>
      <c r="HK745"/>
      <c r="HL745"/>
      <c r="HM745"/>
      <c r="HN745"/>
      <c r="HO745"/>
      <c r="HP745"/>
      <c r="HQ745"/>
      <c r="HR745"/>
      <c r="HS745"/>
      <c r="HT745"/>
      <c r="HU745"/>
      <c r="HV745"/>
      <c r="HW745"/>
      <c r="HX745"/>
      <c r="HY745"/>
      <c r="HZ745"/>
      <c r="IA745"/>
      <c r="IB745"/>
      <c r="IC745"/>
      <c r="ID745"/>
      <c r="IE745"/>
      <c r="IF745"/>
      <c r="IG745"/>
      <c r="IH745"/>
      <c r="II745"/>
      <c r="IJ745"/>
      <c r="IK745"/>
      <c r="IL745"/>
      <c r="IM745"/>
      <c r="IN745"/>
      <c r="IO745"/>
      <c r="IP745"/>
      <c r="IQ745"/>
      <c r="IR745"/>
      <c r="IS745"/>
      <c r="IT745"/>
      <c r="IU745"/>
      <c r="IV745"/>
    </row>
    <row r="746" spans="1:256" ht="12.75" hidden="1" customHeight="1" x14ac:dyDescent="0.2">
      <c r="A746" s="551"/>
      <c r="B746" s="557" t="s">
        <v>844</v>
      </c>
      <c r="C746" s="162">
        <f>C747+C751+C756+C764+C766+SUM(C776:C781)</f>
        <v>45060000</v>
      </c>
      <c r="D746" s="608">
        <f>D747+D751+D756+D764+D766+SUM(D776:D781)</f>
        <v>42061000</v>
      </c>
      <c r="E746" s="608">
        <f>E747+E751+E756+E764+E766+SUM(E776:E781)</f>
        <v>39197332.780000001</v>
      </c>
      <c r="F746" s="580">
        <f>F747+F751+F756+F764+F766+SUM(F776:F781)</f>
        <v>22235165.719999999</v>
      </c>
      <c r="G746" s="162">
        <f>G747+G751+G756+G764+G766+SUM(G776:G781)</f>
        <v>39060000</v>
      </c>
      <c r="H746"/>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c r="EZ746"/>
      <c r="FA746"/>
      <c r="FB746"/>
      <c r="FC746"/>
      <c r="FD746"/>
      <c r="FE746"/>
      <c r="FF746"/>
      <c r="FG746"/>
      <c r="FH746"/>
      <c r="FI746"/>
      <c r="FJ746"/>
      <c r="FK746"/>
      <c r="FL746"/>
      <c r="FM746"/>
      <c r="FN746"/>
      <c r="FO746"/>
      <c r="FP746"/>
      <c r="FQ746"/>
      <c r="FR746"/>
      <c r="FS746"/>
      <c r="FT746"/>
      <c r="FU746"/>
      <c r="FV746"/>
      <c r="FW746"/>
      <c r="FX746"/>
      <c r="FY746"/>
      <c r="FZ746"/>
      <c r="GA746"/>
      <c r="GB746"/>
      <c r="GC746"/>
      <c r="GD746"/>
      <c r="GE746"/>
      <c r="GF746"/>
      <c r="GG746"/>
      <c r="GH746"/>
      <c r="GI746"/>
      <c r="GJ746"/>
      <c r="GK746"/>
      <c r="GL746"/>
      <c r="GM746"/>
      <c r="GN746"/>
      <c r="GO746"/>
      <c r="GP746"/>
      <c r="GQ746"/>
      <c r="GR746"/>
      <c r="GS746"/>
      <c r="GT746"/>
      <c r="GU746"/>
      <c r="GV746"/>
      <c r="GW746"/>
      <c r="GX746"/>
      <c r="GY746"/>
      <c r="GZ746"/>
      <c r="HA746"/>
      <c r="HB746"/>
      <c r="HC746"/>
      <c r="HD746"/>
      <c r="HE746"/>
      <c r="HF746"/>
      <c r="HG746"/>
      <c r="HH746"/>
      <c r="HI746"/>
      <c r="HJ746"/>
      <c r="HK746"/>
      <c r="HL746"/>
      <c r="HM746"/>
      <c r="HN746"/>
      <c r="HO746"/>
      <c r="HP746"/>
      <c r="HQ746"/>
      <c r="HR746"/>
      <c r="HS746"/>
      <c r="HT746"/>
      <c r="HU746"/>
      <c r="HV746"/>
      <c r="HW746"/>
      <c r="HX746"/>
      <c r="HY746"/>
      <c r="HZ746"/>
      <c r="IA746"/>
      <c r="IB746"/>
      <c r="IC746"/>
      <c r="ID746"/>
      <c r="IE746"/>
      <c r="IF746"/>
      <c r="IG746"/>
      <c r="IH746"/>
      <c r="II746"/>
      <c r="IJ746"/>
      <c r="IK746"/>
      <c r="IL746"/>
      <c r="IM746"/>
      <c r="IN746"/>
      <c r="IO746"/>
      <c r="IP746"/>
      <c r="IQ746"/>
      <c r="IR746"/>
      <c r="IS746"/>
      <c r="IT746"/>
      <c r="IU746"/>
      <c r="IV746"/>
    </row>
    <row r="747" spans="1:256" ht="12.75" hidden="1" customHeight="1" x14ac:dyDescent="0.2">
      <c r="A747" s="551"/>
      <c r="B747" s="585" t="s">
        <v>845</v>
      </c>
      <c r="C747" s="602">
        <f>SUM(C748:C750)</f>
        <v>7950000</v>
      </c>
      <c r="D747" s="603">
        <f>SUM(D748:D750)</f>
        <v>8077000</v>
      </c>
      <c r="E747" s="603">
        <f>SUM(E748:E750)</f>
        <v>8077000</v>
      </c>
      <c r="F747" s="609">
        <f>SUM(F748:F750)</f>
        <v>3758467.68</v>
      </c>
      <c r="G747" s="610">
        <f>SUM(G748:G750)</f>
        <v>7250000</v>
      </c>
      <c r="H747"/>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c r="EZ747"/>
      <c r="FA747"/>
      <c r="FB747"/>
      <c r="FC747"/>
      <c r="FD747"/>
      <c r="FE747"/>
      <c r="FF747"/>
      <c r="FG747"/>
      <c r="FH747"/>
      <c r="FI747"/>
      <c r="FJ747"/>
      <c r="FK747"/>
      <c r="FL747"/>
      <c r="FM747"/>
      <c r="FN747"/>
      <c r="FO747"/>
      <c r="FP747"/>
      <c r="FQ747"/>
      <c r="FR747"/>
      <c r="FS747"/>
      <c r="FT747"/>
      <c r="FU747"/>
      <c r="FV747"/>
      <c r="FW747"/>
      <c r="FX747"/>
      <c r="FY747"/>
      <c r="FZ747"/>
      <c r="GA747"/>
      <c r="GB747"/>
      <c r="GC747"/>
      <c r="GD747"/>
      <c r="GE747"/>
      <c r="GF747"/>
      <c r="GG747"/>
      <c r="GH747"/>
      <c r="GI747"/>
      <c r="GJ747"/>
      <c r="GK747"/>
      <c r="GL747"/>
      <c r="GM747"/>
      <c r="GN747"/>
      <c r="GO747"/>
      <c r="GP747"/>
      <c r="GQ747"/>
      <c r="GR747"/>
      <c r="GS747"/>
      <c r="GT747"/>
      <c r="GU747"/>
      <c r="GV747"/>
      <c r="GW747"/>
      <c r="GX747"/>
      <c r="GY747"/>
      <c r="GZ747"/>
      <c r="HA747"/>
      <c r="HB747"/>
      <c r="HC747"/>
      <c r="HD747"/>
      <c r="HE747"/>
      <c r="HF747"/>
      <c r="HG747"/>
      <c r="HH747"/>
      <c r="HI747"/>
      <c r="HJ747"/>
      <c r="HK747"/>
      <c r="HL747"/>
      <c r="HM747"/>
      <c r="HN747"/>
      <c r="HO747"/>
      <c r="HP747"/>
      <c r="HQ747"/>
      <c r="HR747"/>
      <c r="HS747"/>
      <c r="HT747"/>
      <c r="HU747"/>
      <c r="HV747"/>
      <c r="HW747"/>
      <c r="HX747"/>
      <c r="HY747"/>
      <c r="HZ747"/>
      <c r="IA747"/>
      <c r="IB747"/>
      <c r="IC747"/>
      <c r="ID747"/>
      <c r="IE747"/>
      <c r="IF747"/>
      <c r="IG747"/>
      <c r="IH747"/>
      <c r="II747"/>
      <c r="IJ747"/>
      <c r="IK747"/>
      <c r="IL747"/>
      <c r="IM747"/>
      <c r="IN747"/>
      <c r="IO747"/>
      <c r="IP747"/>
      <c r="IQ747"/>
      <c r="IR747"/>
      <c r="IS747"/>
      <c r="IT747"/>
      <c r="IU747"/>
      <c r="IV747"/>
    </row>
    <row r="748" spans="1:256" ht="12.75" hidden="1" customHeight="1" x14ac:dyDescent="0.2">
      <c r="A748" s="583"/>
      <c r="B748" s="561" t="s">
        <v>846</v>
      </c>
      <c r="C748" s="560">
        <v>5750000</v>
      </c>
      <c r="D748" s="562">
        <v>5750000</v>
      </c>
      <c r="E748" s="564">
        <v>5750000</v>
      </c>
      <c r="F748" s="580">
        <v>3431421.48</v>
      </c>
      <c r="G748" s="127">
        <v>5750000</v>
      </c>
      <c r="H748"/>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c r="FD748"/>
      <c r="FE748"/>
      <c r="FF748"/>
      <c r="FG748"/>
      <c r="FH748"/>
      <c r="FI748"/>
      <c r="FJ748"/>
      <c r="FK748"/>
      <c r="FL748"/>
      <c r="FM748"/>
      <c r="FN748"/>
      <c r="FO748"/>
      <c r="FP748"/>
      <c r="FQ748"/>
      <c r="FR748"/>
      <c r="FS748"/>
      <c r="FT748"/>
      <c r="FU748"/>
      <c r="FV748"/>
      <c r="FW748"/>
      <c r="FX748"/>
      <c r="FY748"/>
      <c r="FZ748"/>
      <c r="GA748"/>
      <c r="GB748"/>
      <c r="GC748"/>
      <c r="GD748"/>
      <c r="GE748"/>
      <c r="GF748"/>
      <c r="GG748"/>
      <c r="GH748"/>
      <c r="GI748"/>
      <c r="GJ748"/>
      <c r="GK748"/>
      <c r="GL748"/>
      <c r="GM748"/>
      <c r="GN748"/>
      <c r="GO748"/>
      <c r="GP748"/>
      <c r="GQ748"/>
      <c r="GR748"/>
      <c r="GS748"/>
      <c r="GT748"/>
      <c r="GU748"/>
      <c r="GV748"/>
      <c r="GW748"/>
      <c r="GX748"/>
      <c r="GY748"/>
      <c r="GZ748"/>
      <c r="HA748"/>
      <c r="HB748"/>
      <c r="HC748"/>
      <c r="HD748"/>
      <c r="HE748"/>
      <c r="HF748"/>
      <c r="HG748"/>
      <c r="HH748"/>
      <c r="HI748"/>
      <c r="HJ748"/>
      <c r="HK748"/>
      <c r="HL748"/>
      <c r="HM748"/>
      <c r="HN748"/>
      <c r="HO748"/>
      <c r="HP748"/>
      <c r="HQ748"/>
      <c r="HR748"/>
      <c r="HS748"/>
      <c r="HT748"/>
      <c r="HU748"/>
      <c r="HV748"/>
      <c r="HW748"/>
      <c r="HX748"/>
      <c r="HY748"/>
      <c r="HZ748"/>
      <c r="IA748"/>
      <c r="IB748"/>
      <c r="IC748"/>
      <c r="ID748"/>
      <c r="IE748"/>
      <c r="IF748"/>
      <c r="IG748"/>
      <c r="IH748"/>
      <c r="II748"/>
      <c r="IJ748"/>
      <c r="IK748"/>
      <c r="IL748"/>
      <c r="IM748"/>
      <c r="IN748"/>
      <c r="IO748"/>
      <c r="IP748"/>
      <c r="IQ748"/>
      <c r="IR748"/>
      <c r="IS748"/>
      <c r="IT748"/>
      <c r="IU748"/>
      <c r="IV748"/>
    </row>
    <row r="749" spans="1:256" ht="12.75" hidden="1" customHeight="1" x14ac:dyDescent="0.2">
      <c r="A749" s="583"/>
      <c r="B749" s="584" t="s">
        <v>847</v>
      </c>
      <c r="C749" s="560">
        <v>2000000</v>
      </c>
      <c r="D749" s="562">
        <v>2000000</v>
      </c>
      <c r="E749" s="564">
        <v>2000000</v>
      </c>
      <c r="F749" s="580">
        <v>0</v>
      </c>
      <c r="G749" s="127">
        <v>1500000</v>
      </c>
      <c r="H749"/>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c r="FS749"/>
      <c r="FT749"/>
      <c r="FU749"/>
      <c r="FV749"/>
      <c r="FW749"/>
      <c r="FX749"/>
      <c r="FY749"/>
      <c r="FZ749"/>
      <c r="GA749"/>
      <c r="GB749"/>
      <c r="GC749"/>
      <c r="GD749"/>
      <c r="GE749"/>
      <c r="GF749"/>
      <c r="GG749"/>
      <c r="GH749"/>
      <c r="GI749"/>
      <c r="GJ749"/>
      <c r="GK749"/>
      <c r="GL749"/>
      <c r="GM749"/>
      <c r="GN749"/>
      <c r="GO749"/>
      <c r="GP749"/>
      <c r="GQ749"/>
      <c r="GR749"/>
      <c r="GS749"/>
      <c r="GT749"/>
      <c r="GU749"/>
      <c r="GV749"/>
      <c r="GW749"/>
      <c r="GX749"/>
      <c r="GY749"/>
      <c r="GZ749"/>
      <c r="HA749"/>
      <c r="HB749"/>
      <c r="HC749"/>
      <c r="HD749"/>
      <c r="HE749"/>
      <c r="HF749"/>
      <c r="HG749"/>
      <c r="HH749"/>
      <c r="HI749"/>
      <c r="HJ749"/>
      <c r="HK749"/>
      <c r="HL749"/>
      <c r="HM749"/>
      <c r="HN749"/>
      <c r="HO749"/>
      <c r="HP749"/>
      <c r="HQ749"/>
      <c r="HR749"/>
      <c r="HS749"/>
      <c r="HT749"/>
      <c r="HU749"/>
      <c r="HV749"/>
      <c r="HW749"/>
      <c r="HX749"/>
      <c r="HY749"/>
      <c r="HZ749"/>
      <c r="IA749"/>
      <c r="IB749"/>
      <c r="IC749"/>
      <c r="ID749"/>
      <c r="IE749"/>
      <c r="IF749"/>
      <c r="IG749"/>
      <c r="IH749"/>
      <c r="II749"/>
      <c r="IJ749"/>
      <c r="IK749"/>
      <c r="IL749"/>
      <c r="IM749"/>
      <c r="IN749"/>
      <c r="IO749"/>
      <c r="IP749"/>
      <c r="IQ749"/>
      <c r="IR749"/>
      <c r="IS749"/>
      <c r="IT749"/>
      <c r="IU749"/>
      <c r="IV749"/>
    </row>
    <row r="750" spans="1:256" ht="12.75" hidden="1" customHeight="1" x14ac:dyDescent="0.2">
      <c r="A750" s="583"/>
      <c r="B750" s="584" t="s">
        <v>848</v>
      </c>
      <c r="C750" s="560">
        <v>200000</v>
      </c>
      <c r="D750" s="591">
        <v>327000</v>
      </c>
      <c r="E750" s="592">
        <v>327000</v>
      </c>
      <c r="F750" s="580">
        <v>327046.2</v>
      </c>
      <c r="G750" s="127">
        <v>0</v>
      </c>
      <c r="H750"/>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c r="FS750"/>
      <c r="FT750"/>
      <c r="FU750"/>
      <c r="FV750"/>
      <c r="FW750"/>
      <c r="FX750"/>
      <c r="FY750"/>
      <c r="FZ750"/>
      <c r="GA750"/>
      <c r="GB750"/>
      <c r="GC750"/>
      <c r="GD750"/>
      <c r="GE750"/>
      <c r="GF750"/>
      <c r="GG750"/>
      <c r="GH750"/>
      <c r="GI750"/>
      <c r="GJ750"/>
      <c r="GK750"/>
      <c r="GL750"/>
      <c r="GM750"/>
      <c r="GN750"/>
      <c r="GO750"/>
      <c r="GP750"/>
      <c r="GQ750"/>
      <c r="GR750"/>
      <c r="GS750"/>
      <c r="GT750"/>
      <c r="GU750"/>
      <c r="GV750"/>
      <c r="GW750"/>
      <c r="GX750"/>
      <c r="GY750"/>
      <c r="GZ750"/>
      <c r="HA750"/>
      <c r="HB750"/>
      <c r="HC750"/>
      <c r="HD750"/>
      <c r="HE750"/>
      <c r="HF750"/>
      <c r="HG750"/>
      <c r="HH750"/>
      <c r="HI750"/>
      <c r="HJ750"/>
      <c r="HK750"/>
      <c r="HL750"/>
      <c r="HM750"/>
      <c r="HN750"/>
      <c r="HO750"/>
      <c r="HP750"/>
      <c r="HQ750"/>
      <c r="HR750"/>
      <c r="HS750"/>
      <c r="HT750"/>
      <c r="HU750"/>
      <c r="HV750"/>
      <c r="HW750"/>
      <c r="HX750"/>
      <c r="HY750"/>
      <c r="HZ750"/>
      <c r="IA750"/>
      <c r="IB750"/>
      <c r="IC750"/>
      <c r="ID750"/>
      <c r="IE750"/>
      <c r="IF750"/>
      <c r="IG750"/>
      <c r="IH750"/>
      <c r="II750"/>
      <c r="IJ750"/>
      <c r="IK750"/>
      <c r="IL750"/>
      <c r="IM750"/>
      <c r="IN750"/>
      <c r="IO750"/>
      <c r="IP750"/>
      <c r="IQ750"/>
      <c r="IR750"/>
      <c r="IS750"/>
      <c r="IT750"/>
      <c r="IU750"/>
      <c r="IV750"/>
    </row>
    <row r="751" spans="1:256" ht="12.75" hidden="1" customHeight="1" x14ac:dyDescent="0.2">
      <c r="A751" s="551"/>
      <c r="B751" s="584" t="s">
        <v>849</v>
      </c>
      <c r="C751" s="610">
        <f>SUM(C752:C753)</f>
        <v>1500000</v>
      </c>
      <c r="D751" s="603">
        <f>SUM(D752:D753)</f>
        <v>1500000</v>
      </c>
      <c r="E751" s="603">
        <f>SUM(E752:E753)</f>
        <v>1500000</v>
      </c>
      <c r="F751" s="609">
        <f>SUM(F752:F753)</f>
        <v>629041</v>
      </c>
      <c r="G751" s="610">
        <f>G752+G753</f>
        <v>3300000</v>
      </c>
      <c r="H751"/>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c r="FD751"/>
      <c r="FE751"/>
      <c r="FF751"/>
      <c r="FG751"/>
      <c r="FH751"/>
      <c r="FI751"/>
      <c r="FJ751"/>
      <c r="FK751"/>
      <c r="FL751"/>
      <c r="FM751"/>
      <c r="FN751"/>
      <c r="FO751"/>
      <c r="FP751"/>
      <c r="FQ751"/>
      <c r="FR751"/>
      <c r="FS751"/>
      <c r="FT751"/>
      <c r="FU751"/>
      <c r="FV751"/>
      <c r="FW751"/>
      <c r="FX751"/>
      <c r="FY751"/>
      <c r="FZ751"/>
      <c r="GA751"/>
      <c r="GB751"/>
      <c r="GC751"/>
      <c r="GD751"/>
      <c r="GE751"/>
      <c r="GF751"/>
      <c r="GG751"/>
      <c r="GH751"/>
      <c r="GI751"/>
      <c r="GJ751"/>
      <c r="GK751"/>
      <c r="GL751"/>
      <c r="GM751"/>
      <c r="GN751"/>
      <c r="GO751"/>
      <c r="GP751"/>
      <c r="GQ751"/>
      <c r="GR751"/>
      <c r="GS751"/>
      <c r="GT751"/>
      <c r="GU751"/>
      <c r="GV751"/>
      <c r="GW751"/>
      <c r="GX751"/>
      <c r="GY751"/>
      <c r="GZ751"/>
      <c r="HA751"/>
      <c r="HB751"/>
      <c r="HC751"/>
      <c r="HD751"/>
      <c r="HE751"/>
      <c r="HF751"/>
      <c r="HG751"/>
      <c r="HH751"/>
      <c r="HI751"/>
      <c r="HJ751"/>
      <c r="HK751"/>
      <c r="HL751"/>
      <c r="HM751"/>
      <c r="HN751"/>
      <c r="HO751"/>
      <c r="HP751"/>
      <c r="HQ751"/>
      <c r="HR751"/>
      <c r="HS751"/>
      <c r="HT751"/>
      <c r="HU751"/>
      <c r="HV751"/>
      <c r="HW751"/>
      <c r="HX751"/>
      <c r="HY751"/>
      <c r="HZ751"/>
      <c r="IA751"/>
      <c r="IB751"/>
      <c r="IC751"/>
      <c r="ID751"/>
      <c r="IE751"/>
      <c r="IF751"/>
      <c r="IG751"/>
      <c r="IH751"/>
      <c r="II751"/>
      <c r="IJ751"/>
      <c r="IK751"/>
      <c r="IL751"/>
      <c r="IM751"/>
      <c r="IN751"/>
      <c r="IO751"/>
      <c r="IP751"/>
      <c r="IQ751"/>
      <c r="IR751"/>
      <c r="IS751"/>
      <c r="IT751"/>
      <c r="IU751"/>
      <c r="IV751"/>
    </row>
    <row r="752" spans="1:256" ht="12.75" hidden="1" customHeight="1" x14ac:dyDescent="0.2">
      <c r="A752" s="583"/>
      <c r="B752" s="584" t="s">
        <v>850</v>
      </c>
      <c r="C752" s="560">
        <v>1500000</v>
      </c>
      <c r="D752" s="562">
        <v>1500000</v>
      </c>
      <c r="E752" s="579">
        <v>1500000</v>
      </c>
      <c r="F752" s="580">
        <v>629041</v>
      </c>
      <c r="G752" s="127">
        <v>2000000</v>
      </c>
      <c r="H752"/>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c r="FD752"/>
      <c r="FE752"/>
      <c r="FF752"/>
      <c r="FG752"/>
      <c r="FH752"/>
      <c r="FI752"/>
      <c r="FJ752"/>
      <c r="FK752"/>
      <c r="FL752"/>
      <c r="FM752"/>
      <c r="FN752"/>
      <c r="FO752"/>
      <c r="FP752"/>
      <c r="FQ752"/>
      <c r="FR752"/>
      <c r="FS752"/>
      <c r="FT752"/>
      <c r="FU752"/>
      <c r="FV752"/>
      <c r="FW752"/>
      <c r="FX752"/>
      <c r="FY752"/>
      <c r="FZ752"/>
      <c r="GA752"/>
      <c r="GB752"/>
      <c r="GC752"/>
      <c r="GD752"/>
      <c r="GE752"/>
      <c r="GF752"/>
      <c r="GG752"/>
      <c r="GH752"/>
      <c r="GI752"/>
      <c r="GJ752"/>
      <c r="GK752"/>
      <c r="GL752"/>
      <c r="GM752"/>
      <c r="GN752"/>
      <c r="GO752"/>
      <c r="GP752"/>
      <c r="GQ752"/>
      <c r="GR752"/>
      <c r="GS752"/>
      <c r="GT752"/>
      <c r="GU752"/>
      <c r="GV752"/>
      <c r="GW752"/>
      <c r="GX752"/>
      <c r="GY752"/>
      <c r="GZ752"/>
      <c r="HA752"/>
      <c r="HB752"/>
      <c r="HC752"/>
      <c r="HD752"/>
      <c r="HE752"/>
      <c r="HF752"/>
      <c r="HG752"/>
      <c r="HH752"/>
      <c r="HI752"/>
      <c r="HJ752"/>
      <c r="HK752"/>
      <c r="HL752"/>
      <c r="HM752"/>
      <c r="HN752"/>
      <c r="HO752"/>
      <c r="HP752"/>
      <c r="HQ752"/>
      <c r="HR752"/>
      <c r="HS752"/>
      <c r="HT752"/>
      <c r="HU752"/>
      <c r="HV752"/>
      <c r="HW752"/>
      <c r="HX752"/>
      <c r="HY752"/>
      <c r="HZ752"/>
      <c r="IA752"/>
      <c r="IB752"/>
      <c r="IC752"/>
      <c r="ID752"/>
      <c r="IE752"/>
      <c r="IF752"/>
      <c r="IG752"/>
      <c r="IH752"/>
      <c r="II752"/>
      <c r="IJ752"/>
      <c r="IK752"/>
      <c r="IL752"/>
      <c r="IM752"/>
      <c r="IN752"/>
      <c r="IO752"/>
      <c r="IP752"/>
      <c r="IQ752"/>
      <c r="IR752"/>
      <c r="IS752"/>
      <c r="IT752"/>
      <c r="IU752"/>
      <c r="IV752"/>
    </row>
    <row r="753" spans="1:256" ht="12.75" hidden="1" customHeight="1" x14ac:dyDescent="0.2">
      <c r="A753" s="583"/>
      <c r="B753" s="584" t="s">
        <v>851</v>
      </c>
      <c r="C753" s="560">
        <f>SUM(C754:C755)</f>
        <v>0</v>
      </c>
      <c r="D753" s="562">
        <f>SUM(D754:D755)</f>
        <v>0</v>
      </c>
      <c r="E753" s="579">
        <v>0</v>
      </c>
      <c r="F753" s="611">
        <f>SUM(F754:F755)</f>
        <v>0</v>
      </c>
      <c r="G753" s="560">
        <f>SUM(G754:G755)</f>
        <v>1300000</v>
      </c>
      <c r="H753"/>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c r="EY753"/>
      <c r="EZ753"/>
      <c r="FA753"/>
      <c r="FB753"/>
      <c r="FC753"/>
      <c r="FD753"/>
      <c r="FE753"/>
      <c r="FF753"/>
      <c r="FG753"/>
      <c r="FH753"/>
      <c r="FI753"/>
      <c r="FJ753"/>
      <c r="FK753"/>
      <c r="FL753"/>
      <c r="FM753"/>
      <c r="FN753"/>
      <c r="FO753"/>
      <c r="FP753"/>
      <c r="FQ753"/>
      <c r="FR753"/>
      <c r="FS753"/>
      <c r="FT753"/>
      <c r="FU753"/>
      <c r="FV753"/>
      <c r="FW753"/>
      <c r="FX753"/>
      <c r="FY753"/>
      <c r="FZ753"/>
      <c r="GA753"/>
      <c r="GB753"/>
      <c r="GC753"/>
      <c r="GD753"/>
      <c r="GE753"/>
      <c r="GF753"/>
      <c r="GG753"/>
      <c r="GH753"/>
      <c r="GI753"/>
      <c r="GJ753"/>
      <c r="GK753"/>
      <c r="GL753"/>
      <c r="GM753"/>
      <c r="GN753"/>
      <c r="GO753"/>
      <c r="GP753"/>
      <c r="GQ753"/>
      <c r="GR753"/>
      <c r="GS753"/>
      <c r="GT753"/>
      <c r="GU753"/>
      <c r="GV753"/>
      <c r="GW753"/>
      <c r="GX753"/>
      <c r="GY753"/>
      <c r="GZ753"/>
      <c r="HA753"/>
      <c r="HB753"/>
      <c r="HC753"/>
      <c r="HD753"/>
      <c r="HE753"/>
      <c r="HF753"/>
      <c r="HG753"/>
      <c r="HH753"/>
      <c r="HI753"/>
      <c r="HJ753"/>
      <c r="HK753"/>
      <c r="HL753"/>
      <c r="HM753"/>
      <c r="HN753"/>
      <c r="HO753"/>
      <c r="HP753"/>
      <c r="HQ753"/>
      <c r="HR753"/>
      <c r="HS753"/>
      <c r="HT753"/>
      <c r="HU753"/>
      <c r="HV753"/>
      <c r="HW753"/>
      <c r="HX753"/>
      <c r="HY753"/>
      <c r="HZ753"/>
      <c r="IA753"/>
      <c r="IB753"/>
      <c r="IC753"/>
      <c r="ID753"/>
      <c r="IE753"/>
      <c r="IF753"/>
      <c r="IG753"/>
      <c r="IH753"/>
      <c r="II753"/>
      <c r="IJ753"/>
      <c r="IK753"/>
      <c r="IL753"/>
      <c r="IM753"/>
      <c r="IN753"/>
      <c r="IO753"/>
      <c r="IP753"/>
      <c r="IQ753"/>
      <c r="IR753"/>
      <c r="IS753"/>
      <c r="IT753"/>
      <c r="IU753"/>
      <c r="IV753"/>
    </row>
    <row r="754" spans="1:256" s="607" customFormat="1" ht="12.75" hidden="1" customHeight="1" x14ac:dyDescent="0.2">
      <c r="A754" s="601"/>
      <c r="B754" s="612" t="s">
        <v>852</v>
      </c>
      <c r="C754" s="610"/>
      <c r="D754" s="603"/>
      <c r="E754" s="613"/>
      <c r="F754" s="614"/>
      <c r="G754" s="615">
        <v>300000</v>
      </c>
    </row>
    <row r="755" spans="1:256" s="607" customFormat="1" ht="12.75" hidden="1" customHeight="1" x14ac:dyDescent="0.2">
      <c r="A755" s="601"/>
      <c r="B755" s="612" t="s">
        <v>853</v>
      </c>
      <c r="C755" s="560"/>
      <c r="D755" s="562"/>
      <c r="E755" s="579"/>
      <c r="F755" s="616"/>
      <c r="G755" s="617">
        <v>1000000</v>
      </c>
    </row>
    <row r="756" spans="1:256" s="607" customFormat="1" ht="12.75" hidden="1" customHeight="1" x14ac:dyDescent="0.2">
      <c r="A756" s="583"/>
      <c r="B756" s="584" t="s">
        <v>854</v>
      </c>
      <c r="C756" s="610">
        <f>SUM(C757:C758)</f>
        <v>4100000</v>
      </c>
      <c r="D756" s="603">
        <f>SUM(D757:D758)</f>
        <v>3293365</v>
      </c>
      <c r="E756" s="603">
        <f>SUM(E757:E758)</f>
        <v>3353907.7800000003</v>
      </c>
      <c r="F756" s="609">
        <f>SUM(F757:F758)</f>
        <v>3099279.41</v>
      </c>
      <c r="G756" s="610">
        <f>G757+G758</f>
        <v>3100000</v>
      </c>
    </row>
    <row r="757" spans="1:256" ht="12.75" hidden="1" customHeight="1" x14ac:dyDescent="0.2">
      <c r="A757" s="583"/>
      <c r="B757" s="618" t="s">
        <v>850</v>
      </c>
      <c r="C757" s="569">
        <v>2000000</v>
      </c>
      <c r="D757" s="591">
        <f>2000000-6635</f>
        <v>1993365</v>
      </c>
      <c r="E757" s="619">
        <v>2000000</v>
      </c>
      <c r="F757" s="580">
        <v>1745387.63</v>
      </c>
      <c r="G757" s="620">
        <v>2500000</v>
      </c>
      <c r="H757"/>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c r="EY757"/>
      <c r="EZ757"/>
      <c r="FA757"/>
      <c r="FB757"/>
      <c r="FC757"/>
      <c r="FD757"/>
      <c r="FE757"/>
      <c r="FF757"/>
      <c r="FG757"/>
      <c r="FH757"/>
      <c r="FI757"/>
      <c r="FJ757"/>
      <c r="FK757"/>
      <c r="FL757"/>
      <c r="FM757"/>
      <c r="FN757"/>
      <c r="FO757"/>
      <c r="FP757"/>
      <c r="FQ757"/>
      <c r="FR757"/>
      <c r="FS757"/>
      <c r="FT757"/>
      <c r="FU757"/>
      <c r="FV757"/>
      <c r="FW757"/>
      <c r="FX757"/>
      <c r="FY757"/>
      <c r="FZ757"/>
      <c r="GA757"/>
      <c r="GB757"/>
      <c r="GC757"/>
      <c r="GD757"/>
      <c r="GE757"/>
      <c r="GF757"/>
      <c r="GG757"/>
      <c r="GH757"/>
      <c r="GI757"/>
      <c r="GJ757"/>
      <c r="GK757"/>
      <c r="GL757"/>
      <c r="GM757"/>
      <c r="GN757"/>
      <c r="GO757"/>
      <c r="GP757"/>
      <c r="GQ757"/>
      <c r="GR757"/>
      <c r="GS757"/>
      <c r="GT757"/>
      <c r="GU757"/>
      <c r="GV757"/>
      <c r="GW757"/>
      <c r="GX757"/>
      <c r="GY757"/>
      <c r="GZ757"/>
      <c r="HA757"/>
      <c r="HB757"/>
      <c r="HC757"/>
      <c r="HD757"/>
      <c r="HE757"/>
      <c r="HF757"/>
      <c r="HG757"/>
      <c r="HH757"/>
      <c r="HI757"/>
      <c r="HJ757"/>
      <c r="HK757"/>
      <c r="HL757"/>
      <c r="HM757"/>
      <c r="HN757"/>
      <c r="HO757"/>
      <c r="HP757"/>
      <c r="HQ757"/>
      <c r="HR757"/>
      <c r="HS757"/>
      <c r="HT757"/>
      <c r="HU757"/>
      <c r="HV757"/>
      <c r="HW757"/>
      <c r="HX757"/>
      <c r="HY757"/>
      <c r="HZ757"/>
      <c r="IA757"/>
      <c r="IB757"/>
      <c r="IC757"/>
      <c r="ID757"/>
      <c r="IE757"/>
      <c r="IF757"/>
      <c r="IG757"/>
      <c r="IH757"/>
      <c r="II757"/>
      <c r="IJ757"/>
      <c r="IK757"/>
      <c r="IL757"/>
      <c r="IM757"/>
      <c r="IN757"/>
      <c r="IO757"/>
      <c r="IP757"/>
      <c r="IQ757"/>
      <c r="IR757"/>
      <c r="IS757"/>
      <c r="IT757"/>
      <c r="IU757"/>
      <c r="IV757"/>
    </row>
    <row r="758" spans="1:256" ht="12.75" hidden="1" customHeight="1" x14ac:dyDescent="0.2">
      <c r="A758" s="583"/>
      <c r="B758" s="621" t="s">
        <v>855</v>
      </c>
      <c r="C758" s="622">
        <f>SUM(C759:C763)</f>
        <v>2100000</v>
      </c>
      <c r="D758" s="562">
        <f>SUM(D759:D763)</f>
        <v>1300000</v>
      </c>
      <c r="E758" s="562">
        <f>SUM(E759:E763)</f>
        <v>1353907.78</v>
      </c>
      <c r="F758" s="611">
        <v>1353891.78</v>
      </c>
      <c r="G758" s="622">
        <f>SUM(G759:G763)</f>
        <v>600000</v>
      </c>
      <c r="H758"/>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c r="EY758"/>
      <c r="EZ758"/>
      <c r="FA758"/>
      <c r="FB758"/>
      <c r="FC758"/>
      <c r="FD758"/>
      <c r="FE758"/>
      <c r="FF758"/>
      <c r="FG758"/>
      <c r="FH758"/>
      <c r="FI758"/>
      <c r="FJ758"/>
      <c r="FK758"/>
      <c r="FL758"/>
      <c r="FM758"/>
      <c r="FN758"/>
      <c r="FO758"/>
      <c r="FP758"/>
      <c r="FQ758"/>
      <c r="FR758"/>
      <c r="FS758"/>
      <c r="FT758"/>
      <c r="FU758"/>
      <c r="FV758"/>
      <c r="FW758"/>
      <c r="FX758"/>
      <c r="FY758"/>
      <c r="FZ758"/>
      <c r="GA758"/>
      <c r="GB758"/>
      <c r="GC758"/>
      <c r="GD758"/>
      <c r="GE758"/>
      <c r="GF758"/>
      <c r="GG758"/>
      <c r="GH758"/>
      <c r="GI758"/>
      <c r="GJ758"/>
      <c r="GK758"/>
      <c r="GL758"/>
      <c r="GM758"/>
      <c r="GN758"/>
      <c r="GO758"/>
      <c r="GP758"/>
      <c r="GQ758"/>
      <c r="GR758"/>
      <c r="GS758"/>
      <c r="GT758"/>
      <c r="GU758"/>
      <c r="GV758"/>
      <c r="GW758"/>
      <c r="GX758"/>
      <c r="GY758"/>
      <c r="GZ758"/>
      <c r="HA758"/>
      <c r="HB758"/>
      <c r="HC758"/>
      <c r="HD758"/>
      <c r="HE758"/>
      <c r="HF758"/>
      <c r="HG758"/>
      <c r="HH758"/>
      <c r="HI758"/>
      <c r="HJ758"/>
      <c r="HK758"/>
      <c r="HL758"/>
      <c r="HM758"/>
      <c r="HN758"/>
      <c r="HO758"/>
      <c r="HP758"/>
      <c r="HQ758"/>
      <c r="HR758"/>
      <c r="HS758"/>
      <c r="HT758"/>
      <c r="HU758"/>
      <c r="HV758"/>
      <c r="HW758"/>
      <c r="HX758"/>
      <c r="HY758"/>
      <c r="HZ758"/>
      <c r="IA758"/>
      <c r="IB758"/>
      <c r="IC758"/>
      <c r="ID758"/>
      <c r="IE758"/>
      <c r="IF758"/>
      <c r="IG758"/>
      <c r="IH758"/>
      <c r="II758"/>
      <c r="IJ758"/>
      <c r="IK758"/>
      <c r="IL758"/>
      <c r="IM758"/>
      <c r="IN758"/>
      <c r="IO758"/>
      <c r="IP758"/>
      <c r="IQ758"/>
      <c r="IR758"/>
      <c r="IS758"/>
      <c r="IT758"/>
      <c r="IU758"/>
      <c r="IV758"/>
    </row>
    <row r="759" spans="1:256" ht="12.75" hidden="1" customHeight="1" x14ac:dyDescent="0.2">
      <c r="A759" s="601"/>
      <c r="B759" s="561" t="s">
        <v>856</v>
      </c>
      <c r="C759" s="558">
        <v>1300000</v>
      </c>
      <c r="D759" s="562">
        <v>1300000</v>
      </c>
      <c r="E759" s="564">
        <v>1353907.78</v>
      </c>
      <c r="F759" s="611">
        <f>SUM(F760:F763)</f>
        <v>0</v>
      </c>
      <c r="G759" s="560">
        <v>0</v>
      </c>
      <c r="H759"/>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c r="EY759"/>
      <c r="EZ759"/>
      <c r="FA759"/>
      <c r="FB759"/>
      <c r="FC759"/>
      <c r="FD759"/>
      <c r="FE759"/>
      <c r="FF759"/>
      <c r="FG759"/>
      <c r="FH759"/>
      <c r="FI759"/>
      <c r="FJ759"/>
      <c r="FK759"/>
      <c r="FL759"/>
      <c r="FM759"/>
      <c r="FN759"/>
      <c r="FO759"/>
      <c r="FP759"/>
      <c r="FQ759"/>
      <c r="FR759"/>
      <c r="FS759"/>
      <c r="FT759"/>
      <c r="FU759"/>
      <c r="FV759"/>
      <c r="FW759"/>
      <c r="FX759"/>
      <c r="FY759"/>
      <c r="FZ759"/>
      <c r="GA759"/>
      <c r="GB759"/>
      <c r="GC759"/>
      <c r="GD759"/>
      <c r="GE759"/>
      <c r="GF759"/>
      <c r="GG759"/>
      <c r="GH759"/>
      <c r="GI759"/>
      <c r="GJ759"/>
      <c r="GK759"/>
      <c r="GL759"/>
      <c r="GM759"/>
      <c r="GN759"/>
      <c r="GO759"/>
      <c r="GP759"/>
      <c r="GQ759"/>
      <c r="GR759"/>
      <c r="GS759"/>
      <c r="GT759"/>
      <c r="GU759"/>
      <c r="GV759"/>
      <c r="GW759"/>
      <c r="GX759"/>
      <c r="GY759"/>
      <c r="GZ759"/>
      <c r="HA759"/>
      <c r="HB759"/>
      <c r="HC759"/>
      <c r="HD759"/>
      <c r="HE759"/>
      <c r="HF759"/>
      <c r="HG759"/>
      <c r="HH759"/>
      <c r="HI759"/>
      <c r="HJ759"/>
      <c r="HK759"/>
      <c r="HL759"/>
      <c r="HM759"/>
      <c r="HN759"/>
      <c r="HO759"/>
      <c r="HP759"/>
      <c r="HQ759"/>
      <c r="HR759"/>
      <c r="HS759"/>
      <c r="HT759"/>
      <c r="HU759"/>
      <c r="HV759"/>
      <c r="HW759"/>
      <c r="HX759"/>
      <c r="HY759"/>
      <c r="HZ759"/>
      <c r="IA759"/>
      <c r="IB759"/>
      <c r="IC759"/>
      <c r="ID759"/>
      <c r="IE759"/>
      <c r="IF759"/>
      <c r="IG759"/>
      <c r="IH759"/>
      <c r="II759"/>
      <c r="IJ759"/>
      <c r="IK759"/>
      <c r="IL759"/>
      <c r="IM759"/>
      <c r="IN759"/>
      <c r="IO759"/>
      <c r="IP759"/>
      <c r="IQ759"/>
      <c r="IR759"/>
      <c r="IS759"/>
      <c r="IT759"/>
      <c r="IU759"/>
      <c r="IV759"/>
    </row>
    <row r="760" spans="1:256" s="607" customFormat="1" ht="12.75" hidden="1" customHeight="1" x14ac:dyDescent="0.2">
      <c r="A760" s="601"/>
      <c r="B760" s="561" t="s">
        <v>857</v>
      </c>
      <c r="C760" s="558">
        <v>800000</v>
      </c>
      <c r="D760" s="562">
        <f>800000-800000</f>
        <v>0</v>
      </c>
      <c r="E760" s="579">
        <v>0</v>
      </c>
      <c r="F760" s="580">
        <v>0</v>
      </c>
      <c r="G760" s="127">
        <v>0</v>
      </c>
    </row>
    <row r="761" spans="1:256" s="607" customFormat="1" ht="12.75" hidden="1" customHeight="1" x14ac:dyDescent="0.2">
      <c r="A761" s="601"/>
      <c r="B761" s="561" t="s">
        <v>858</v>
      </c>
      <c r="C761" s="560"/>
      <c r="D761" s="562"/>
      <c r="E761" s="564"/>
      <c r="F761" s="623"/>
      <c r="G761" s="456">
        <v>300000</v>
      </c>
    </row>
    <row r="762" spans="1:256" s="607" customFormat="1" ht="12.75" hidden="1" customHeight="1" x14ac:dyDescent="0.2">
      <c r="A762" s="601"/>
      <c r="B762" s="624" t="s">
        <v>859</v>
      </c>
      <c r="C762" s="560"/>
      <c r="D762" s="562"/>
      <c r="E762" s="564"/>
      <c r="F762" s="623"/>
      <c r="G762" s="484">
        <v>300000</v>
      </c>
    </row>
    <row r="763" spans="1:256" s="607" customFormat="1" ht="12.75" hidden="1" customHeight="1" x14ac:dyDescent="0.2">
      <c r="A763" s="601"/>
      <c r="B763" s="561" t="s">
        <v>860</v>
      </c>
      <c r="C763" s="560"/>
      <c r="D763" s="562"/>
      <c r="E763" s="564"/>
      <c r="F763" s="623"/>
      <c r="G763" s="484">
        <v>0</v>
      </c>
    </row>
    <row r="764" spans="1:256" s="607" customFormat="1" ht="12.75" hidden="1" customHeight="1" x14ac:dyDescent="0.2">
      <c r="A764" s="583"/>
      <c r="B764" s="557" t="s">
        <v>861</v>
      </c>
      <c r="C764" s="610">
        <f>SUM(C765:C765)</f>
        <v>600000</v>
      </c>
      <c r="D764" s="603">
        <f>SUM(D765:D765)</f>
        <v>473000</v>
      </c>
      <c r="E764" s="603">
        <f>SUM(E765:E765)</f>
        <v>473000</v>
      </c>
      <c r="F764" s="625">
        <f>SUM(F765:F765)</f>
        <v>117051.4</v>
      </c>
      <c r="G764" s="626">
        <v>0</v>
      </c>
    </row>
    <row r="765" spans="1:256" ht="12.75" hidden="1" customHeight="1" x14ac:dyDescent="0.2">
      <c r="A765" s="583"/>
      <c r="B765" s="557" t="s">
        <v>862</v>
      </c>
      <c r="C765" s="560">
        <v>600000</v>
      </c>
      <c r="D765" s="562">
        <v>473000</v>
      </c>
      <c r="E765" s="564">
        <v>473000</v>
      </c>
      <c r="F765" s="580">
        <v>117051.4</v>
      </c>
      <c r="G765" s="162">
        <v>0</v>
      </c>
      <c r="H765"/>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c r="EX765"/>
      <c r="EY765"/>
      <c r="EZ765"/>
      <c r="FA765"/>
      <c r="FB765"/>
      <c r="FC765"/>
      <c r="FD765"/>
      <c r="FE765"/>
      <c r="FF765"/>
      <c r="FG765"/>
      <c r="FH765"/>
      <c r="FI765"/>
      <c r="FJ765"/>
      <c r="FK765"/>
      <c r="FL765"/>
      <c r="FM765"/>
      <c r="FN765"/>
      <c r="FO765"/>
      <c r="FP765"/>
      <c r="FQ765"/>
      <c r="FR765"/>
      <c r="FS765"/>
      <c r="FT765"/>
      <c r="FU765"/>
      <c r="FV765"/>
      <c r="FW765"/>
      <c r="FX765"/>
      <c r="FY765"/>
      <c r="FZ765"/>
      <c r="GA765"/>
      <c r="GB765"/>
      <c r="GC765"/>
      <c r="GD765"/>
      <c r="GE765"/>
      <c r="GF765"/>
      <c r="GG765"/>
      <c r="GH765"/>
      <c r="GI765"/>
      <c r="GJ765"/>
      <c r="GK765"/>
      <c r="GL765"/>
      <c r="GM765"/>
      <c r="GN765"/>
      <c r="GO765"/>
      <c r="GP765"/>
      <c r="GQ765"/>
      <c r="GR765"/>
      <c r="GS765"/>
      <c r="GT765"/>
      <c r="GU765"/>
      <c r="GV765"/>
      <c r="GW765"/>
      <c r="GX765"/>
      <c r="GY765"/>
      <c r="GZ765"/>
      <c r="HA765"/>
      <c r="HB765"/>
      <c r="HC765"/>
      <c r="HD765"/>
      <c r="HE765"/>
      <c r="HF765"/>
      <c r="HG765"/>
      <c r="HH765"/>
      <c r="HI765"/>
      <c r="HJ765"/>
      <c r="HK765"/>
      <c r="HL765"/>
      <c r="HM765"/>
      <c r="HN765"/>
      <c r="HO765"/>
      <c r="HP765"/>
      <c r="HQ765"/>
      <c r="HR765"/>
      <c r="HS765"/>
      <c r="HT765"/>
      <c r="HU765"/>
      <c r="HV765"/>
      <c r="HW765"/>
      <c r="HX765"/>
      <c r="HY765"/>
      <c r="HZ765"/>
      <c r="IA765"/>
      <c r="IB765"/>
      <c r="IC765"/>
      <c r="ID765"/>
      <c r="IE765"/>
      <c r="IF765"/>
      <c r="IG765"/>
      <c r="IH765"/>
      <c r="II765"/>
      <c r="IJ765"/>
      <c r="IK765"/>
      <c r="IL765"/>
      <c r="IM765"/>
      <c r="IN765"/>
      <c r="IO765"/>
      <c r="IP765"/>
      <c r="IQ765"/>
      <c r="IR765"/>
      <c r="IS765"/>
      <c r="IT765"/>
      <c r="IU765"/>
      <c r="IV765"/>
    </row>
    <row r="766" spans="1:256" ht="12.75" hidden="1" customHeight="1" x14ac:dyDescent="0.2">
      <c r="A766" s="583"/>
      <c r="B766" s="584" t="s">
        <v>863</v>
      </c>
      <c r="C766" s="610">
        <f>C767+C768</f>
        <v>5500000</v>
      </c>
      <c r="D766" s="603">
        <f>D767+D768</f>
        <v>3391000</v>
      </c>
      <c r="E766" s="603">
        <f>E767+E768</f>
        <v>3133425</v>
      </c>
      <c r="F766" s="609">
        <f>F767+F768</f>
        <v>1795955.96</v>
      </c>
      <c r="G766" s="602">
        <f>G767+G768</f>
        <v>2500000</v>
      </c>
      <c r="H766"/>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c r="EW766"/>
      <c r="EX766"/>
      <c r="EY766"/>
      <c r="EZ766"/>
      <c r="FA766"/>
      <c r="FB766"/>
      <c r="FC766"/>
      <c r="FD766"/>
      <c r="FE766"/>
      <c r="FF766"/>
      <c r="FG766"/>
      <c r="FH766"/>
      <c r="FI766"/>
      <c r="FJ766"/>
      <c r="FK766"/>
      <c r="FL766"/>
      <c r="FM766"/>
      <c r="FN766"/>
      <c r="FO766"/>
      <c r="FP766"/>
      <c r="FQ766"/>
      <c r="FR766"/>
      <c r="FS766"/>
      <c r="FT766"/>
      <c r="FU766"/>
      <c r="FV766"/>
      <c r="FW766"/>
      <c r="FX766"/>
      <c r="FY766"/>
      <c r="FZ766"/>
      <c r="GA766"/>
      <c r="GB766"/>
      <c r="GC766"/>
      <c r="GD766"/>
      <c r="GE766"/>
      <c r="GF766"/>
      <c r="GG766"/>
      <c r="GH766"/>
      <c r="GI766"/>
      <c r="GJ766"/>
      <c r="GK766"/>
      <c r="GL766"/>
      <c r="GM766"/>
      <c r="GN766"/>
      <c r="GO766"/>
      <c r="GP766"/>
      <c r="GQ766"/>
      <c r="GR766"/>
      <c r="GS766"/>
      <c r="GT766"/>
      <c r="GU766"/>
      <c r="GV766"/>
      <c r="GW766"/>
      <c r="GX766"/>
      <c r="GY766"/>
      <c r="GZ766"/>
      <c r="HA766"/>
      <c r="HB766"/>
      <c r="HC766"/>
      <c r="HD766"/>
      <c r="HE766"/>
      <c r="HF766"/>
      <c r="HG766"/>
      <c r="HH766"/>
      <c r="HI766"/>
      <c r="HJ766"/>
      <c r="HK766"/>
      <c r="HL766"/>
      <c r="HM766"/>
      <c r="HN766"/>
      <c r="HO766"/>
      <c r="HP766"/>
      <c r="HQ766"/>
      <c r="HR766"/>
      <c r="HS766"/>
      <c r="HT766"/>
      <c r="HU766"/>
      <c r="HV766"/>
      <c r="HW766"/>
      <c r="HX766"/>
      <c r="HY766"/>
      <c r="HZ766"/>
      <c r="IA766"/>
      <c r="IB766"/>
      <c r="IC766"/>
      <c r="ID766"/>
      <c r="IE766"/>
      <c r="IF766"/>
      <c r="IG766"/>
      <c r="IH766"/>
      <c r="II766"/>
      <c r="IJ766"/>
      <c r="IK766"/>
      <c r="IL766"/>
      <c r="IM766"/>
      <c r="IN766"/>
      <c r="IO766"/>
      <c r="IP766"/>
      <c r="IQ766"/>
      <c r="IR766"/>
      <c r="IS766"/>
      <c r="IT766"/>
      <c r="IU766"/>
      <c r="IV766"/>
    </row>
    <row r="767" spans="1:256" ht="12.75" hidden="1" customHeight="1" x14ac:dyDescent="0.2">
      <c r="A767" s="583"/>
      <c r="B767" s="557" t="s">
        <v>864</v>
      </c>
      <c r="C767" s="560">
        <v>1500000</v>
      </c>
      <c r="D767" s="562">
        <v>1891000</v>
      </c>
      <c r="E767" s="564">
        <v>1891000</v>
      </c>
      <c r="F767" s="580">
        <v>853530.95</v>
      </c>
      <c r="G767" s="162">
        <v>1500000</v>
      </c>
      <c r="H767"/>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c r="EX767"/>
      <c r="EY767"/>
      <c r="EZ767"/>
      <c r="FA767"/>
      <c r="FB767"/>
      <c r="FC767"/>
      <c r="FD767"/>
      <c r="FE767"/>
      <c r="FF767"/>
      <c r="FG767"/>
      <c r="FH767"/>
      <c r="FI767"/>
      <c r="FJ767"/>
      <c r="FK767"/>
      <c r="FL767"/>
      <c r="FM767"/>
      <c r="FN767"/>
      <c r="FO767"/>
      <c r="FP767"/>
      <c r="FQ767"/>
      <c r="FR767"/>
      <c r="FS767"/>
      <c r="FT767"/>
      <c r="FU767"/>
      <c r="FV767"/>
      <c r="FW767"/>
      <c r="FX767"/>
      <c r="FY767"/>
      <c r="FZ767"/>
      <c r="GA767"/>
      <c r="GB767"/>
      <c r="GC767"/>
      <c r="GD767"/>
      <c r="GE767"/>
      <c r="GF767"/>
      <c r="GG767"/>
      <c r="GH767"/>
      <c r="GI767"/>
      <c r="GJ767"/>
      <c r="GK767"/>
      <c r="GL767"/>
      <c r="GM767"/>
      <c r="GN767"/>
      <c r="GO767"/>
      <c r="GP767"/>
      <c r="GQ767"/>
      <c r="GR767"/>
      <c r="GS767"/>
      <c r="GT767"/>
      <c r="GU767"/>
      <c r="GV767"/>
      <c r="GW767"/>
      <c r="GX767"/>
      <c r="GY767"/>
      <c r="GZ767"/>
      <c r="HA767"/>
      <c r="HB767"/>
      <c r="HC767"/>
      <c r="HD767"/>
      <c r="HE767"/>
      <c r="HF767"/>
      <c r="HG767"/>
      <c r="HH767"/>
      <c r="HI767"/>
      <c r="HJ767"/>
      <c r="HK767"/>
      <c r="HL767"/>
      <c r="HM767"/>
      <c r="HN767"/>
      <c r="HO767"/>
      <c r="HP767"/>
      <c r="HQ767"/>
      <c r="HR767"/>
      <c r="HS767"/>
      <c r="HT767"/>
      <c r="HU767"/>
      <c r="HV767"/>
      <c r="HW767"/>
      <c r="HX767"/>
      <c r="HY767"/>
      <c r="HZ767"/>
      <c r="IA767"/>
      <c r="IB767"/>
      <c r="IC767"/>
      <c r="ID767"/>
      <c r="IE767"/>
      <c r="IF767"/>
      <c r="IG767"/>
      <c r="IH767"/>
      <c r="II767"/>
      <c r="IJ767"/>
      <c r="IK767"/>
      <c r="IL767"/>
      <c r="IM767"/>
      <c r="IN767"/>
      <c r="IO767"/>
      <c r="IP767"/>
      <c r="IQ767"/>
      <c r="IR767"/>
      <c r="IS767"/>
      <c r="IT767"/>
      <c r="IU767"/>
      <c r="IV767"/>
    </row>
    <row r="768" spans="1:256" ht="12.75" hidden="1" customHeight="1" x14ac:dyDescent="0.2">
      <c r="A768" s="583"/>
      <c r="B768" s="627" t="s">
        <v>865</v>
      </c>
      <c r="C768" s="560">
        <f>SUM(C769:C775)</f>
        <v>4000000</v>
      </c>
      <c r="D768" s="562">
        <f>SUM(D769:D775)</f>
        <v>1500000</v>
      </c>
      <c r="E768" s="562">
        <f>SUM(E769:E775)</f>
        <v>1242425</v>
      </c>
      <c r="F768" s="611">
        <f>SUM(F769:F775)</f>
        <v>942425.01</v>
      </c>
      <c r="G768" s="558">
        <f>SUM(G769:G775)</f>
        <v>1000000</v>
      </c>
      <c r="H768"/>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c r="EX768"/>
      <c r="EY768"/>
      <c r="EZ768"/>
      <c r="FA768"/>
      <c r="FB768"/>
      <c r="FC768"/>
      <c r="FD768"/>
      <c r="FE768"/>
      <c r="FF768"/>
      <c r="FG768"/>
      <c r="FH768"/>
      <c r="FI768"/>
      <c r="FJ768"/>
      <c r="FK768"/>
      <c r="FL768"/>
      <c r="FM768"/>
      <c r="FN768"/>
      <c r="FO768"/>
      <c r="FP768"/>
      <c r="FQ768"/>
      <c r="FR768"/>
      <c r="FS768"/>
      <c r="FT768"/>
      <c r="FU768"/>
      <c r="FV768"/>
      <c r="FW768"/>
      <c r="FX768"/>
      <c r="FY768"/>
      <c r="FZ768"/>
      <c r="GA768"/>
      <c r="GB768"/>
      <c r="GC768"/>
      <c r="GD768"/>
      <c r="GE768"/>
      <c r="GF768"/>
      <c r="GG768"/>
      <c r="GH768"/>
      <c r="GI768"/>
      <c r="GJ768"/>
      <c r="GK768"/>
      <c r="GL768"/>
      <c r="GM768"/>
      <c r="GN768"/>
      <c r="GO768"/>
      <c r="GP768"/>
      <c r="GQ768"/>
      <c r="GR768"/>
      <c r="GS768"/>
      <c r="GT768"/>
      <c r="GU768"/>
      <c r="GV768"/>
      <c r="GW768"/>
      <c r="GX768"/>
      <c r="GY768"/>
      <c r="GZ768"/>
      <c r="HA768"/>
      <c r="HB768"/>
      <c r="HC768"/>
      <c r="HD768"/>
      <c r="HE768"/>
      <c r="HF768"/>
      <c r="HG768"/>
      <c r="HH768"/>
      <c r="HI768"/>
      <c r="HJ768"/>
      <c r="HK768"/>
      <c r="HL768"/>
      <c r="HM768"/>
      <c r="HN768"/>
      <c r="HO768"/>
      <c r="HP768"/>
      <c r="HQ768"/>
      <c r="HR768"/>
      <c r="HS768"/>
      <c r="HT768"/>
      <c r="HU768"/>
      <c r="HV768"/>
      <c r="HW768"/>
      <c r="HX768"/>
      <c r="HY768"/>
      <c r="HZ768"/>
      <c r="IA768"/>
      <c r="IB768"/>
      <c r="IC768"/>
      <c r="ID768"/>
      <c r="IE768"/>
      <c r="IF768"/>
      <c r="IG768"/>
      <c r="IH768"/>
      <c r="II768"/>
      <c r="IJ768"/>
      <c r="IK768"/>
      <c r="IL768"/>
      <c r="IM768"/>
      <c r="IN768"/>
      <c r="IO768"/>
      <c r="IP768"/>
      <c r="IQ768"/>
      <c r="IR768"/>
      <c r="IS768"/>
      <c r="IT768"/>
      <c r="IU768"/>
      <c r="IV768"/>
    </row>
    <row r="769" spans="1:256" ht="12.75" hidden="1" customHeight="1" x14ac:dyDescent="0.2">
      <c r="A769" s="601"/>
      <c r="B769" s="627" t="s">
        <v>866</v>
      </c>
      <c r="C769" s="560">
        <v>500000</v>
      </c>
      <c r="D769" s="562">
        <v>0</v>
      </c>
      <c r="E769" s="564">
        <v>0</v>
      </c>
      <c r="F769" s="611">
        <v>0</v>
      </c>
      <c r="G769" s="558">
        <v>0</v>
      </c>
      <c r="H769"/>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c r="EX769"/>
      <c r="EY769"/>
      <c r="EZ769"/>
      <c r="FA769"/>
      <c r="FB769"/>
      <c r="FC769"/>
      <c r="FD769"/>
      <c r="FE769"/>
      <c r="FF769"/>
      <c r="FG769"/>
      <c r="FH769"/>
      <c r="FI769"/>
      <c r="FJ769"/>
      <c r="FK769"/>
      <c r="FL769"/>
      <c r="FM769"/>
      <c r="FN769"/>
      <c r="FO769"/>
      <c r="FP769"/>
      <c r="FQ769"/>
      <c r="FR769"/>
      <c r="FS769"/>
      <c r="FT769"/>
      <c r="FU769"/>
      <c r="FV769"/>
      <c r="FW769"/>
      <c r="FX769"/>
      <c r="FY769"/>
      <c r="FZ769"/>
      <c r="GA769"/>
      <c r="GB769"/>
      <c r="GC769"/>
      <c r="GD769"/>
      <c r="GE769"/>
      <c r="GF769"/>
      <c r="GG769"/>
      <c r="GH769"/>
      <c r="GI769"/>
      <c r="GJ769"/>
      <c r="GK769"/>
      <c r="GL769"/>
      <c r="GM769"/>
      <c r="GN769"/>
      <c r="GO769"/>
      <c r="GP769"/>
      <c r="GQ769"/>
      <c r="GR769"/>
      <c r="GS769"/>
      <c r="GT769"/>
      <c r="GU769"/>
      <c r="GV769"/>
      <c r="GW769"/>
      <c r="GX769"/>
      <c r="GY769"/>
      <c r="GZ769"/>
      <c r="HA769"/>
      <c r="HB769"/>
      <c r="HC769"/>
      <c r="HD769"/>
      <c r="HE769"/>
      <c r="HF769"/>
      <c r="HG769"/>
      <c r="HH769"/>
      <c r="HI769"/>
      <c r="HJ769"/>
      <c r="HK769"/>
      <c r="HL769"/>
      <c r="HM769"/>
      <c r="HN769"/>
      <c r="HO769"/>
      <c r="HP769"/>
      <c r="HQ769"/>
      <c r="HR769"/>
      <c r="HS769"/>
      <c r="HT769"/>
      <c r="HU769"/>
      <c r="HV769"/>
      <c r="HW769"/>
      <c r="HX769"/>
      <c r="HY769"/>
      <c r="HZ769"/>
      <c r="IA769"/>
      <c r="IB769"/>
      <c r="IC769"/>
      <c r="ID769"/>
      <c r="IE769"/>
      <c r="IF769"/>
      <c r="IG769"/>
      <c r="IH769"/>
      <c r="II769"/>
      <c r="IJ769"/>
      <c r="IK769"/>
      <c r="IL769"/>
      <c r="IM769"/>
      <c r="IN769"/>
      <c r="IO769"/>
      <c r="IP769"/>
      <c r="IQ769"/>
      <c r="IR769"/>
      <c r="IS769"/>
      <c r="IT769"/>
      <c r="IU769"/>
      <c r="IV769"/>
    </row>
    <row r="770" spans="1:256" s="607" customFormat="1" ht="12.75" hidden="1" customHeight="1" x14ac:dyDescent="0.2">
      <c r="A770" s="601"/>
      <c r="B770" s="628" t="s">
        <v>867</v>
      </c>
      <c r="C770" s="558">
        <v>1500000</v>
      </c>
      <c r="D770" s="562">
        <f>1500000-300000</f>
        <v>1200000</v>
      </c>
      <c r="E770" s="564">
        <v>942425</v>
      </c>
      <c r="F770" s="580">
        <v>942425.01</v>
      </c>
      <c r="G770" s="162">
        <v>0</v>
      </c>
    </row>
    <row r="771" spans="1:256" s="607" customFormat="1" ht="12.75" hidden="1" customHeight="1" x14ac:dyDescent="0.2">
      <c r="A771" s="601"/>
      <c r="B771" s="628" t="s">
        <v>868</v>
      </c>
      <c r="C771" s="560">
        <v>500000</v>
      </c>
      <c r="D771" s="562">
        <f>500000-400000</f>
        <v>100000</v>
      </c>
      <c r="E771" s="564">
        <v>100000</v>
      </c>
      <c r="F771" s="580">
        <v>0</v>
      </c>
      <c r="G771" s="162">
        <v>0</v>
      </c>
    </row>
    <row r="772" spans="1:256" s="607" customFormat="1" ht="12.75" hidden="1" customHeight="1" x14ac:dyDescent="0.2">
      <c r="A772" s="601"/>
      <c r="B772" s="629" t="s">
        <v>869</v>
      </c>
      <c r="C772" s="558">
        <v>500000</v>
      </c>
      <c r="D772" s="562">
        <f>500000-400000</f>
        <v>100000</v>
      </c>
      <c r="E772" s="564">
        <v>100000</v>
      </c>
      <c r="F772" s="580">
        <v>0</v>
      </c>
      <c r="G772" s="162">
        <v>0</v>
      </c>
    </row>
    <row r="773" spans="1:256" s="607" customFormat="1" ht="12.75" hidden="1" customHeight="1" x14ac:dyDescent="0.2">
      <c r="A773" s="601"/>
      <c r="B773" s="628" t="s">
        <v>870</v>
      </c>
      <c r="C773" s="558">
        <v>1000000</v>
      </c>
      <c r="D773" s="562">
        <f>1000000-900000</f>
        <v>100000</v>
      </c>
      <c r="E773" s="564">
        <v>100000</v>
      </c>
      <c r="F773" s="580">
        <v>0</v>
      </c>
      <c r="G773" s="127">
        <v>0</v>
      </c>
    </row>
    <row r="774" spans="1:256" s="607" customFormat="1" ht="12.75" hidden="1" customHeight="1" x14ac:dyDescent="0.2">
      <c r="A774" s="601"/>
      <c r="B774" s="628" t="s">
        <v>871</v>
      </c>
      <c r="C774" s="558"/>
      <c r="D774" s="562"/>
      <c r="E774" s="564"/>
      <c r="F774" s="580"/>
      <c r="G774" s="162">
        <v>500000</v>
      </c>
    </row>
    <row r="775" spans="1:256" s="607" customFormat="1" ht="12.75" hidden="1" customHeight="1" x14ac:dyDescent="0.2">
      <c r="A775" s="601"/>
      <c r="B775" s="630" t="s">
        <v>872</v>
      </c>
      <c r="C775" s="558"/>
      <c r="D775" s="562"/>
      <c r="E775" s="564"/>
      <c r="F775" s="580"/>
      <c r="G775" s="127">
        <v>500000</v>
      </c>
    </row>
    <row r="776" spans="1:256" s="607" customFormat="1" ht="12.75" hidden="1" customHeight="1" x14ac:dyDescent="0.2">
      <c r="A776" s="583"/>
      <c r="B776" s="627" t="s">
        <v>873</v>
      </c>
      <c r="C776" s="558">
        <v>100000</v>
      </c>
      <c r="D776" s="562">
        <f>100000-90000</f>
        <v>10000</v>
      </c>
      <c r="E776" s="564">
        <v>0</v>
      </c>
      <c r="F776" s="580">
        <v>0</v>
      </c>
      <c r="G776" s="162">
        <v>0</v>
      </c>
    </row>
    <row r="777" spans="1:256" s="607" customFormat="1" ht="12.75" hidden="1" customHeight="1" x14ac:dyDescent="0.2">
      <c r="A777" s="583"/>
      <c r="B777" s="557" t="s">
        <v>874</v>
      </c>
      <c r="C777" s="558">
        <v>260000</v>
      </c>
      <c r="D777" s="562">
        <v>260000</v>
      </c>
      <c r="E777" s="564">
        <v>260000</v>
      </c>
      <c r="F777" s="580">
        <v>119984</v>
      </c>
      <c r="G777" s="162">
        <v>260000</v>
      </c>
    </row>
    <row r="778" spans="1:256" ht="12.75" hidden="1" customHeight="1" x14ac:dyDescent="0.2">
      <c r="A778" s="583"/>
      <c r="B778" s="561" t="s">
        <v>875</v>
      </c>
      <c r="C778" s="558">
        <v>2850000</v>
      </c>
      <c r="D778" s="591">
        <f>2850000+6635</f>
        <v>2856635</v>
      </c>
      <c r="E778" s="592">
        <v>2300000</v>
      </c>
      <c r="F778" s="580">
        <v>1247627.56</v>
      </c>
      <c r="G778" s="162">
        <v>2500000</v>
      </c>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c r="EY778"/>
      <c r="EZ778"/>
      <c r="FA778"/>
      <c r="FB778"/>
      <c r="FC778"/>
      <c r="FD778"/>
      <c r="FE778"/>
      <c r="FF778"/>
      <c r="FG778"/>
      <c r="FH778"/>
      <c r="FI778"/>
      <c r="FJ778"/>
      <c r="FK778"/>
      <c r="FL778"/>
      <c r="FM778"/>
      <c r="FN778"/>
      <c r="FO778"/>
      <c r="FP778"/>
      <c r="FQ778"/>
      <c r="FR778"/>
      <c r="FS778"/>
      <c r="FT778"/>
      <c r="FU778"/>
      <c r="FV778"/>
      <c r="FW778"/>
      <c r="FX778"/>
      <c r="FY778"/>
      <c r="FZ778"/>
      <c r="GA778"/>
      <c r="GB778"/>
      <c r="GC778"/>
      <c r="GD778"/>
      <c r="GE778"/>
      <c r="GF778"/>
      <c r="GG778"/>
      <c r="GH778"/>
      <c r="GI778"/>
      <c r="GJ778"/>
      <c r="GK778"/>
      <c r="GL778"/>
      <c r="GM778"/>
      <c r="GN778"/>
      <c r="GO778"/>
      <c r="GP778"/>
      <c r="GQ778"/>
      <c r="GR778"/>
      <c r="GS778"/>
      <c r="GT778"/>
      <c r="GU778"/>
      <c r="GV778"/>
      <c r="GW778"/>
      <c r="GX778"/>
      <c r="GY778"/>
      <c r="GZ778"/>
      <c r="HA778"/>
      <c r="HB778"/>
      <c r="HC778"/>
      <c r="HD778"/>
      <c r="HE778"/>
      <c r="HF778"/>
      <c r="HG778"/>
      <c r="HH778"/>
      <c r="HI778"/>
      <c r="HJ778"/>
      <c r="HK778"/>
      <c r="HL778"/>
      <c r="HM778"/>
      <c r="HN778"/>
      <c r="HO778"/>
      <c r="HP778"/>
      <c r="HQ778"/>
      <c r="HR778"/>
      <c r="HS778"/>
      <c r="HT778"/>
      <c r="HU778"/>
      <c r="HV778"/>
      <c r="HW778"/>
      <c r="HX778"/>
      <c r="HY778"/>
      <c r="HZ778"/>
      <c r="IA778"/>
      <c r="IB778"/>
      <c r="IC778"/>
      <c r="ID778"/>
      <c r="IE778"/>
      <c r="IF778"/>
      <c r="IG778"/>
      <c r="IH778"/>
      <c r="II778"/>
      <c r="IJ778"/>
      <c r="IK778"/>
      <c r="IL778"/>
      <c r="IM778"/>
      <c r="IN778"/>
      <c r="IO778"/>
      <c r="IP778"/>
      <c r="IQ778"/>
      <c r="IR778"/>
      <c r="IS778"/>
      <c r="IT778"/>
      <c r="IU778"/>
      <c r="IV778"/>
    </row>
    <row r="779" spans="1:256" ht="12.75" hidden="1" customHeight="1" x14ac:dyDescent="0.2">
      <c r="A779" s="583"/>
      <c r="B779" s="561" t="s">
        <v>876</v>
      </c>
      <c r="C779" s="558">
        <v>100000</v>
      </c>
      <c r="D779" s="562">
        <v>100000</v>
      </c>
      <c r="E779" s="564">
        <v>100000</v>
      </c>
      <c r="F779" s="580">
        <f>54064+6634.92</f>
        <v>60698.92</v>
      </c>
      <c r="G779" s="162">
        <v>100000</v>
      </c>
      <c r="H779"/>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c r="EY779"/>
      <c r="EZ779"/>
      <c r="FA779"/>
      <c r="FB779"/>
      <c r="FC779"/>
      <c r="FD779"/>
      <c r="FE779"/>
      <c r="FF779"/>
      <c r="FG779"/>
      <c r="FH779"/>
      <c r="FI779"/>
      <c r="FJ779"/>
      <c r="FK779"/>
      <c r="FL779"/>
      <c r="FM779"/>
      <c r="FN779"/>
      <c r="FO779"/>
      <c r="FP779"/>
      <c r="FQ779"/>
      <c r="FR779"/>
      <c r="FS779"/>
      <c r="FT779"/>
      <c r="FU779"/>
      <c r="FV779"/>
      <c r="FW779"/>
      <c r="FX779"/>
      <c r="FY779"/>
      <c r="FZ779"/>
      <c r="GA779"/>
      <c r="GB779"/>
      <c r="GC779"/>
      <c r="GD779"/>
      <c r="GE779"/>
      <c r="GF779"/>
      <c r="GG779"/>
      <c r="GH779"/>
      <c r="GI779"/>
      <c r="GJ779"/>
      <c r="GK779"/>
      <c r="GL779"/>
      <c r="GM779"/>
      <c r="GN779"/>
      <c r="GO779"/>
      <c r="GP779"/>
      <c r="GQ779"/>
      <c r="GR779"/>
      <c r="GS779"/>
      <c r="GT779"/>
      <c r="GU779"/>
      <c r="GV779"/>
      <c r="GW779"/>
      <c r="GX779"/>
      <c r="GY779"/>
      <c r="GZ779"/>
      <c r="HA779"/>
      <c r="HB779"/>
      <c r="HC779"/>
      <c r="HD779"/>
      <c r="HE779"/>
      <c r="HF779"/>
      <c r="HG779"/>
      <c r="HH779"/>
      <c r="HI779"/>
      <c r="HJ779"/>
      <c r="HK779"/>
      <c r="HL779"/>
      <c r="HM779"/>
      <c r="HN779"/>
      <c r="HO779"/>
      <c r="HP779"/>
      <c r="HQ779"/>
      <c r="HR779"/>
      <c r="HS779"/>
      <c r="HT779"/>
      <c r="HU779"/>
      <c r="HV779"/>
      <c r="HW779"/>
      <c r="HX779"/>
      <c r="HY779"/>
      <c r="HZ779"/>
      <c r="IA779"/>
      <c r="IB779"/>
      <c r="IC779"/>
      <c r="ID779"/>
      <c r="IE779"/>
      <c r="IF779"/>
      <c r="IG779"/>
      <c r="IH779"/>
      <c r="II779"/>
      <c r="IJ779"/>
      <c r="IK779"/>
      <c r="IL779"/>
      <c r="IM779"/>
      <c r="IN779"/>
      <c r="IO779"/>
      <c r="IP779"/>
      <c r="IQ779"/>
      <c r="IR779"/>
      <c r="IS779"/>
      <c r="IT779"/>
      <c r="IU779"/>
      <c r="IV779"/>
    </row>
    <row r="780" spans="1:256" ht="12.75" hidden="1" customHeight="1" x14ac:dyDescent="0.2">
      <c r="A780" s="583"/>
      <c r="B780" s="561" t="s">
        <v>877</v>
      </c>
      <c r="C780" s="558">
        <v>22100000</v>
      </c>
      <c r="D780" s="562">
        <v>22100000</v>
      </c>
      <c r="E780" s="564">
        <v>20000000</v>
      </c>
      <c r="F780" s="580">
        <v>11407059.789999999</v>
      </c>
      <c r="G780" s="162">
        <v>20000000</v>
      </c>
      <c r="H780"/>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c r="EX780"/>
      <c r="EY780"/>
      <c r="EZ780"/>
      <c r="FA780"/>
      <c r="FB780"/>
      <c r="FC780"/>
      <c r="FD780"/>
      <c r="FE780"/>
      <c r="FF780"/>
      <c r="FG780"/>
      <c r="FH780"/>
      <c r="FI780"/>
      <c r="FJ780"/>
      <c r="FK780"/>
      <c r="FL780"/>
      <c r="FM780"/>
      <c r="FN780"/>
      <c r="FO780"/>
      <c r="FP780"/>
      <c r="FQ780"/>
      <c r="FR780"/>
      <c r="FS780"/>
      <c r="FT780"/>
      <c r="FU780"/>
      <c r="FV780"/>
      <c r="FW780"/>
      <c r="FX780"/>
      <c r="FY780"/>
      <c r="FZ780"/>
      <c r="GA780"/>
      <c r="GB780"/>
      <c r="GC780"/>
      <c r="GD780"/>
      <c r="GE780"/>
      <c r="GF780"/>
      <c r="GG780"/>
      <c r="GH780"/>
      <c r="GI780"/>
      <c r="GJ780"/>
      <c r="GK780"/>
      <c r="GL780"/>
      <c r="GM780"/>
      <c r="GN780"/>
      <c r="GO780"/>
      <c r="GP780"/>
      <c r="GQ780"/>
      <c r="GR780"/>
      <c r="GS780"/>
      <c r="GT780"/>
      <c r="GU780"/>
      <c r="GV780"/>
      <c r="GW780"/>
      <c r="GX780"/>
      <c r="GY780"/>
      <c r="GZ780"/>
      <c r="HA780"/>
      <c r="HB780"/>
      <c r="HC780"/>
      <c r="HD780"/>
      <c r="HE780"/>
      <c r="HF780"/>
      <c r="HG780"/>
      <c r="HH780"/>
      <c r="HI780"/>
      <c r="HJ780"/>
      <c r="HK780"/>
      <c r="HL780"/>
      <c r="HM780"/>
      <c r="HN780"/>
      <c r="HO780"/>
      <c r="HP780"/>
      <c r="HQ780"/>
      <c r="HR780"/>
      <c r="HS780"/>
      <c r="HT780"/>
      <c r="HU780"/>
      <c r="HV780"/>
      <c r="HW780"/>
      <c r="HX780"/>
      <c r="HY780"/>
      <c r="HZ780"/>
      <c r="IA780"/>
      <c r="IB780"/>
      <c r="IC780"/>
      <c r="ID780"/>
      <c r="IE780"/>
      <c r="IF780"/>
      <c r="IG780"/>
      <c r="IH780"/>
      <c r="II780"/>
      <c r="IJ780"/>
      <c r="IK780"/>
      <c r="IL780"/>
      <c r="IM780"/>
      <c r="IN780"/>
      <c r="IO780"/>
      <c r="IP780"/>
      <c r="IQ780"/>
      <c r="IR780"/>
      <c r="IS780"/>
      <c r="IT780"/>
      <c r="IU780"/>
      <c r="IV780"/>
    </row>
    <row r="781" spans="1:256" ht="12.75" hidden="1" customHeight="1" x14ac:dyDescent="0.2">
      <c r="A781" s="631"/>
      <c r="B781" s="627" t="s">
        <v>878</v>
      </c>
      <c r="C781" s="558"/>
      <c r="D781" s="562"/>
      <c r="E781" s="564"/>
      <c r="F781" s="580"/>
      <c r="G781" s="162">
        <v>50000</v>
      </c>
      <c r="H781"/>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c r="EY781"/>
      <c r="EZ781"/>
      <c r="FA781"/>
      <c r="FB781"/>
      <c r="FC781"/>
      <c r="FD781"/>
      <c r="FE781"/>
      <c r="FF781"/>
      <c r="FG781"/>
      <c r="FH781"/>
      <c r="FI781"/>
      <c r="FJ781"/>
      <c r="FK781"/>
      <c r="FL781"/>
      <c r="FM781"/>
      <c r="FN781"/>
      <c r="FO781"/>
      <c r="FP781"/>
      <c r="FQ781"/>
      <c r="FR781"/>
      <c r="FS781"/>
      <c r="FT781"/>
      <c r="FU781"/>
      <c r="FV781"/>
      <c r="FW781"/>
      <c r="FX781"/>
      <c r="FY781"/>
      <c r="FZ781"/>
      <c r="GA781"/>
      <c r="GB781"/>
      <c r="GC781"/>
      <c r="GD781"/>
      <c r="GE781"/>
      <c r="GF781"/>
      <c r="GG781"/>
      <c r="GH781"/>
      <c r="GI781"/>
      <c r="GJ781"/>
      <c r="GK781"/>
      <c r="GL781"/>
      <c r="GM781"/>
      <c r="GN781"/>
      <c r="GO781"/>
      <c r="GP781"/>
      <c r="GQ781"/>
      <c r="GR781"/>
      <c r="GS781"/>
      <c r="GT781"/>
      <c r="GU781"/>
      <c r="GV781"/>
      <c r="GW781"/>
      <c r="GX781"/>
      <c r="GY781"/>
      <c r="GZ781"/>
      <c r="HA781"/>
      <c r="HB781"/>
      <c r="HC781"/>
      <c r="HD781"/>
      <c r="HE781"/>
      <c r="HF781"/>
      <c r="HG781"/>
      <c r="HH781"/>
      <c r="HI781"/>
      <c r="HJ781"/>
      <c r="HK781"/>
      <c r="HL781"/>
      <c r="HM781"/>
      <c r="HN781"/>
      <c r="HO781"/>
      <c r="HP781"/>
      <c r="HQ781"/>
      <c r="HR781"/>
      <c r="HS781"/>
      <c r="HT781"/>
      <c r="HU781"/>
      <c r="HV781"/>
      <c r="HW781"/>
      <c r="HX781"/>
      <c r="HY781"/>
      <c r="HZ781"/>
      <c r="IA781"/>
      <c r="IB781"/>
      <c r="IC781"/>
      <c r="ID781"/>
      <c r="IE781"/>
      <c r="IF781"/>
      <c r="IG781"/>
      <c r="IH781"/>
      <c r="II781"/>
      <c r="IJ781"/>
      <c r="IK781"/>
      <c r="IL781"/>
      <c r="IM781"/>
      <c r="IN781"/>
      <c r="IO781"/>
      <c r="IP781"/>
      <c r="IQ781"/>
      <c r="IR781"/>
      <c r="IS781"/>
      <c r="IT781"/>
      <c r="IU781"/>
      <c r="IV781"/>
    </row>
    <row r="782" spans="1:256" ht="12.75" hidden="1" customHeight="1" x14ac:dyDescent="0.2">
      <c r="A782" s="632">
        <v>3613</v>
      </c>
      <c r="B782" s="552" t="s">
        <v>879</v>
      </c>
      <c r="C782" s="555">
        <f>SUM(C783,C796,C797,C798,C815,C803,C816,C843)</f>
        <v>104815000</v>
      </c>
      <c r="D782" s="581">
        <f>SUM(D783,D796,D797,D798,D815,D803,D816,D843)</f>
        <v>34680450</v>
      </c>
      <c r="E782" s="581">
        <f>SUM(E783,E796,E797,E798,E815,E803,E816,E843)</f>
        <v>29164602.560000002</v>
      </c>
      <c r="F782" s="633">
        <f>SUM(F783,F796,F797,F798,F815,F803,F816,F843)</f>
        <v>11547335.569999998</v>
      </c>
      <c r="G782" s="227">
        <f>G783+G796+G797+G798+G803+G816+G817</f>
        <v>22809000</v>
      </c>
      <c r="H782"/>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c r="EY782"/>
      <c r="EZ782"/>
      <c r="FA782"/>
      <c r="FB782"/>
      <c r="FC782"/>
      <c r="FD782"/>
      <c r="FE782"/>
      <c r="FF782"/>
      <c r="FG782"/>
      <c r="FH782"/>
      <c r="FI782"/>
      <c r="FJ782"/>
      <c r="FK782"/>
      <c r="FL782"/>
      <c r="FM782"/>
      <c r="FN782"/>
      <c r="FO782"/>
      <c r="FP782"/>
      <c r="FQ782"/>
      <c r="FR782"/>
      <c r="FS782"/>
      <c r="FT782"/>
      <c r="FU782"/>
      <c r="FV782"/>
      <c r="FW782"/>
      <c r="FX782"/>
      <c r="FY782"/>
      <c r="FZ782"/>
      <c r="GA782"/>
      <c r="GB782"/>
      <c r="GC782"/>
      <c r="GD782"/>
      <c r="GE782"/>
      <c r="GF782"/>
      <c r="GG782"/>
      <c r="GH782"/>
      <c r="GI782"/>
      <c r="GJ782"/>
      <c r="GK782"/>
      <c r="GL782"/>
      <c r="GM782"/>
      <c r="GN782"/>
      <c r="GO782"/>
      <c r="GP782"/>
      <c r="GQ782"/>
      <c r="GR782"/>
      <c r="GS782"/>
      <c r="GT782"/>
      <c r="GU782"/>
      <c r="GV782"/>
      <c r="GW782"/>
      <c r="GX782"/>
      <c r="GY782"/>
      <c r="GZ782"/>
      <c r="HA782"/>
      <c r="HB782"/>
      <c r="HC782"/>
      <c r="HD782"/>
      <c r="HE782"/>
      <c r="HF782"/>
      <c r="HG782"/>
      <c r="HH782"/>
      <c r="HI782"/>
      <c r="HJ782"/>
      <c r="HK782"/>
      <c r="HL782"/>
      <c r="HM782"/>
      <c r="HN782"/>
      <c r="HO782"/>
      <c r="HP782"/>
      <c r="HQ782"/>
      <c r="HR782"/>
      <c r="HS782"/>
      <c r="HT782"/>
      <c r="HU782"/>
      <c r="HV782"/>
      <c r="HW782"/>
      <c r="HX782"/>
      <c r="HY782"/>
      <c r="HZ782"/>
      <c r="IA782"/>
      <c r="IB782"/>
      <c r="IC782"/>
      <c r="ID782"/>
      <c r="IE782"/>
      <c r="IF782"/>
      <c r="IG782"/>
      <c r="IH782"/>
      <c r="II782"/>
      <c r="IJ782"/>
      <c r="IK782"/>
      <c r="IL782"/>
      <c r="IM782"/>
      <c r="IN782"/>
      <c r="IO782"/>
      <c r="IP782"/>
      <c r="IQ782"/>
      <c r="IR782"/>
      <c r="IS782"/>
      <c r="IT782"/>
      <c r="IU782"/>
      <c r="IV782"/>
    </row>
    <row r="783" spans="1:256" ht="12.75" hidden="1" customHeight="1" x14ac:dyDescent="0.2">
      <c r="A783" s="634"/>
      <c r="B783" s="557" t="s">
        <v>880</v>
      </c>
      <c r="C783" s="602">
        <f>SUM(C784:C790)</f>
        <v>81680000</v>
      </c>
      <c r="D783" s="603">
        <f>SUM(D784:D790)</f>
        <v>13287000</v>
      </c>
      <c r="E783" s="603">
        <f>SUM(E784:E790)</f>
        <v>10861152.560000001</v>
      </c>
      <c r="F783" s="635">
        <f>SUM(F784:F795)</f>
        <v>5167417.13</v>
      </c>
      <c r="G783" s="610">
        <f>SUM(G784:G795)</f>
        <v>6843000</v>
      </c>
      <c r="H783"/>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c r="EY783"/>
      <c r="EZ783"/>
      <c r="FA783"/>
      <c r="FB783"/>
      <c r="FC783"/>
      <c r="FD783"/>
      <c r="FE783"/>
      <c r="FF783"/>
      <c r="FG783"/>
      <c r="FH783"/>
      <c r="FI783"/>
      <c r="FJ783"/>
      <c r="FK783"/>
      <c r="FL783"/>
      <c r="FM783"/>
      <c r="FN783"/>
      <c r="FO783"/>
      <c r="FP783"/>
      <c r="FQ783"/>
      <c r="FR783"/>
      <c r="FS783"/>
      <c r="FT783"/>
      <c r="FU783"/>
      <c r="FV783"/>
      <c r="FW783"/>
      <c r="FX783"/>
      <c r="FY783"/>
      <c r="FZ783"/>
      <c r="GA783"/>
      <c r="GB783"/>
      <c r="GC783"/>
      <c r="GD783"/>
      <c r="GE783"/>
      <c r="GF783"/>
      <c r="GG783"/>
      <c r="GH783"/>
      <c r="GI783"/>
      <c r="GJ783"/>
      <c r="GK783"/>
      <c r="GL783"/>
      <c r="GM783"/>
      <c r="GN783"/>
      <c r="GO783"/>
      <c r="GP783"/>
      <c r="GQ783"/>
      <c r="GR783"/>
      <c r="GS783"/>
      <c r="GT783"/>
      <c r="GU783"/>
      <c r="GV783"/>
      <c r="GW783"/>
      <c r="GX783"/>
      <c r="GY783"/>
      <c r="GZ783"/>
      <c r="HA783"/>
      <c r="HB783"/>
      <c r="HC783"/>
      <c r="HD783"/>
      <c r="HE783"/>
      <c r="HF783"/>
      <c r="HG783"/>
      <c r="HH783"/>
      <c r="HI783"/>
      <c r="HJ783"/>
      <c r="HK783"/>
      <c r="HL783"/>
      <c r="HM783"/>
      <c r="HN783"/>
      <c r="HO783"/>
      <c r="HP783"/>
      <c r="HQ783"/>
      <c r="HR783"/>
      <c r="HS783"/>
      <c r="HT783"/>
      <c r="HU783"/>
      <c r="HV783"/>
      <c r="HW783"/>
      <c r="HX783"/>
      <c r="HY783"/>
      <c r="HZ783"/>
      <c r="IA783"/>
      <c r="IB783"/>
      <c r="IC783"/>
      <c r="ID783"/>
      <c r="IE783"/>
      <c r="IF783"/>
      <c r="IG783"/>
      <c r="IH783"/>
      <c r="II783"/>
      <c r="IJ783"/>
      <c r="IK783"/>
      <c r="IL783"/>
      <c r="IM783"/>
      <c r="IN783"/>
      <c r="IO783"/>
      <c r="IP783"/>
      <c r="IQ783"/>
      <c r="IR783"/>
      <c r="IS783"/>
      <c r="IT783"/>
      <c r="IU783"/>
      <c r="IV783"/>
    </row>
    <row r="784" spans="1:256" s="129" customFormat="1" ht="12.75" hidden="1" customHeight="1" x14ac:dyDescent="0.2">
      <c r="A784" s="551"/>
      <c r="B784" s="561" t="s">
        <v>881</v>
      </c>
      <c r="C784" s="560">
        <f>4000000-500000</f>
        <v>3500000</v>
      </c>
      <c r="D784" s="562">
        <f>4000000-500000+500000</f>
        <v>4000000</v>
      </c>
      <c r="E784" s="564">
        <v>4000000</v>
      </c>
      <c r="F784" s="636">
        <v>5808</v>
      </c>
      <c r="G784" s="637">
        <v>0</v>
      </c>
    </row>
    <row r="785" spans="1:256" ht="12.75" hidden="1" customHeight="1" x14ac:dyDescent="0.2">
      <c r="A785" s="551"/>
      <c r="B785" s="561" t="s">
        <v>882</v>
      </c>
      <c r="C785" s="560"/>
      <c r="D785" s="562"/>
      <c r="E785" s="564"/>
      <c r="F785" s="636"/>
      <c r="G785" s="637">
        <v>750000</v>
      </c>
      <c r="H785"/>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c r="EX785"/>
      <c r="EY785"/>
      <c r="EZ785"/>
      <c r="FA785"/>
      <c r="FB785"/>
      <c r="FC785"/>
      <c r="FD785"/>
      <c r="FE785"/>
      <c r="FF785"/>
      <c r="FG785"/>
      <c r="FH785"/>
      <c r="FI785"/>
      <c r="FJ785"/>
      <c r="FK785"/>
      <c r="FL785"/>
      <c r="FM785"/>
      <c r="FN785"/>
      <c r="FO785"/>
      <c r="FP785"/>
      <c r="FQ785"/>
      <c r="FR785"/>
      <c r="FS785"/>
      <c r="FT785"/>
      <c r="FU785"/>
      <c r="FV785"/>
      <c r="FW785"/>
      <c r="FX785"/>
      <c r="FY785"/>
      <c r="FZ785"/>
      <c r="GA785"/>
      <c r="GB785"/>
      <c r="GC785"/>
      <c r="GD785"/>
      <c r="GE785"/>
      <c r="GF785"/>
      <c r="GG785"/>
      <c r="GH785"/>
      <c r="GI785"/>
      <c r="GJ785"/>
      <c r="GK785"/>
      <c r="GL785"/>
      <c r="GM785"/>
      <c r="GN785"/>
      <c r="GO785"/>
      <c r="GP785"/>
      <c r="GQ785"/>
      <c r="GR785"/>
      <c r="GS785"/>
      <c r="GT785"/>
      <c r="GU785"/>
      <c r="GV785"/>
      <c r="GW785"/>
      <c r="GX785"/>
      <c r="GY785"/>
      <c r="GZ785"/>
      <c r="HA785"/>
      <c r="HB785"/>
      <c r="HC785"/>
      <c r="HD785"/>
      <c r="HE785"/>
      <c r="HF785"/>
      <c r="HG785"/>
      <c r="HH785"/>
      <c r="HI785"/>
      <c r="HJ785"/>
      <c r="HK785"/>
      <c r="HL785"/>
      <c r="HM785"/>
      <c r="HN785"/>
      <c r="HO785"/>
      <c r="HP785"/>
      <c r="HQ785"/>
      <c r="HR785"/>
      <c r="HS785"/>
      <c r="HT785"/>
      <c r="HU785"/>
      <c r="HV785"/>
      <c r="HW785"/>
      <c r="HX785"/>
      <c r="HY785"/>
      <c r="HZ785"/>
      <c r="IA785"/>
      <c r="IB785"/>
      <c r="IC785"/>
      <c r="ID785"/>
      <c r="IE785"/>
      <c r="IF785"/>
      <c r="IG785"/>
      <c r="IH785"/>
      <c r="II785"/>
      <c r="IJ785"/>
      <c r="IK785"/>
      <c r="IL785"/>
      <c r="IM785"/>
      <c r="IN785"/>
      <c r="IO785"/>
      <c r="IP785"/>
      <c r="IQ785"/>
      <c r="IR785"/>
      <c r="IS785"/>
      <c r="IT785"/>
      <c r="IU785"/>
      <c r="IV785"/>
    </row>
    <row r="786" spans="1:256" ht="12.75" hidden="1" customHeight="1" x14ac:dyDescent="0.2">
      <c r="A786" s="551"/>
      <c r="B786" s="638" t="s">
        <v>883</v>
      </c>
      <c r="C786" s="558">
        <v>68000000</v>
      </c>
      <c r="D786" s="562">
        <f>68000000-13486022-53513978</f>
        <v>1000000</v>
      </c>
      <c r="E786" s="564">
        <v>0</v>
      </c>
      <c r="F786" s="611">
        <v>0</v>
      </c>
      <c r="G786" s="558">
        <v>500000</v>
      </c>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c r="EX786"/>
      <c r="EY786"/>
      <c r="EZ786"/>
      <c r="FA786"/>
      <c r="FB786"/>
      <c r="FC786"/>
      <c r="FD786"/>
      <c r="FE786"/>
      <c r="FF786"/>
      <c r="FG786"/>
      <c r="FH786"/>
      <c r="FI786"/>
      <c r="FJ786"/>
      <c r="FK786"/>
      <c r="FL786"/>
      <c r="FM786"/>
      <c r="FN786"/>
      <c r="FO786"/>
      <c r="FP786"/>
      <c r="FQ786"/>
      <c r="FR786"/>
      <c r="FS786"/>
      <c r="FT786"/>
      <c r="FU786"/>
      <c r="FV786"/>
      <c r="FW786"/>
      <c r="FX786"/>
      <c r="FY786"/>
      <c r="FZ786"/>
      <c r="GA786"/>
      <c r="GB786"/>
      <c r="GC786"/>
      <c r="GD786"/>
      <c r="GE786"/>
      <c r="GF786"/>
      <c r="GG786"/>
      <c r="GH786"/>
      <c r="GI786"/>
      <c r="GJ786"/>
      <c r="GK786"/>
      <c r="GL786"/>
      <c r="GM786"/>
      <c r="GN786"/>
      <c r="GO786"/>
      <c r="GP786"/>
      <c r="GQ786"/>
      <c r="GR786"/>
      <c r="GS786"/>
      <c r="GT786"/>
      <c r="GU786"/>
      <c r="GV786"/>
      <c r="GW786"/>
      <c r="GX786"/>
      <c r="GY786"/>
      <c r="GZ786"/>
      <c r="HA786"/>
      <c r="HB786"/>
      <c r="HC786"/>
      <c r="HD786"/>
      <c r="HE786"/>
      <c r="HF786"/>
      <c r="HG786"/>
      <c r="HH786"/>
      <c r="HI786"/>
      <c r="HJ786"/>
      <c r="HK786"/>
      <c r="HL786"/>
      <c r="HM786"/>
      <c r="HN786"/>
      <c r="HO786"/>
      <c r="HP786"/>
      <c r="HQ786"/>
      <c r="HR786"/>
      <c r="HS786"/>
      <c r="HT786"/>
      <c r="HU786"/>
      <c r="HV786"/>
      <c r="HW786"/>
      <c r="HX786"/>
      <c r="HY786"/>
      <c r="HZ786"/>
      <c r="IA786"/>
      <c r="IB786"/>
      <c r="IC786"/>
      <c r="ID786"/>
      <c r="IE786"/>
      <c r="IF786"/>
      <c r="IG786"/>
      <c r="IH786"/>
      <c r="II786"/>
      <c r="IJ786"/>
      <c r="IK786"/>
      <c r="IL786"/>
      <c r="IM786"/>
      <c r="IN786"/>
      <c r="IO786"/>
      <c r="IP786"/>
      <c r="IQ786"/>
      <c r="IR786"/>
      <c r="IS786"/>
      <c r="IT786"/>
      <c r="IU786"/>
      <c r="IV786"/>
    </row>
    <row r="787" spans="1:256" ht="12.75" hidden="1" customHeight="1" x14ac:dyDescent="0.2">
      <c r="A787" s="551"/>
      <c r="B787" s="639" t="s">
        <v>884</v>
      </c>
      <c r="C787" s="558">
        <v>2000000</v>
      </c>
      <c r="D787" s="562">
        <f>2000000-1500000</f>
        <v>500000</v>
      </c>
      <c r="E787" s="564">
        <v>0</v>
      </c>
      <c r="F787" s="611">
        <v>0</v>
      </c>
      <c r="G787" s="558">
        <v>100000</v>
      </c>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c r="EX787"/>
      <c r="EY787"/>
      <c r="EZ787"/>
      <c r="FA787"/>
      <c r="FB787"/>
      <c r="FC787"/>
      <c r="FD787"/>
      <c r="FE787"/>
      <c r="FF787"/>
      <c r="FG787"/>
      <c r="FH787"/>
      <c r="FI787"/>
      <c r="FJ787"/>
      <c r="FK787"/>
      <c r="FL787"/>
      <c r="FM787"/>
      <c r="FN787"/>
      <c r="FO787"/>
      <c r="FP787"/>
      <c r="FQ787"/>
      <c r="FR787"/>
      <c r="FS787"/>
      <c r="FT787"/>
      <c r="FU787"/>
      <c r="FV787"/>
      <c r="FW787"/>
      <c r="FX787"/>
      <c r="FY787"/>
      <c r="FZ787"/>
      <c r="GA787"/>
      <c r="GB787"/>
      <c r="GC787"/>
      <c r="GD787"/>
      <c r="GE787"/>
      <c r="GF787"/>
      <c r="GG787"/>
      <c r="GH787"/>
      <c r="GI787"/>
      <c r="GJ787"/>
      <c r="GK787"/>
      <c r="GL787"/>
      <c r="GM787"/>
      <c r="GN787"/>
      <c r="GO787"/>
      <c r="GP787"/>
      <c r="GQ787"/>
      <c r="GR787"/>
      <c r="GS787"/>
      <c r="GT787"/>
      <c r="GU787"/>
      <c r="GV787"/>
      <c r="GW787"/>
      <c r="GX787"/>
      <c r="GY787"/>
      <c r="GZ787"/>
      <c r="HA787"/>
      <c r="HB787"/>
      <c r="HC787"/>
      <c r="HD787"/>
      <c r="HE787"/>
      <c r="HF787"/>
      <c r="HG787"/>
      <c r="HH787"/>
      <c r="HI787"/>
      <c r="HJ787"/>
      <c r="HK787"/>
      <c r="HL787"/>
      <c r="HM787"/>
      <c r="HN787"/>
      <c r="HO787"/>
      <c r="HP787"/>
      <c r="HQ787"/>
      <c r="HR787"/>
      <c r="HS787"/>
      <c r="HT787"/>
      <c r="HU787"/>
      <c r="HV787"/>
      <c r="HW787"/>
      <c r="HX787"/>
      <c r="HY787"/>
      <c r="HZ787"/>
      <c r="IA787"/>
      <c r="IB787"/>
      <c r="IC787"/>
      <c r="ID787"/>
      <c r="IE787"/>
      <c r="IF787"/>
      <c r="IG787"/>
      <c r="IH787"/>
      <c r="II787"/>
      <c r="IJ787"/>
      <c r="IK787"/>
      <c r="IL787"/>
      <c r="IM787"/>
      <c r="IN787"/>
      <c r="IO787"/>
      <c r="IP787"/>
      <c r="IQ787"/>
      <c r="IR787"/>
      <c r="IS787"/>
      <c r="IT787"/>
      <c r="IU787"/>
      <c r="IV787"/>
    </row>
    <row r="788" spans="1:256" ht="12.75" hidden="1" customHeight="1" x14ac:dyDescent="0.2">
      <c r="A788" s="551"/>
      <c r="B788" s="639" t="s">
        <v>885</v>
      </c>
      <c r="C788" s="558">
        <v>5500000</v>
      </c>
      <c r="D788" s="562">
        <v>5500000</v>
      </c>
      <c r="E788" s="564">
        <v>5122889.3</v>
      </c>
      <c r="F788" s="580">
        <v>5122889.13</v>
      </c>
      <c r="G788" s="162">
        <v>0</v>
      </c>
      <c r="H788"/>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c r="FD788"/>
      <c r="FE788"/>
      <c r="FF788"/>
      <c r="FG788"/>
      <c r="FH788"/>
      <c r="FI788"/>
      <c r="FJ788"/>
      <c r="FK788"/>
      <c r="FL788"/>
      <c r="FM788"/>
      <c r="FN788"/>
      <c r="FO788"/>
      <c r="FP788"/>
      <c r="FQ788"/>
      <c r="FR788"/>
      <c r="FS788"/>
      <c r="FT788"/>
      <c r="FU788"/>
      <c r="FV788"/>
      <c r="FW788"/>
      <c r="FX788"/>
      <c r="FY788"/>
      <c r="FZ788"/>
      <c r="GA788"/>
      <c r="GB788"/>
      <c r="GC788"/>
      <c r="GD788"/>
      <c r="GE788"/>
      <c r="GF788"/>
      <c r="GG788"/>
      <c r="GH788"/>
      <c r="GI788"/>
      <c r="GJ788"/>
      <c r="GK788"/>
      <c r="GL788"/>
      <c r="GM788"/>
      <c r="GN788"/>
      <c r="GO788"/>
      <c r="GP788"/>
      <c r="GQ788"/>
      <c r="GR788"/>
      <c r="GS788"/>
      <c r="GT788"/>
      <c r="GU788"/>
      <c r="GV788"/>
      <c r="GW788"/>
      <c r="GX788"/>
      <c r="GY788"/>
      <c r="GZ788"/>
      <c r="HA788"/>
      <c r="HB788"/>
      <c r="HC788"/>
      <c r="HD788"/>
      <c r="HE788"/>
      <c r="HF788"/>
      <c r="HG788"/>
      <c r="HH788"/>
      <c r="HI788"/>
      <c r="HJ788"/>
      <c r="HK788"/>
      <c r="HL788"/>
      <c r="HM788"/>
      <c r="HN788"/>
      <c r="HO788"/>
      <c r="HP788"/>
      <c r="HQ788"/>
      <c r="HR788"/>
      <c r="HS788"/>
      <c r="HT788"/>
      <c r="HU788"/>
      <c r="HV788"/>
      <c r="HW788"/>
      <c r="HX788"/>
      <c r="HY788"/>
      <c r="HZ788"/>
      <c r="IA788"/>
      <c r="IB788"/>
      <c r="IC788"/>
      <c r="ID788"/>
      <c r="IE788"/>
      <c r="IF788"/>
      <c r="IG788"/>
      <c r="IH788"/>
      <c r="II788"/>
      <c r="IJ788"/>
      <c r="IK788"/>
      <c r="IL788"/>
      <c r="IM788"/>
      <c r="IN788"/>
      <c r="IO788"/>
      <c r="IP788"/>
      <c r="IQ788"/>
      <c r="IR788"/>
      <c r="IS788"/>
      <c r="IT788"/>
      <c r="IU788"/>
      <c r="IV788"/>
    </row>
    <row r="789" spans="1:256" ht="12.75" hidden="1" customHeight="1" x14ac:dyDescent="0.2">
      <c r="A789" s="632"/>
      <c r="B789" s="638" t="s">
        <v>886</v>
      </c>
      <c r="C789" s="558">
        <v>500000</v>
      </c>
      <c r="D789" s="562">
        <v>500000</v>
      </c>
      <c r="E789" s="564">
        <v>730000</v>
      </c>
      <c r="F789" s="580">
        <v>38720</v>
      </c>
      <c r="G789" s="162">
        <v>0</v>
      </c>
      <c r="H789"/>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c r="GS789"/>
      <c r="GT789"/>
      <c r="GU789"/>
      <c r="GV789"/>
      <c r="GW789"/>
      <c r="GX789"/>
      <c r="GY789"/>
      <c r="GZ789"/>
      <c r="HA789"/>
      <c r="HB789"/>
      <c r="HC789"/>
      <c r="HD789"/>
      <c r="HE789"/>
      <c r="HF789"/>
      <c r="HG789"/>
      <c r="HH789"/>
      <c r="HI789"/>
      <c r="HJ789"/>
      <c r="HK789"/>
      <c r="HL789"/>
      <c r="HM789"/>
      <c r="HN789"/>
      <c r="HO789"/>
      <c r="HP789"/>
      <c r="HQ789"/>
      <c r="HR789"/>
      <c r="HS789"/>
      <c r="HT789"/>
      <c r="HU789"/>
      <c r="HV789"/>
      <c r="HW789"/>
      <c r="HX789"/>
      <c r="HY789"/>
      <c r="HZ789"/>
      <c r="IA789"/>
      <c r="IB789"/>
      <c r="IC789"/>
      <c r="ID789"/>
      <c r="IE789"/>
      <c r="IF789"/>
      <c r="IG789"/>
      <c r="IH789"/>
      <c r="II789"/>
      <c r="IJ789"/>
      <c r="IK789"/>
      <c r="IL789"/>
      <c r="IM789"/>
      <c r="IN789"/>
      <c r="IO789"/>
      <c r="IP789"/>
      <c r="IQ789"/>
      <c r="IR789"/>
      <c r="IS789"/>
      <c r="IT789"/>
      <c r="IU789"/>
      <c r="IV789"/>
    </row>
    <row r="790" spans="1:256" ht="12.75" hidden="1" customHeight="1" x14ac:dyDescent="0.2">
      <c r="A790" s="632"/>
      <c r="B790" s="639" t="s">
        <v>887</v>
      </c>
      <c r="C790" s="558">
        <v>2180000</v>
      </c>
      <c r="D790" s="562">
        <f>2180000-393000</f>
        <v>1787000</v>
      </c>
      <c r="E790" s="564">
        <v>1008263.26</v>
      </c>
      <c r="F790" s="580">
        <v>0</v>
      </c>
      <c r="G790" s="162">
        <v>393000</v>
      </c>
      <c r="H790"/>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c r="FD790"/>
      <c r="FE790"/>
      <c r="FF790"/>
      <c r="FG790"/>
      <c r="FH790"/>
      <c r="FI790"/>
      <c r="FJ790"/>
      <c r="FK790"/>
      <c r="FL790"/>
      <c r="FM790"/>
      <c r="FN790"/>
      <c r="FO790"/>
      <c r="FP790"/>
      <c r="FQ790"/>
      <c r="FR790"/>
      <c r="FS790"/>
      <c r="FT790"/>
      <c r="FU790"/>
      <c r="FV790"/>
      <c r="FW790"/>
      <c r="FX790"/>
      <c r="FY790"/>
      <c r="FZ790"/>
      <c r="GA790"/>
      <c r="GB790"/>
      <c r="GC790"/>
      <c r="GD790"/>
      <c r="GE790"/>
      <c r="GF790"/>
      <c r="GG790"/>
      <c r="GH790"/>
      <c r="GI790"/>
      <c r="GJ790"/>
      <c r="GK790"/>
      <c r="GL790"/>
      <c r="GM790"/>
      <c r="GN790"/>
      <c r="GO790"/>
      <c r="GP790"/>
      <c r="GQ790"/>
      <c r="GR790"/>
      <c r="GS790"/>
      <c r="GT790"/>
      <c r="GU790"/>
      <c r="GV790"/>
      <c r="GW790"/>
      <c r="GX790"/>
      <c r="GY790"/>
      <c r="GZ790"/>
      <c r="HA790"/>
      <c r="HB790"/>
      <c r="HC790"/>
      <c r="HD790"/>
      <c r="HE790"/>
      <c r="HF790"/>
      <c r="HG790"/>
      <c r="HH790"/>
      <c r="HI790"/>
      <c r="HJ790"/>
      <c r="HK790"/>
      <c r="HL790"/>
      <c r="HM790"/>
      <c r="HN790"/>
      <c r="HO790"/>
      <c r="HP790"/>
      <c r="HQ790"/>
      <c r="HR790"/>
      <c r="HS790"/>
      <c r="HT790"/>
      <c r="HU790"/>
      <c r="HV790"/>
      <c r="HW790"/>
      <c r="HX790"/>
      <c r="HY790"/>
      <c r="HZ790"/>
      <c r="IA790"/>
      <c r="IB790"/>
      <c r="IC790"/>
      <c r="ID790"/>
      <c r="IE790"/>
      <c r="IF790"/>
      <c r="IG790"/>
      <c r="IH790"/>
      <c r="II790"/>
      <c r="IJ790"/>
      <c r="IK790"/>
      <c r="IL790"/>
      <c r="IM790"/>
      <c r="IN790"/>
      <c r="IO790"/>
      <c r="IP790"/>
      <c r="IQ790"/>
      <c r="IR790"/>
      <c r="IS790"/>
      <c r="IT790"/>
      <c r="IU790"/>
      <c r="IV790"/>
    </row>
    <row r="791" spans="1:256" ht="12.75" hidden="1" customHeight="1" x14ac:dyDescent="0.2">
      <c r="A791" s="632"/>
      <c r="B791" s="557" t="s">
        <v>888</v>
      </c>
      <c r="C791" s="560"/>
      <c r="D791" s="562"/>
      <c r="E791" s="564"/>
      <c r="F791" s="580"/>
      <c r="G791" s="162">
        <v>2300000</v>
      </c>
      <c r="H791"/>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c r="FD791"/>
      <c r="FE791"/>
      <c r="FF791"/>
      <c r="FG791"/>
      <c r="FH791"/>
      <c r="FI791"/>
      <c r="FJ791"/>
      <c r="FK791"/>
      <c r="FL791"/>
      <c r="FM791"/>
      <c r="FN791"/>
      <c r="FO791"/>
      <c r="FP791"/>
      <c r="FQ791"/>
      <c r="FR791"/>
      <c r="FS791"/>
      <c r="FT791"/>
      <c r="FU791"/>
      <c r="FV791"/>
      <c r="FW791"/>
      <c r="FX791"/>
      <c r="FY791"/>
      <c r="FZ791"/>
      <c r="GA791"/>
      <c r="GB791"/>
      <c r="GC791"/>
      <c r="GD791"/>
      <c r="GE791"/>
      <c r="GF791"/>
      <c r="GG791"/>
      <c r="GH791"/>
      <c r="GI791"/>
      <c r="GJ791"/>
      <c r="GK791"/>
      <c r="GL791"/>
      <c r="GM791"/>
      <c r="GN791"/>
      <c r="GO791"/>
      <c r="GP791"/>
      <c r="GQ791"/>
      <c r="GR791"/>
      <c r="GS791"/>
      <c r="GT791"/>
      <c r="GU791"/>
      <c r="GV791"/>
      <c r="GW791"/>
      <c r="GX791"/>
      <c r="GY791"/>
      <c r="GZ791"/>
      <c r="HA791"/>
      <c r="HB791"/>
      <c r="HC791"/>
      <c r="HD791"/>
      <c r="HE791"/>
      <c r="HF791"/>
      <c r="HG791"/>
      <c r="HH791"/>
      <c r="HI791"/>
      <c r="HJ791"/>
      <c r="HK791"/>
      <c r="HL791"/>
      <c r="HM791"/>
      <c r="HN791"/>
      <c r="HO791"/>
      <c r="HP791"/>
      <c r="HQ791"/>
      <c r="HR791"/>
      <c r="HS791"/>
      <c r="HT791"/>
      <c r="HU791"/>
      <c r="HV791"/>
      <c r="HW791"/>
      <c r="HX791"/>
      <c r="HY791"/>
      <c r="HZ791"/>
      <c r="IA791"/>
      <c r="IB791"/>
      <c r="IC791"/>
      <c r="ID791"/>
      <c r="IE791"/>
      <c r="IF791"/>
      <c r="IG791"/>
      <c r="IH791"/>
      <c r="II791"/>
      <c r="IJ791"/>
      <c r="IK791"/>
      <c r="IL791"/>
      <c r="IM791"/>
      <c r="IN791"/>
      <c r="IO791"/>
      <c r="IP791"/>
      <c r="IQ791"/>
      <c r="IR791"/>
      <c r="IS791"/>
      <c r="IT791"/>
      <c r="IU791"/>
      <c r="IV791"/>
    </row>
    <row r="792" spans="1:256" ht="12.75" hidden="1" customHeight="1" x14ac:dyDescent="0.2">
      <c r="A792" s="632"/>
      <c r="B792" s="638" t="s">
        <v>889</v>
      </c>
      <c r="C792" s="560"/>
      <c r="D792" s="562"/>
      <c r="E792" s="564"/>
      <c r="F792" s="580"/>
      <c r="G792" s="162">
        <v>100000</v>
      </c>
      <c r="H792"/>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c r="FD792"/>
      <c r="FE792"/>
      <c r="FF792"/>
      <c r="FG792"/>
      <c r="FH792"/>
      <c r="FI792"/>
      <c r="FJ792"/>
      <c r="FK792"/>
      <c r="FL792"/>
      <c r="FM792"/>
      <c r="FN792"/>
      <c r="FO792"/>
      <c r="FP792"/>
      <c r="FQ792"/>
      <c r="FR792"/>
      <c r="FS792"/>
      <c r="FT792"/>
      <c r="FU792"/>
      <c r="FV792"/>
      <c r="FW792"/>
      <c r="FX792"/>
      <c r="FY792"/>
      <c r="FZ792"/>
      <c r="GA792"/>
      <c r="GB792"/>
      <c r="GC792"/>
      <c r="GD792"/>
      <c r="GE792"/>
      <c r="GF792"/>
      <c r="GG792"/>
      <c r="GH792"/>
      <c r="GI792"/>
      <c r="GJ792"/>
      <c r="GK792"/>
      <c r="GL792"/>
      <c r="GM792"/>
      <c r="GN792"/>
      <c r="GO792"/>
      <c r="GP792"/>
      <c r="GQ792"/>
      <c r="GR792"/>
      <c r="GS792"/>
      <c r="GT792"/>
      <c r="GU792"/>
      <c r="GV792"/>
      <c r="GW792"/>
      <c r="GX792"/>
      <c r="GY792"/>
      <c r="GZ792"/>
      <c r="HA792"/>
      <c r="HB792"/>
      <c r="HC792"/>
      <c r="HD792"/>
      <c r="HE792"/>
      <c r="HF792"/>
      <c r="HG792"/>
      <c r="HH792"/>
      <c r="HI792"/>
      <c r="HJ792"/>
      <c r="HK792"/>
      <c r="HL792"/>
      <c r="HM792"/>
      <c r="HN792"/>
      <c r="HO792"/>
      <c r="HP792"/>
      <c r="HQ792"/>
      <c r="HR792"/>
      <c r="HS792"/>
      <c r="HT792"/>
      <c r="HU792"/>
      <c r="HV792"/>
      <c r="HW792"/>
      <c r="HX792"/>
      <c r="HY792"/>
      <c r="HZ792"/>
      <c r="IA792"/>
      <c r="IB792"/>
      <c r="IC792"/>
      <c r="ID792"/>
      <c r="IE792"/>
      <c r="IF792"/>
      <c r="IG792"/>
      <c r="IH792"/>
      <c r="II792"/>
      <c r="IJ792"/>
      <c r="IK792"/>
      <c r="IL792"/>
      <c r="IM792"/>
      <c r="IN792"/>
      <c r="IO792"/>
      <c r="IP792"/>
      <c r="IQ792"/>
      <c r="IR792"/>
      <c r="IS792"/>
      <c r="IT792"/>
      <c r="IU792"/>
      <c r="IV792"/>
    </row>
    <row r="793" spans="1:256" ht="12.75" hidden="1" customHeight="1" x14ac:dyDescent="0.2">
      <c r="A793" s="632"/>
      <c r="B793" s="639" t="s">
        <v>890</v>
      </c>
      <c r="C793" s="610"/>
      <c r="D793" s="562"/>
      <c r="E793" s="564"/>
      <c r="F793" s="580"/>
      <c r="G793" s="162">
        <v>0</v>
      </c>
      <c r="H793"/>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c r="FD793"/>
      <c r="FE793"/>
      <c r="FF793"/>
      <c r="FG793"/>
      <c r="FH793"/>
      <c r="FI793"/>
      <c r="FJ793"/>
      <c r="FK793"/>
      <c r="FL793"/>
      <c r="FM793"/>
      <c r="FN793"/>
      <c r="FO793"/>
      <c r="FP793"/>
      <c r="FQ793"/>
      <c r="FR793"/>
      <c r="FS793"/>
      <c r="FT793"/>
      <c r="FU793"/>
      <c r="FV793"/>
      <c r="FW793"/>
      <c r="FX793"/>
      <c r="FY793"/>
      <c r="FZ793"/>
      <c r="GA793"/>
      <c r="GB793"/>
      <c r="GC793"/>
      <c r="GD793"/>
      <c r="GE793"/>
      <c r="GF793"/>
      <c r="GG793"/>
      <c r="GH793"/>
      <c r="GI793"/>
      <c r="GJ793"/>
      <c r="GK793"/>
      <c r="GL793"/>
      <c r="GM793"/>
      <c r="GN793"/>
      <c r="GO793"/>
      <c r="GP793"/>
      <c r="GQ793"/>
      <c r="GR793"/>
      <c r="GS793"/>
      <c r="GT793"/>
      <c r="GU793"/>
      <c r="GV793"/>
      <c r="GW793"/>
      <c r="GX793"/>
      <c r="GY793"/>
      <c r="GZ793"/>
      <c r="HA793"/>
      <c r="HB793"/>
      <c r="HC793"/>
      <c r="HD793"/>
      <c r="HE793"/>
      <c r="HF793"/>
      <c r="HG793"/>
      <c r="HH793"/>
      <c r="HI793"/>
      <c r="HJ793"/>
      <c r="HK793"/>
      <c r="HL793"/>
      <c r="HM793"/>
      <c r="HN793"/>
      <c r="HO793"/>
      <c r="HP793"/>
      <c r="HQ793"/>
      <c r="HR793"/>
      <c r="HS793"/>
      <c r="HT793"/>
      <c r="HU793"/>
      <c r="HV793"/>
      <c r="HW793"/>
      <c r="HX793"/>
      <c r="HY793"/>
      <c r="HZ793"/>
      <c r="IA793"/>
      <c r="IB793"/>
      <c r="IC793"/>
      <c r="ID793"/>
      <c r="IE793"/>
      <c r="IF793"/>
      <c r="IG793"/>
      <c r="IH793"/>
      <c r="II793"/>
      <c r="IJ793"/>
      <c r="IK793"/>
      <c r="IL793"/>
      <c r="IM793"/>
      <c r="IN793"/>
      <c r="IO793"/>
      <c r="IP793"/>
      <c r="IQ793"/>
      <c r="IR793"/>
      <c r="IS793"/>
      <c r="IT793"/>
      <c r="IU793"/>
      <c r="IV793"/>
    </row>
    <row r="794" spans="1:256" ht="12.75" hidden="1" customHeight="1" x14ac:dyDescent="0.2">
      <c r="A794" s="632"/>
      <c r="B794" s="557" t="s">
        <v>891</v>
      </c>
      <c r="C794" s="610"/>
      <c r="D794" s="562"/>
      <c r="E794" s="564"/>
      <c r="F794" s="580"/>
      <c r="G794" s="127">
        <v>2000000</v>
      </c>
      <c r="H794"/>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c r="FD794"/>
      <c r="FE794"/>
      <c r="FF794"/>
      <c r="FG794"/>
      <c r="FH794"/>
      <c r="FI794"/>
      <c r="FJ794"/>
      <c r="FK794"/>
      <c r="FL794"/>
      <c r="FM794"/>
      <c r="FN794"/>
      <c r="FO794"/>
      <c r="FP794"/>
      <c r="FQ794"/>
      <c r="FR794"/>
      <c r="FS794"/>
      <c r="FT794"/>
      <c r="FU794"/>
      <c r="FV794"/>
      <c r="FW794"/>
      <c r="FX794"/>
      <c r="FY794"/>
      <c r="FZ794"/>
      <c r="GA794"/>
      <c r="GB794"/>
      <c r="GC794"/>
      <c r="GD794"/>
      <c r="GE794"/>
      <c r="GF794"/>
      <c r="GG794"/>
      <c r="GH794"/>
      <c r="GI794"/>
      <c r="GJ794"/>
      <c r="GK794"/>
      <c r="GL794"/>
      <c r="GM794"/>
      <c r="GN794"/>
      <c r="GO794"/>
      <c r="GP794"/>
      <c r="GQ794"/>
      <c r="GR794"/>
      <c r="GS794"/>
      <c r="GT794"/>
      <c r="GU794"/>
      <c r="GV794"/>
      <c r="GW794"/>
      <c r="GX794"/>
      <c r="GY794"/>
      <c r="GZ794"/>
      <c r="HA794"/>
      <c r="HB794"/>
      <c r="HC794"/>
      <c r="HD794"/>
      <c r="HE794"/>
      <c r="HF794"/>
      <c r="HG794"/>
      <c r="HH794"/>
      <c r="HI794"/>
      <c r="HJ794"/>
      <c r="HK794"/>
      <c r="HL794"/>
      <c r="HM794"/>
      <c r="HN794"/>
      <c r="HO794"/>
      <c r="HP794"/>
      <c r="HQ794"/>
      <c r="HR794"/>
      <c r="HS794"/>
      <c r="HT794"/>
      <c r="HU794"/>
      <c r="HV794"/>
      <c r="HW794"/>
      <c r="HX794"/>
      <c r="HY794"/>
      <c r="HZ794"/>
      <c r="IA794"/>
      <c r="IB794"/>
      <c r="IC794"/>
      <c r="ID794"/>
      <c r="IE794"/>
      <c r="IF794"/>
      <c r="IG794"/>
      <c r="IH794"/>
      <c r="II794"/>
      <c r="IJ794"/>
      <c r="IK794"/>
      <c r="IL794"/>
      <c r="IM794"/>
      <c r="IN794"/>
      <c r="IO794"/>
      <c r="IP794"/>
      <c r="IQ794"/>
      <c r="IR794"/>
      <c r="IS794"/>
      <c r="IT794"/>
      <c r="IU794"/>
      <c r="IV794"/>
    </row>
    <row r="795" spans="1:256" ht="12.75" hidden="1" customHeight="1" x14ac:dyDescent="0.2">
      <c r="A795" s="632"/>
      <c r="B795" s="557" t="s">
        <v>892</v>
      </c>
      <c r="C795" s="610"/>
      <c r="D795" s="562"/>
      <c r="E795" s="564"/>
      <c r="F795" s="580"/>
      <c r="G795" s="162">
        <v>700000</v>
      </c>
      <c r="H795"/>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c r="FD795"/>
      <c r="FE795"/>
      <c r="FF795"/>
      <c r="FG795"/>
      <c r="FH795"/>
      <c r="FI795"/>
      <c r="FJ795"/>
      <c r="FK795"/>
      <c r="FL795"/>
      <c r="FM795"/>
      <c r="FN795"/>
      <c r="FO795"/>
      <c r="FP795"/>
      <c r="FQ795"/>
      <c r="FR795"/>
      <c r="FS795"/>
      <c r="FT795"/>
      <c r="FU795"/>
      <c r="FV795"/>
      <c r="FW795"/>
      <c r="FX795"/>
      <c r="FY795"/>
      <c r="FZ795"/>
      <c r="GA795"/>
      <c r="GB795"/>
      <c r="GC795"/>
      <c r="GD795"/>
      <c r="GE795"/>
      <c r="GF795"/>
      <c r="GG795"/>
      <c r="GH795"/>
      <c r="GI795"/>
      <c r="GJ795"/>
      <c r="GK795"/>
      <c r="GL795"/>
      <c r="GM795"/>
      <c r="GN795"/>
      <c r="GO795"/>
      <c r="GP795"/>
      <c r="GQ795"/>
      <c r="GR795"/>
      <c r="GS795"/>
      <c r="GT795"/>
      <c r="GU795"/>
      <c r="GV795"/>
      <c r="GW795"/>
      <c r="GX795"/>
      <c r="GY795"/>
      <c r="GZ795"/>
      <c r="HA795"/>
      <c r="HB795"/>
      <c r="HC795"/>
      <c r="HD795"/>
      <c r="HE795"/>
      <c r="HF795"/>
      <c r="HG795"/>
      <c r="HH795"/>
      <c r="HI795"/>
      <c r="HJ795"/>
      <c r="HK795"/>
      <c r="HL795"/>
      <c r="HM795"/>
      <c r="HN795"/>
      <c r="HO795"/>
      <c r="HP795"/>
      <c r="HQ795"/>
      <c r="HR795"/>
      <c r="HS795"/>
      <c r="HT795"/>
      <c r="HU795"/>
      <c r="HV795"/>
      <c r="HW795"/>
      <c r="HX795"/>
      <c r="HY795"/>
      <c r="HZ795"/>
      <c r="IA795"/>
      <c r="IB795"/>
      <c r="IC795"/>
      <c r="ID795"/>
      <c r="IE795"/>
      <c r="IF795"/>
      <c r="IG795"/>
      <c r="IH795"/>
      <c r="II795"/>
      <c r="IJ795"/>
      <c r="IK795"/>
      <c r="IL795"/>
      <c r="IM795"/>
      <c r="IN795"/>
      <c r="IO795"/>
      <c r="IP795"/>
      <c r="IQ795"/>
      <c r="IR795"/>
      <c r="IS795"/>
      <c r="IT795"/>
      <c r="IU795"/>
      <c r="IV795"/>
    </row>
    <row r="796" spans="1:256" ht="12.75" hidden="1" customHeight="1" x14ac:dyDescent="0.2">
      <c r="A796" s="634"/>
      <c r="B796" s="640" t="s">
        <v>893</v>
      </c>
      <c r="C796" s="610">
        <v>30000</v>
      </c>
      <c r="D796" s="603">
        <v>30000</v>
      </c>
      <c r="E796" s="604">
        <v>30000</v>
      </c>
      <c r="F796" s="633">
        <v>0</v>
      </c>
      <c r="G796" s="162">
        <v>30000</v>
      </c>
      <c r="H796"/>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c r="FD796"/>
      <c r="FE796"/>
      <c r="FF796"/>
      <c r="FG796"/>
      <c r="FH796"/>
      <c r="FI796"/>
      <c r="FJ796"/>
      <c r="FK796"/>
      <c r="FL796"/>
      <c r="FM796"/>
      <c r="FN796"/>
      <c r="FO796"/>
      <c r="FP796"/>
      <c r="FQ796"/>
      <c r="FR796"/>
      <c r="FS796"/>
      <c r="FT796"/>
      <c r="FU796"/>
      <c r="FV796"/>
      <c r="FW796"/>
      <c r="FX796"/>
      <c r="FY796"/>
      <c r="FZ796"/>
      <c r="GA796"/>
      <c r="GB796"/>
      <c r="GC796"/>
      <c r="GD796"/>
      <c r="GE796"/>
      <c r="GF796"/>
      <c r="GG796"/>
      <c r="GH796"/>
      <c r="GI796"/>
      <c r="GJ796"/>
      <c r="GK796"/>
      <c r="GL796"/>
      <c r="GM796"/>
      <c r="GN796"/>
      <c r="GO796"/>
      <c r="GP796"/>
      <c r="GQ796"/>
      <c r="GR796"/>
      <c r="GS796"/>
      <c r="GT796"/>
      <c r="GU796"/>
      <c r="GV796"/>
      <c r="GW796"/>
      <c r="GX796"/>
      <c r="GY796"/>
      <c r="GZ796"/>
      <c r="HA796"/>
      <c r="HB796"/>
      <c r="HC796"/>
      <c r="HD796"/>
      <c r="HE796"/>
      <c r="HF796"/>
      <c r="HG796"/>
      <c r="HH796"/>
      <c r="HI796"/>
      <c r="HJ796"/>
      <c r="HK796"/>
      <c r="HL796"/>
      <c r="HM796"/>
      <c r="HN796"/>
      <c r="HO796"/>
      <c r="HP796"/>
      <c r="HQ796"/>
      <c r="HR796"/>
      <c r="HS796"/>
      <c r="HT796"/>
      <c r="HU796"/>
      <c r="HV796"/>
      <c r="HW796"/>
      <c r="HX796"/>
      <c r="HY796"/>
      <c r="HZ796"/>
      <c r="IA796"/>
      <c r="IB796"/>
      <c r="IC796"/>
      <c r="ID796"/>
      <c r="IE796"/>
      <c r="IF796"/>
      <c r="IG796"/>
      <c r="IH796"/>
      <c r="II796"/>
      <c r="IJ796"/>
      <c r="IK796"/>
      <c r="IL796"/>
      <c r="IM796"/>
      <c r="IN796"/>
      <c r="IO796"/>
      <c r="IP796"/>
      <c r="IQ796"/>
      <c r="IR796"/>
      <c r="IS796"/>
      <c r="IT796"/>
      <c r="IU796"/>
      <c r="IV796"/>
    </row>
    <row r="797" spans="1:256" ht="12.75" hidden="1" customHeight="1" x14ac:dyDescent="0.2">
      <c r="A797" s="634"/>
      <c r="B797" s="640" t="s">
        <v>894</v>
      </c>
      <c r="C797" s="610">
        <v>50000</v>
      </c>
      <c r="D797" s="603">
        <v>50000</v>
      </c>
      <c r="E797" s="604">
        <v>50000</v>
      </c>
      <c r="F797" s="633">
        <v>1434</v>
      </c>
      <c r="G797" s="162">
        <v>50000</v>
      </c>
      <c r="H797"/>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c r="FD797"/>
      <c r="FE797"/>
      <c r="FF797"/>
      <c r="FG797"/>
      <c r="FH797"/>
      <c r="FI797"/>
      <c r="FJ797"/>
      <c r="FK797"/>
      <c r="FL797"/>
      <c r="FM797"/>
      <c r="FN797"/>
      <c r="FO797"/>
      <c r="FP797"/>
      <c r="FQ797"/>
      <c r="FR797"/>
      <c r="FS797"/>
      <c r="FT797"/>
      <c r="FU797"/>
      <c r="FV797"/>
      <c r="FW797"/>
      <c r="FX797"/>
      <c r="FY797"/>
      <c r="FZ797"/>
      <c r="GA797"/>
      <c r="GB797"/>
      <c r="GC797"/>
      <c r="GD797"/>
      <c r="GE797"/>
      <c r="GF797"/>
      <c r="GG797"/>
      <c r="GH797"/>
      <c r="GI797"/>
      <c r="GJ797"/>
      <c r="GK797"/>
      <c r="GL797"/>
      <c r="GM797"/>
      <c r="GN797"/>
      <c r="GO797"/>
      <c r="GP797"/>
      <c r="GQ797"/>
      <c r="GR797"/>
      <c r="GS797"/>
      <c r="GT797"/>
      <c r="GU797"/>
      <c r="GV797"/>
      <c r="GW797"/>
      <c r="GX797"/>
      <c r="GY797"/>
      <c r="GZ797"/>
      <c r="HA797"/>
      <c r="HB797"/>
      <c r="HC797"/>
      <c r="HD797"/>
      <c r="HE797"/>
      <c r="HF797"/>
      <c r="HG797"/>
      <c r="HH797"/>
      <c r="HI797"/>
      <c r="HJ797"/>
      <c r="HK797"/>
      <c r="HL797"/>
      <c r="HM797"/>
      <c r="HN797"/>
      <c r="HO797"/>
      <c r="HP797"/>
      <c r="HQ797"/>
      <c r="HR797"/>
      <c r="HS797"/>
      <c r="HT797"/>
      <c r="HU797"/>
      <c r="HV797"/>
      <c r="HW797"/>
      <c r="HX797"/>
      <c r="HY797"/>
      <c r="HZ797"/>
      <c r="IA797"/>
      <c r="IB797"/>
      <c r="IC797"/>
      <c r="ID797"/>
      <c r="IE797"/>
      <c r="IF797"/>
      <c r="IG797"/>
      <c r="IH797"/>
      <c r="II797"/>
      <c r="IJ797"/>
      <c r="IK797"/>
      <c r="IL797"/>
      <c r="IM797"/>
      <c r="IN797"/>
      <c r="IO797"/>
      <c r="IP797"/>
      <c r="IQ797"/>
      <c r="IR797"/>
      <c r="IS797"/>
      <c r="IT797"/>
      <c r="IU797"/>
      <c r="IV797"/>
    </row>
    <row r="798" spans="1:256" ht="12.75" hidden="1" customHeight="1" x14ac:dyDescent="0.2">
      <c r="A798" s="634"/>
      <c r="B798" s="640" t="s">
        <v>895</v>
      </c>
      <c r="C798" s="610">
        <f>SUM(C799:C802)</f>
        <v>6270000</v>
      </c>
      <c r="D798" s="603">
        <f>SUM(D799:D802)</f>
        <v>6270000</v>
      </c>
      <c r="E798" s="603">
        <f>SUM(E799:E802)</f>
        <v>5100000</v>
      </c>
      <c r="F798" s="633">
        <f>SUM(F799:F802)</f>
        <v>2588757.64</v>
      </c>
      <c r="G798" s="162">
        <f>SUM(G799:G802)</f>
        <v>5100000</v>
      </c>
      <c r="H798"/>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c r="GS798"/>
      <c r="GT798"/>
      <c r="GU798"/>
      <c r="GV798"/>
      <c r="GW798"/>
      <c r="GX798"/>
      <c r="GY798"/>
      <c r="GZ798"/>
      <c r="HA798"/>
      <c r="HB798"/>
      <c r="HC798"/>
      <c r="HD798"/>
      <c r="HE798"/>
      <c r="HF798"/>
      <c r="HG798"/>
      <c r="HH798"/>
      <c r="HI798"/>
      <c r="HJ798"/>
      <c r="HK798"/>
      <c r="HL798"/>
      <c r="HM798"/>
      <c r="HN798"/>
      <c r="HO798"/>
      <c r="HP798"/>
      <c r="HQ798"/>
      <c r="HR798"/>
      <c r="HS798"/>
      <c r="HT798"/>
      <c r="HU798"/>
      <c r="HV798"/>
      <c r="HW798"/>
      <c r="HX798"/>
      <c r="HY798"/>
      <c r="HZ798"/>
      <c r="IA798"/>
      <c r="IB798"/>
      <c r="IC798"/>
      <c r="ID798"/>
      <c r="IE798"/>
      <c r="IF798"/>
      <c r="IG798"/>
      <c r="IH798"/>
      <c r="II798"/>
      <c r="IJ798"/>
      <c r="IK798"/>
      <c r="IL798"/>
      <c r="IM798"/>
      <c r="IN798"/>
      <c r="IO798"/>
      <c r="IP798"/>
      <c r="IQ798"/>
      <c r="IR798"/>
      <c r="IS798"/>
      <c r="IT798"/>
      <c r="IU798"/>
      <c r="IV798"/>
    </row>
    <row r="799" spans="1:256" ht="12.75" hidden="1" customHeight="1" x14ac:dyDescent="0.2">
      <c r="A799" s="551"/>
      <c r="B799" s="627" t="s">
        <v>896</v>
      </c>
      <c r="C799" s="610">
        <v>970000</v>
      </c>
      <c r="D799" s="562">
        <v>970000</v>
      </c>
      <c r="E799" s="564">
        <v>800000</v>
      </c>
      <c r="F799" s="611">
        <v>389232.65</v>
      </c>
      <c r="G799" s="560">
        <v>800000</v>
      </c>
      <c r="H799"/>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c r="FC799"/>
      <c r="FD799"/>
      <c r="FE799"/>
      <c r="FF799"/>
      <c r="FG799"/>
      <c r="FH799"/>
      <c r="FI799"/>
      <c r="FJ799"/>
      <c r="FK799"/>
      <c r="FL799"/>
      <c r="FM799"/>
      <c r="FN799"/>
      <c r="FO799"/>
      <c r="FP799"/>
      <c r="FQ799"/>
      <c r="FR799"/>
      <c r="FS799"/>
      <c r="FT799"/>
      <c r="FU799"/>
      <c r="FV799"/>
      <c r="FW799"/>
      <c r="FX799"/>
      <c r="FY799"/>
      <c r="FZ799"/>
      <c r="GA799"/>
      <c r="GB799"/>
      <c r="GC799"/>
      <c r="GD799"/>
      <c r="GE799"/>
      <c r="GF799"/>
      <c r="GG799"/>
      <c r="GH799"/>
      <c r="GI799"/>
      <c r="GJ799"/>
      <c r="GK799"/>
      <c r="GL799"/>
      <c r="GM799"/>
      <c r="GN799"/>
      <c r="GO799"/>
      <c r="GP799"/>
      <c r="GQ799"/>
      <c r="GR799"/>
      <c r="GS799"/>
      <c r="GT799"/>
      <c r="GU799"/>
      <c r="GV799"/>
      <c r="GW799"/>
      <c r="GX799"/>
      <c r="GY799"/>
      <c r="GZ799"/>
      <c r="HA799"/>
      <c r="HB799"/>
      <c r="HC799"/>
      <c r="HD799"/>
      <c r="HE799"/>
      <c r="HF799"/>
      <c r="HG799"/>
      <c r="HH799"/>
      <c r="HI799"/>
      <c r="HJ799"/>
      <c r="HK799"/>
      <c r="HL799"/>
      <c r="HM799"/>
      <c r="HN799"/>
      <c r="HO799"/>
      <c r="HP799"/>
      <c r="HQ799"/>
      <c r="HR799"/>
      <c r="HS799"/>
      <c r="HT799"/>
      <c r="HU799"/>
      <c r="HV799"/>
      <c r="HW799"/>
      <c r="HX799"/>
      <c r="HY799"/>
      <c r="HZ799"/>
      <c r="IA799"/>
      <c r="IB799"/>
      <c r="IC799"/>
      <c r="ID799"/>
      <c r="IE799"/>
      <c r="IF799"/>
      <c r="IG799"/>
      <c r="IH799"/>
      <c r="II799"/>
      <c r="IJ799"/>
      <c r="IK799"/>
      <c r="IL799"/>
      <c r="IM799"/>
      <c r="IN799"/>
      <c r="IO799"/>
      <c r="IP799"/>
      <c r="IQ799"/>
      <c r="IR799"/>
      <c r="IS799"/>
      <c r="IT799"/>
      <c r="IU799"/>
      <c r="IV799"/>
    </row>
    <row r="800" spans="1:256" ht="12.75" hidden="1" customHeight="1" x14ac:dyDescent="0.2">
      <c r="A800" s="551"/>
      <c r="B800" s="627" t="s">
        <v>897</v>
      </c>
      <c r="C800" s="602">
        <v>2000000</v>
      </c>
      <c r="D800" s="562">
        <v>2000000</v>
      </c>
      <c r="E800" s="579">
        <v>1500000</v>
      </c>
      <c r="F800" s="611">
        <v>624560.66</v>
      </c>
      <c r="G800" s="560">
        <v>1500000</v>
      </c>
      <c r="H80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c r="FC800"/>
      <c r="FD800"/>
      <c r="FE800"/>
      <c r="FF800"/>
      <c r="FG800"/>
      <c r="FH800"/>
      <c r="FI800"/>
      <c r="FJ800"/>
      <c r="FK800"/>
      <c r="FL800"/>
      <c r="FM800"/>
      <c r="FN800"/>
      <c r="FO800"/>
      <c r="FP800"/>
      <c r="FQ800"/>
      <c r="FR800"/>
      <c r="FS800"/>
      <c r="FT800"/>
      <c r="FU800"/>
      <c r="FV800"/>
      <c r="FW800"/>
      <c r="FX800"/>
      <c r="FY800"/>
      <c r="FZ800"/>
      <c r="GA800"/>
      <c r="GB800"/>
      <c r="GC800"/>
      <c r="GD800"/>
      <c r="GE800"/>
      <c r="GF800"/>
      <c r="GG800"/>
      <c r="GH800"/>
      <c r="GI800"/>
      <c r="GJ800"/>
      <c r="GK800"/>
      <c r="GL800"/>
      <c r="GM800"/>
      <c r="GN800"/>
      <c r="GO800"/>
      <c r="GP800"/>
      <c r="GQ800"/>
      <c r="GR800"/>
      <c r="GS800"/>
      <c r="GT800"/>
      <c r="GU800"/>
      <c r="GV800"/>
      <c r="GW800"/>
      <c r="GX800"/>
      <c r="GY800"/>
      <c r="GZ800"/>
      <c r="HA800"/>
      <c r="HB800"/>
      <c r="HC800"/>
      <c r="HD800"/>
      <c r="HE800"/>
      <c r="HF800"/>
      <c r="HG800"/>
      <c r="HH800"/>
      <c r="HI800"/>
      <c r="HJ800"/>
      <c r="HK800"/>
      <c r="HL800"/>
      <c r="HM800"/>
      <c r="HN800"/>
      <c r="HO800"/>
      <c r="HP800"/>
      <c r="HQ800"/>
      <c r="HR800"/>
      <c r="HS800"/>
      <c r="HT800"/>
      <c r="HU800"/>
      <c r="HV800"/>
      <c r="HW800"/>
      <c r="HX800"/>
      <c r="HY800"/>
      <c r="HZ800"/>
      <c r="IA800"/>
      <c r="IB800"/>
      <c r="IC800"/>
      <c r="ID800"/>
      <c r="IE800"/>
      <c r="IF800"/>
      <c r="IG800"/>
      <c r="IH800"/>
      <c r="II800"/>
      <c r="IJ800"/>
      <c r="IK800"/>
      <c r="IL800"/>
      <c r="IM800"/>
      <c r="IN800"/>
      <c r="IO800"/>
      <c r="IP800"/>
      <c r="IQ800"/>
      <c r="IR800"/>
      <c r="IS800"/>
      <c r="IT800"/>
      <c r="IU800"/>
      <c r="IV800"/>
    </row>
    <row r="801" spans="1:256" ht="12.75" hidden="1" customHeight="1" x14ac:dyDescent="0.2">
      <c r="A801" s="551"/>
      <c r="B801" s="627" t="s">
        <v>898</v>
      </c>
      <c r="C801" s="610">
        <v>1200000</v>
      </c>
      <c r="D801" s="562">
        <v>1200000</v>
      </c>
      <c r="E801" s="579">
        <v>1100000</v>
      </c>
      <c r="F801" s="611">
        <v>522246.79</v>
      </c>
      <c r="G801" s="560">
        <v>1100000</v>
      </c>
      <c r="H801"/>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c r="FC801"/>
      <c r="FD801"/>
      <c r="FE801"/>
      <c r="FF801"/>
      <c r="FG801"/>
      <c r="FH801"/>
      <c r="FI801"/>
      <c r="FJ801"/>
      <c r="FK801"/>
      <c r="FL801"/>
      <c r="FM801"/>
      <c r="FN801"/>
      <c r="FO801"/>
      <c r="FP801"/>
      <c r="FQ801"/>
      <c r="FR801"/>
      <c r="FS801"/>
      <c r="FT801"/>
      <c r="FU801"/>
      <c r="FV801"/>
      <c r="FW801"/>
      <c r="FX801"/>
      <c r="FY801"/>
      <c r="FZ801"/>
      <c r="GA801"/>
      <c r="GB801"/>
      <c r="GC801"/>
      <c r="GD801"/>
      <c r="GE801"/>
      <c r="GF801"/>
      <c r="GG801"/>
      <c r="GH801"/>
      <c r="GI801"/>
      <c r="GJ801"/>
      <c r="GK801"/>
      <c r="GL801"/>
      <c r="GM801"/>
      <c r="GN801"/>
      <c r="GO801"/>
      <c r="GP801"/>
      <c r="GQ801"/>
      <c r="GR801"/>
      <c r="GS801"/>
      <c r="GT801"/>
      <c r="GU801"/>
      <c r="GV801"/>
      <c r="GW801"/>
      <c r="GX801"/>
      <c r="GY801"/>
      <c r="GZ801"/>
      <c r="HA801"/>
      <c r="HB801"/>
      <c r="HC801"/>
      <c r="HD801"/>
      <c r="HE801"/>
      <c r="HF801"/>
      <c r="HG801"/>
      <c r="HH801"/>
      <c r="HI801"/>
      <c r="HJ801"/>
      <c r="HK801"/>
      <c r="HL801"/>
      <c r="HM801"/>
      <c r="HN801"/>
      <c r="HO801"/>
      <c r="HP801"/>
      <c r="HQ801"/>
      <c r="HR801"/>
      <c r="HS801"/>
      <c r="HT801"/>
      <c r="HU801"/>
      <c r="HV801"/>
      <c r="HW801"/>
      <c r="HX801"/>
      <c r="HY801"/>
      <c r="HZ801"/>
      <c r="IA801"/>
      <c r="IB801"/>
      <c r="IC801"/>
      <c r="ID801"/>
      <c r="IE801"/>
      <c r="IF801"/>
      <c r="IG801"/>
      <c r="IH801"/>
      <c r="II801"/>
      <c r="IJ801"/>
      <c r="IK801"/>
      <c r="IL801"/>
      <c r="IM801"/>
      <c r="IN801"/>
      <c r="IO801"/>
      <c r="IP801"/>
      <c r="IQ801"/>
      <c r="IR801"/>
      <c r="IS801"/>
      <c r="IT801"/>
      <c r="IU801"/>
      <c r="IV801"/>
    </row>
    <row r="802" spans="1:256" ht="12.75" hidden="1" customHeight="1" x14ac:dyDescent="0.2">
      <c r="A802" s="551"/>
      <c r="B802" s="627" t="s">
        <v>899</v>
      </c>
      <c r="C802" s="558">
        <v>2100000</v>
      </c>
      <c r="D802" s="562">
        <v>2100000</v>
      </c>
      <c r="E802" s="579">
        <v>1700000</v>
      </c>
      <c r="F802" s="580">
        <v>1052717.54</v>
      </c>
      <c r="G802" s="127">
        <v>1700000</v>
      </c>
      <c r="H802"/>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c r="FC802"/>
      <c r="FD802"/>
      <c r="FE802"/>
      <c r="FF802"/>
      <c r="FG802"/>
      <c r="FH802"/>
      <c r="FI802"/>
      <c r="FJ802"/>
      <c r="FK802"/>
      <c r="FL802"/>
      <c r="FM802"/>
      <c r="FN802"/>
      <c r="FO802"/>
      <c r="FP802"/>
      <c r="FQ802"/>
      <c r="FR802"/>
      <c r="FS802"/>
      <c r="FT802"/>
      <c r="FU802"/>
      <c r="FV802"/>
      <c r="FW802"/>
      <c r="FX802"/>
      <c r="FY802"/>
      <c r="FZ802"/>
      <c r="GA802"/>
      <c r="GB802"/>
      <c r="GC802"/>
      <c r="GD802"/>
      <c r="GE802"/>
      <c r="GF802"/>
      <c r="GG802"/>
      <c r="GH802"/>
      <c r="GI802"/>
      <c r="GJ802"/>
      <c r="GK802"/>
      <c r="GL802"/>
      <c r="GM802"/>
      <c r="GN802"/>
      <c r="GO802"/>
      <c r="GP802"/>
      <c r="GQ802"/>
      <c r="GR802"/>
      <c r="GS802"/>
      <c r="GT802"/>
      <c r="GU802"/>
      <c r="GV802"/>
      <c r="GW802"/>
      <c r="GX802"/>
      <c r="GY802"/>
      <c r="GZ802"/>
      <c r="HA802"/>
      <c r="HB802"/>
      <c r="HC802"/>
      <c r="HD802"/>
      <c r="HE802"/>
      <c r="HF802"/>
      <c r="HG802"/>
      <c r="HH802"/>
      <c r="HI802"/>
      <c r="HJ802"/>
      <c r="HK802"/>
      <c r="HL802"/>
      <c r="HM802"/>
      <c r="HN802"/>
      <c r="HO802"/>
      <c r="HP802"/>
      <c r="HQ802"/>
      <c r="HR802"/>
      <c r="HS802"/>
      <c r="HT802"/>
      <c r="HU802"/>
      <c r="HV802"/>
      <c r="HW802"/>
      <c r="HX802"/>
      <c r="HY802"/>
      <c r="HZ802"/>
      <c r="IA802"/>
      <c r="IB802"/>
      <c r="IC802"/>
      <c r="ID802"/>
      <c r="IE802"/>
      <c r="IF802"/>
      <c r="IG802"/>
      <c r="IH802"/>
      <c r="II802"/>
      <c r="IJ802"/>
      <c r="IK802"/>
      <c r="IL802"/>
      <c r="IM802"/>
      <c r="IN802"/>
      <c r="IO802"/>
      <c r="IP802"/>
      <c r="IQ802"/>
      <c r="IR802"/>
      <c r="IS802"/>
      <c r="IT802"/>
      <c r="IU802"/>
      <c r="IV802"/>
    </row>
    <row r="803" spans="1:256" ht="12.75" hidden="1" customHeight="1" x14ac:dyDescent="0.2">
      <c r="A803" s="634"/>
      <c r="B803" s="640" t="s">
        <v>900</v>
      </c>
      <c r="C803" s="602">
        <f>SUM(C804:C815)</f>
        <v>4635000</v>
      </c>
      <c r="D803" s="603">
        <f>SUM(D804:D815)</f>
        <v>4093450</v>
      </c>
      <c r="E803" s="603">
        <f>SUM(E804:E815)</f>
        <v>3553450</v>
      </c>
      <c r="F803" s="633">
        <f>SUM(F804:F815)</f>
        <v>2181359.8199999998</v>
      </c>
      <c r="G803" s="127">
        <f>SUM(G804:G815)</f>
        <v>4250000</v>
      </c>
      <c r="H803"/>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c r="GS803"/>
      <c r="GT803"/>
      <c r="GU803"/>
      <c r="GV803"/>
      <c r="GW803"/>
      <c r="GX803"/>
      <c r="GY803"/>
      <c r="GZ803"/>
      <c r="HA803"/>
      <c r="HB803"/>
      <c r="HC803"/>
      <c r="HD803"/>
      <c r="HE803"/>
      <c r="HF803"/>
      <c r="HG803"/>
      <c r="HH803"/>
      <c r="HI803"/>
      <c r="HJ803"/>
      <c r="HK803"/>
      <c r="HL803"/>
      <c r="HM803"/>
      <c r="HN803"/>
      <c r="HO803"/>
      <c r="HP803"/>
      <c r="HQ803"/>
      <c r="HR803"/>
      <c r="HS803"/>
      <c r="HT803"/>
      <c r="HU803"/>
      <c r="HV803"/>
      <c r="HW803"/>
      <c r="HX803"/>
      <c r="HY803"/>
      <c r="HZ803"/>
      <c r="IA803"/>
      <c r="IB803"/>
      <c r="IC803"/>
      <c r="ID803"/>
      <c r="IE803"/>
      <c r="IF803"/>
      <c r="IG803"/>
      <c r="IH803"/>
      <c r="II803"/>
      <c r="IJ803"/>
      <c r="IK803"/>
      <c r="IL803"/>
      <c r="IM803"/>
      <c r="IN803"/>
      <c r="IO803"/>
      <c r="IP803"/>
      <c r="IQ803"/>
      <c r="IR803"/>
      <c r="IS803"/>
      <c r="IT803"/>
      <c r="IU803"/>
      <c r="IV803"/>
    </row>
    <row r="804" spans="1:256" ht="12.75" hidden="1" customHeight="1" x14ac:dyDescent="0.2">
      <c r="A804" s="551"/>
      <c r="B804" s="641" t="s">
        <v>901</v>
      </c>
      <c r="C804" s="569">
        <v>100000</v>
      </c>
      <c r="D804" s="562">
        <v>100000</v>
      </c>
      <c r="E804" s="642">
        <v>60000</v>
      </c>
      <c r="F804" s="580">
        <v>0</v>
      </c>
      <c r="G804" s="162">
        <v>0</v>
      </c>
      <c r="H804"/>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c r="FC804"/>
      <c r="FD804"/>
      <c r="FE804"/>
      <c r="FF804"/>
      <c r="FG804"/>
      <c r="FH804"/>
      <c r="FI804"/>
      <c r="FJ804"/>
      <c r="FK804"/>
      <c r="FL804"/>
      <c r="FM804"/>
      <c r="FN804"/>
      <c r="FO804"/>
      <c r="FP804"/>
      <c r="FQ804"/>
      <c r="FR804"/>
      <c r="FS804"/>
      <c r="FT804"/>
      <c r="FU804"/>
      <c r="FV804"/>
      <c r="FW804"/>
      <c r="FX804"/>
      <c r="FY804"/>
      <c r="FZ804"/>
      <c r="GA804"/>
      <c r="GB804"/>
      <c r="GC804"/>
      <c r="GD804"/>
      <c r="GE804"/>
      <c r="GF804"/>
      <c r="GG804"/>
      <c r="GH804"/>
      <c r="GI804"/>
      <c r="GJ804"/>
      <c r="GK804"/>
      <c r="GL804"/>
      <c r="GM804"/>
      <c r="GN804"/>
      <c r="GO804"/>
      <c r="GP804"/>
      <c r="GQ804"/>
      <c r="GR804"/>
      <c r="GS804"/>
      <c r="GT804"/>
      <c r="GU804"/>
      <c r="GV804"/>
      <c r="GW804"/>
      <c r="GX804"/>
      <c r="GY804"/>
      <c r="GZ804"/>
      <c r="HA804"/>
      <c r="HB804"/>
      <c r="HC804"/>
      <c r="HD804"/>
      <c r="HE804"/>
      <c r="HF804"/>
      <c r="HG804"/>
      <c r="HH804"/>
      <c r="HI804"/>
      <c r="HJ804"/>
      <c r="HK804"/>
      <c r="HL804"/>
      <c r="HM804"/>
      <c r="HN804"/>
      <c r="HO804"/>
      <c r="HP804"/>
      <c r="HQ804"/>
      <c r="HR804"/>
      <c r="HS804"/>
      <c r="HT804"/>
      <c r="HU804"/>
      <c r="HV804"/>
      <c r="HW804"/>
      <c r="HX804"/>
      <c r="HY804"/>
      <c r="HZ804"/>
      <c r="IA804"/>
      <c r="IB804"/>
      <c r="IC804"/>
      <c r="ID804"/>
      <c r="IE804"/>
      <c r="IF804"/>
      <c r="IG804"/>
      <c r="IH804"/>
      <c r="II804"/>
      <c r="IJ804"/>
      <c r="IK804"/>
      <c r="IL804"/>
      <c r="IM804"/>
      <c r="IN804"/>
      <c r="IO804"/>
      <c r="IP804"/>
      <c r="IQ804"/>
      <c r="IR804"/>
      <c r="IS804"/>
      <c r="IT804"/>
      <c r="IU804"/>
      <c r="IV804"/>
    </row>
    <row r="805" spans="1:256" ht="12.75" hidden="1" customHeight="1" x14ac:dyDescent="0.2">
      <c r="A805" s="551"/>
      <c r="B805" s="621" t="s">
        <v>902</v>
      </c>
      <c r="C805" s="622">
        <v>700000</v>
      </c>
      <c r="D805" s="562">
        <f>700000-550000</f>
        <v>150000</v>
      </c>
      <c r="E805" s="643">
        <v>100000</v>
      </c>
      <c r="F805" s="580">
        <v>0</v>
      </c>
      <c r="G805" s="127">
        <v>200000</v>
      </c>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c r="FC805"/>
      <c r="FD805"/>
      <c r="FE805"/>
      <c r="FF805"/>
      <c r="FG805"/>
      <c r="FH805"/>
      <c r="FI805"/>
      <c r="FJ805"/>
      <c r="FK805"/>
      <c r="FL805"/>
      <c r="FM805"/>
      <c r="FN805"/>
      <c r="FO805"/>
      <c r="FP805"/>
      <c r="FQ805"/>
      <c r="FR805"/>
      <c r="FS805"/>
      <c r="FT805"/>
      <c r="FU805"/>
      <c r="FV805"/>
      <c r="FW805"/>
      <c r="FX805"/>
      <c r="FY805"/>
      <c r="FZ805"/>
      <c r="GA805"/>
      <c r="GB805"/>
      <c r="GC805"/>
      <c r="GD805"/>
      <c r="GE805"/>
      <c r="GF805"/>
      <c r="GG805"/>
      <c r="GH805"/>
      <c r="GI805"/>
      <c r="GJ805"/>
      <c r="GK805"/>
      <c r="GL805"/>
      <c r="GM805"/>
      <c r="GN805"/>
      <c r="GO805"/>
      <c r="GP805"/>
      <c r="GQ805"/>
      <c r="GR805"/>
      <c r="GS805"/>
      <c r="GT805"/>
      <c r="GU805"/>
      <c r="GV805"/>
      <c r="GW805"/>
      <c r="GX805"/>
      <c r="GY805"/>
      <c r="GZ805"/>
      <c r="HA805"/>
      <c r="HB805"/>
      <c r="HC805"/>
      <c r="HD805"/>
      <c r="HE805"/>
      <c r="HF805"/>
      <c r="HG805"/>
      <c r="HH805"/>
      <c r="HI805"/>
      <c r="HJ805"/>
      <c r="HK805"/>
      <c r="HL805"/>
      <c r="HM805"/>
      <c r="HN805"/>
      <c r="HO805"/>
      <c r="HP805"/>
      <c r="HQ805"/>
      <c r="HR805"/>
      <c r="HS805"/>
      <c r="HT805"/>
      <c r="HU805"/>
      <c r="HV805"/>
      <c r="HW805"/>
      <c r="HX805"/>
      <c r="HY805"/>
      <c r="HZ805"/>
      <c r="IA805"/>
      <c r="IB805"/>
      <c r="IC805"/>
      <c r="ID805"/>
      <c r="IE805"/>
      <c r="IF805"/>
      <c r="IG805"/>
      <c r="IH805"/>
      <c r="II805"/>
      <c r="IJ805"/>
      <c r="IK805"/>
      <c r="IL805"/>
      <c r="IM805"/>
      <c r="IN805"/>
      <c r="IO805"/>
      <c r="IP805"/>
      <c r="IQ805"/>
      <c r="IR805"/>
      <c r="IS805"/>
      <c r="IT805"/>
      <c r="IU805"/>
      <c r="IV805"/>
    </row>
    <row r="806" spans="1:256" ht="12.75" hidden="1" customHeight="1" x14ac:dyDescent="0.2">
      <c r="A806" s="551"/>
      <c r="B806" s="557" t="s">
        <v>903</v>
      </c>
      <c r="C806" s="560">
        <v>50000</v>
      </c>
      <c r="D806" s="562">
        <v>50000</v>
      </c>
      <c r="E806" s="564">
        <v>0</v>
      </c>
      <c r="F806" s="580">
        <v>0</v>
      </c>
      <c r="G806" s="127">
        <v>50000</v>
      </c>
      <c r="H806"/>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c r="FC806"/>
      <c r="FD806"/>
      <c r="FE806"/>
      <c r="FF806"/>
      <c r="FG806"/>
      <c r="FH806"/>
      <c r="FI806"/>
      <c r="FJ806"/>
      <c r="FK806"/>
      <c r="FL806"/>
      <c r="FM806"/>
      <c r="FN806"/>
      <c r="FO806"/>
      <c r="FP806"/>
      <c r="FQ806"/>
      <c r="FR806"/>
      <c r="FS806"/>
      <c r="FT806"/>
      <c r="FU806"/>
      <c r="FV806"/>
      <c r="FW806"/>
      <c r="FX806"/>
      <c r="FY806"/>
      <c r="FZ806"/>
      <c r="GA806"/>
      <c r="GB806"/>
      <c r="GC806"/>
      <c r="GD806"/>
      <c r="GE806"/>
      <c r="GF806"/>
      <c r="GG806"/>
      <c r="GH806"/>
      <c r="GI806"/>
      <c r="GJ806"/>
      <c r="GK806"/>
      <c r="GL806"/>
      <c r="GM806"/>
      <c r="GN806"/>
      <c r="GO806"/>
      <c r="GP806"/>
      <c r="GQ806"/>
      <c r="GR806"/>
      <c r="GS806"/>
      <c r="GT806"/>
      <c r="GU806"/>
      <c r="GV806"/>
      <c r="GW806"/>
      <c r="GX806"/>
      <c r="GY806"/>
      <c r="GZ806"/>
      <c r="HA806"/>
      <c r="HB806"/>
      <c r="HC806"/>
      <c r="HD806"/>
      <c r="HE806"/>
      <c r="HF806"/>
      <c r="HG806"/>
      <c r="HH806"/>
      <c r="HI806"/>
      <c r="HJ806"/>
      <c r="HK806"/>
      <c r="HL806"/>
      <c r="HM806"/>
      <c r="HN806"/>
      <c r="HO806"/>
      <c r="HP806"/>
      <c r="HQ806"/>
      <c r="HR806"/>
      <c r="HS806"/>
      <c r="HT806"/>
      <c r="HU806"/>
      <c r="HV806"/>
      <c r="HW806"/>
      <c r="HX806"/>
      <c r="HY806"/>
      <c r="HZ806"/>
      <c r="IA806"/>
      <c r="IB806"/>
      <c r="IC806"/>
      <c r="ID806"/>
      <c r="IE806"/>
      <c r="IF806"/>
      <c r="IG806"/>
      <c r="IH806"/>
      <c r="II806"/>
      <c r="IJ806"/>
      <c r="IK806"/>
      <c r="IL806"/>
      <c r="IM806"/>
      <c r="IN806"/>
      <c r="IO806"/>
      <c r="IP806"/>
      <c r="IQ806"/>
      <c r="IR806"/>
      <c r="IS806"/>
      <c r="IT806"/>
      <c r="IU806"/>
      <c r="IV806"/>
    </row>
    <row r="807" spans="1:256" ht="12.75" hidden="1" customHeight="1" x14ac:dyDescent="0.2">
      <c r="A807" s="551"/>
      <c r="B807" s="627" t="s">
        <v>904</v>
      </c>
      <c r="C807" s="560">
        <v>1200000</v>
      </c>
      <c r="D807" s="562">
        <v>1200000</v>
      </c>
      <c r="E807" s="579">
        <v>1200000</v>
      </c>
      <c r="F807" s="580">
        <v>829202.6</v>
      </c>
      <c r="G807" s="127">
        <v>1300000</v>
      </c>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c r="FC807"/>
      <c r="FD807"/>
      <c r="FE807"/>
      <c r="FF807"/>
      <c r="FG807"/>
      <c r="FH807"/>
      <c r="FI807"/>
      <c r="FJ807"/>
      <c r="FK807"/>
      <c r="FL807"/>
      <c r="FM807"/>
      <c r="FN807"/>
      <c r="FO807"/>
      <c r="FP807"/>
      <c r="FQ807"/>
      <c r="FR807"/>
      <c r="FS807"/>
      <c r="FT807"/>
      <c r="FU807"/>
      <c r="FV807"/>
      <c r="FW807"/>
      <c r="FX807"/>
      <c r="FY807"/>
      <c r="FZ807"/>
      <c r="GA807"/>
      <c r="GB807"/>
      <c r="GC807"/>
      <c r="GD807"/>
      <c r="GE807"/>
      <c r="GF807"/>
      <c r="GG807"/>
      <c r="GH807"/>
      <c r="GI807"/>
      <c r="GJ807"/>
      <c r="GK807"/>
      <c r="GL807"/>
      <c r="GM807"/>
      <c r="GN807"/>
      <c r="GO807"/>
      <c r="GP807"/>
      <c r="GQ807"/>
      <c r="GR807"/>
      <c r="GS807"/>
      <c r="GT807"/>
      <c r="GU807"/>
      <c r="GV807"/>
      <c r="GW807"/>
      <c r="GX807"/>
      <c r="GY807"/>
      <c r="GZ807"/>
      <c r="HA807"/>
      <c r="HB807"/>
      <c r="HC807"/>
      <c r="HD807"/>
      <c r="HE807"/>
      <c r="HF807"/>
      <c r="HG807"/>
      <c r="HH807"/>
      <c r="HI807"/>
      <c r="HJ807"/>
      <c r="HK807"/>
      <c r="HL807"/>
      <c r="HM807"/>
      <c r="HN807"/>
      <c r="HO807"/>
      <c r="HP807"/>
      <c r="HQ807"/>
      <c r="HR807"/>
      <c r="HS807"/>
      <c r="HT807"/>
      <c r="HU807"/>
      <c r="HV807"/>
      <c r="HW807"/>
      <c r="HX807"/>
      <c r="HY807"/>
      <c r="HZ807"/>
      <c r="IA807"/>
      <c r="IB807"/>
      <c r="IC807"/>
      <c r="ID807"/>
      <c r="IE807"/>
      <c r="IF807"/>
      <c r="IG807"/>
      <c r="IH807"/>
      <c r="II807"/>
      <c r="IJ807"/>
      <c r="IK807"/>
      <c r="IL807"/>
      <c r="IM807"/>
      <c r="IN807"/>
      <c r="IO807"/>
      <c r="IP807"/>
      <c r="IQ807"/>
      <c r="IR807"/>
      <c r="IS807"/>
      <c r="IT807"/>
      <c r="IU807"/>
      <c r="IV807"/>
    </row>
    <row r="808" spans="1:256" ht="12.75" hidden="1" customHeight="1" x14ac:dyDescent="0.2">
      <c r="A808" s="551"/>
      <c r="B808" s="639" t="s">
        <v>905</v>
      </c>
      <c r="C808" s="560">
        <f>100000+200000</f>
        <v>300000</v>
      </c>
      <c r="D808" s="562">
        <f>100000+200000</f>
        <v>300000</v>
      </c>
      <c r="E808" s="564">
        <v>0</v>
      </c>
      <c r="F808" s="580">
        <v>45548.22</v>
      </c>
      <c r="G808" s="127">
        <v>0</v>
      </c>
      <c r="H808"/>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c r="EF808"/>
      <c r="EG808"/>
      <c r="EH808"/>
      <c r="EI808"/>
      <c r="EJ808"/>
      <c r="EK808"/>
      <c r="EL808"/>
      <c r="EM808"/>
      <c r="EN808"/>
      <c r="EO808"/>
      <c r="EP808"/>
      <c r="EQ808"/>
      <c r="ER808"/>
      <c r="ES808"/>
      <c r="ET808"/>
      <c r="EU808"/>
      <c r="EV808"/>
      <c r="EW808"/>
      <c r="EX808"/>
      <c r="EY808"/>
      <c r="EZ808"/>
      <c r="FA808"/>
      <c r="FB808"/>
      <c r="FC808"/>
      <c r="FD808"/>
      <c r="FE808"/>
      <c r="FF808"/>
      <c r="FG808"/>
      <c r="FH808"/>
      <c r="FI808"/>
      <c r="FJ808"/>
      <c r="FK808"/>
      <c r="FL808"/>
      <c r="FM808"/>
      <c r="FN808"/>
      <c r="FO808"/>
      <c r="FP808"/>
      <c r="FQ808"/>
      <c r="FR808"/>
      <c r="FS808"/>
      <c r="FT808"/>
      <c r="FU808"/>
      <c r="FV808"/>
      <c r="FW808"/>
      <c r="FX808"/>
      <c r="FY808"/>
      <c r="FZ808"/>
      <c r="GA808"/>
      <c r="GB808"/>
      <c r="GC808"/>
      <c r="GD808"/>
      <c r="GE808"/>
      <c r="GF808"/>
      <c r="GG808"/>
      <c r="GH808"/>
      <c r="GI808"/>
      <c r="GJ808"/>
      <c r="GK808"/>
      <c r="GL808"/>
      <c r="GM808"/>
      <c r="GN808"/>
      <c r="GO808"/>
      <c r="GP808"/>
      <c r="GQ808"/>
      <c r="GR808"/>
      <c r="GS808"/>
      <c r="GT808"/>
      <c r="GU808"/>
      <c r="GV808"/>
      <c r="GW808"/>
      <c r="GX808"/>
      <c r="GY808"/>
      <c r="GZ808"/>
      <c r="HA808"/>
      <c r="HB808"/>
      <c r="HC808"/>
      <c r="HD808"/>
      <c r="HE808"/>
      <c r="HF808"/>
      <c r="HG808"/>
      <c r="HH808"/>
      <c r="HI808"/>
      <c r="HJ808"/>
      <c r="HK808"/>
      <c r="HL808"/>
      <c r="HM808"/>
      <c r="HN808"/>
      <c r="HO808"/>
      <c r="HP808"/>
      <c r="HQ808"/>
      <c r="HR808"/>
      <c r="HS808"/>
      <c r="HT808"/>
      <c r="HU808"/>
      <c r="HV808"/>
      <c r="HW808"/>
      <c r="HX808"/>
      <c r="HY808"/>
      <c r="HZ808"/>
      <c r="IA808"/>
      <c r="IB808"/>
      <c r="IC808"/>
      <c r="ID808"/>
      <c r="IE808"/>
      <c r="IF808"/>
      <c r="IG808"/>
      <c r="IH808"/>
      <c r="II808"/>
      <c r="IJ808"/>
      <c r="IK808"/>
      <c r="IL808"/>
      <c r="IM808"/>
      <c r="IN808"/>
      <c r="IO808"/>
      <c r="IP808"/>
      <c r="IQ808"/>
      <c r="IR808"/>
      <c r="IS808"/>
      <c r="IT808"/>
      <c r="IU808"/>
      <c r="IV808"/>
    </row>
    <row r="809" spans="1:256" ht="12.75" hidden="1" customHeight="1" x14ac:dyDescent="0.2">
      <c r="A809" s="551"/>
      <c r="B809" s="584" t="s">
        <v>906</v>
      </c>
      <c r="C809" s="558">
        <v>100000</v>
      </c>
      <c r="D809" s="562">
        <v>100000</v>
      </c>
      <c r="E809" s="564">
        <v>0</v>
      </c>
      <c r="F809" s="580">
        <v>8712</v>
      </c>
      <c r="G809" s="127">
        <v>100000</v>
      </c>
      <c r="H809"/>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c r="EF809"/>
      <c r="EG809"/>
      <c r="EH809"/>
      <c r="EI809"/>
      <c r="EJ809"/>
      <c r="EK809"/>
      <c r="EL809"/>
      <c r="EM809"/>
      <c r="EN809"/>
      <c r="EO809"/>
      <c r="EP809"/>
      <c r="EQ809"/>
      <c r="ER809"/>
      <c r="ES809"/>
      <c r="ET809"/>
      <c r="EU809"/>
      <c r="EV809"/>
      <c r="EW809"/>
      <c r="EX809"/>
      <c r="EY809"/>
      <c r="EZ809"/>
      <c r="FA809"/>
      <c r="FB809"/>
      <c r="FC809"/>
      <c r="FD809"/>
      <c r="FE809"/>
      <c r="FF809"/>
      <c r="FG809"/>
      <c r="FH809"/>
      <c r="FI809"/>
      <c r="FJ809"/>
      <c r="FK809"/>
      <c r="FL809"/>
      <c r="FM809"/>
      <c r="FN809"/>
      <c r="FO809"/>
      <c r="FP809"/>
      <c r="FQ809"/>
      <c r="FR809"/>
      <c r="FS809"/>
      <c r="FT809"/>
      <c r="FU809"/>
      <c r="FV809"/>
      <c r="FW809"/>
      <c r="FX809"/>
      <c r="FY809"/>
      <c r="FZ809"/>
      <c r="GA809"/>
      <c r="GB809"/>
      <c r="GC809"/>
      <c r="GD809"/>
      <c r="GE809"/>
      <c r="GF809"/>
      <c r="GG809"/>
      <c r="GH809"/>
      <c r="GI809"/>
      <c r="GJ809"/>
      <c r="GK809"/>
      <c r="GL809"/>
      <c r="GM809"/>
      <c r="GN809"/>
      <c r="GO809"/>
      <c r="GP809"/>
      <c r="GQ809"/>
      <c r="GR809"/>
      <c r="GS809"/>
      <c r="GT809"/>
      <c r="GU809"/>
      <c r="GV809"/>
      <c r="GW809"/>
      <c r="GX809"/>
      <c r="GY809"/>
      <c r="GZ809"/>
      <c r="HA809"/>
      <c r="HB809"/>
      <c r="HC809"/>
      <c r="HD809"/>
      <c r="HE809"/>
      <c r="HF809"/>
      <c r="HG809"/>
      <c r="HH809"/>
      <c r="HI809"/>
      <c r="HJ809"/>
      <c r="HK809"/>
      <c r="HL809"/>
      <c r="HM809"/>
      <c r="HN809"/>
      <c r="HO809"/>
      <c r="HP809"/>
      <c r="HQ809"/>
      <c r="HR809"/>
      <c r="HS809"/>
      <c r="HT809"/>
      <c r="HU809"/>
      <c r="HV809"/>
      <c r="HW809"/>
      <c r="HX809"/>
      <c r="HY809"/>
      <c r="HZ809"/>
      <c r="IA809"/>
      <c r="IB809"/>
      <c r="IC809"/>
      <c r="ID809"/>
      <c r="IE809"/>
      <c r="IF809"/>
      <c r="IG809"/>
      <c r="IH809"/>
      <c r="II809"/>
      <c r="IJ809"/>
      <c r="IK809"/>
      <c r="IL809"/>
      <c r="IM809"/>
      <c r="IN809"/>
      <c r="IO809"/>
      <c r="IP809"/>
      <c r="IQ809"/>
      <c r="IR809"/>
      <c r="IS809"/>
      <c r="IT809"/>
      <c r="IU809"/>
      <c r="IV809"/>
    </row>
    <row r="810" spans="1:256" ht="12.75" hidden="1" customHeight="1" x14ac:dyDescent="0.2">
      <c r="A810" s="551"/>
      <c r="B810" s="639" t="s">
        <v>907</v>
      </c>
      <c r="C810" s="560">
        <v>100000</v>
      </c>
      <c r="D810" s="562">
        <v>100000</v>
      </c>
      <c r="E810" s="564">
        <v>100000</v>
      </c>
      <c r="F810" s="580">
        <v>0</v>
      </c>
      <c r="G810" s="127">
        <v>250000</v>
      </c>
      <c r="H810"/>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c r="EF810"/>
      <c r="EG810"/>
      <c r="EH810"/>
      <c r="EI810"/>
      <c r="EJ810"/>
      <c r="EK810"/>
      <c r="EL810"/>
      <c r="EM810"/>
      <c r="EN810"/>
      <c r="EO810"/>
      <c r="EP810"/>
      <c r="EQ810"/>
      <c r="ER810"/>
      <c r="ES810"/>
      <c r="ET810"/>
      <c r="EU810"/>
      <c r="EV810"/>
      <c r="EW810"/>
      <c r="EX810"/>
      <c r="EY810"/>
      <c r="EZ810"/>
      <c r="FA810"/>
      <c r="FB810"/>
      <c r="FC810"/>
      <c r="FD810"/>
      <c r="FE810"/>
      <c r="FF810"/>
      <c r="FG810"/>
      <c r="FH810"/>
      <c r="FI810"/>
      <c r="FJ810"/>
      <c r="FK810"/>
      <c r="FL810"/>
      <c r="FM810"/>
      <c r="FN810"/>
      <c r="FO810"/>
      <c r="FP810"/>
      <c r="FQ810"/>
      <c r="FR810"/>
      <c r="FS810"/>
      <c r="FT810"/>
      <c r="FU810"/>
      <c r="FV810"/>
      <c r="FW810"/>
      <c r="FX810"/>
      <c r="FY810"/>
      <c r="FZ810"/>
      <c r="GA810"/>
      <c r="GB810"/>
      <c r="GC810"/>
      <c r="GD810"/>
      <c r="GE810"/>
      <c r="GF810"/>
      <c r="GG810"/>
      <c r="GH810"/>
      <c r="GI810"/>
      <c r="GJ810"/>
      <c r="GK810"/>
      <c r="GL810"/>
      <c r="GM810"/>
      <c r="GN810"/>
      <c r="GO810"/>
      <c r="GP810"/>
      <c r="GQ810"/>
      <c r="GR810"/>
      <c r="GS810"/>
      <c r="GT810"/>
      <c r="GU810"/>
      <c r="GV810"/>
      <c r="GW810"/>
      <c r="GX810"/>
      <c r="GY810"/>
      <c r="GZ810"/>
      <c r="HA810"/>
      <c r="HB810"/>
      <c r="HC810"/>
      <c r="HD810"/>
      <c r="HE810"/>
      <c r="HF810"/>
      <c r="HG810"/>
      <c r="HH810"/>
      <c r="HI810"/>
      <c r="HJ810"/>
      <c r="HK810"/>
      <c r="HL810"/>
      <c r="HM810"/>
      <c r="HN810"/>
      <c r="HO810"/>
      <c r="HP810"/>
      <c r="HQ810"/>
      <c r="HR810"/>
      <c r="HS810"/>
      <c r="HT810"/>
      <c r="HU810"/>
      <c r="HV810"/>
      <c r="HW810"/>
      <c r="HX810"/>
      <c r="HY810"/>
      <c r="HZ810"/>
      <c r="IA810"/>
      <c r="IB810"/>
      <c r="IC810"/>
      <c r="ID810"/>
      <c r="IE810"/>
      <c r="IF810"/>
      <c r="IG810"/>
      <c r="IH810"/>
      <c r="II810"/>
      <c r="IJ810"/>
      <c r="IK810"/>
      <c r="IL810"/>
      <c r="IM810"/>
      <c r="IN810"/>
      <c r="IO810"/>
      <c r="IP810"/>
      <c r="IQ810"/>
      <c r="IR810"/>
      <c r="IS810"/>
      <c r="IT810"/>
      <c r="IU810"/>
      <c r="IV810"/>
    </row>
    <row r="811" spans="1:256" ht="12.75" hidden="1" customHeight="1" x14ac:dyDescent="0.2">
      <c r="A811" s="551"/>
      <c r="B811" s="557" t="s">
        <v>908</v>
      </c>
      <c r="C811" s="558">
        <v>600000</v>
      </c>
      <c r="D811" s="562">
        <f>600000-2000</f>
        <v>598000</v>
      </c>
      <c r="E811" s="564">
        <v>598000</v>
      </c>
      <c r="F811" s="580">
        <f>30660+256090+11017</f>
        <v>297767</v>
      </c>
      <c r="G811" s="127">
        <v>700000</v>
      </c>
      <c r="H811"/>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c r="EY811"/>
      <c r="EZ811"/>
      <c r="FA811"/>
      <c r="FB811"/>
      <c r="FC811"/>
      <c r="FD811"/>
      <c r="FE811"/>
      <c r="FF811"/>
      <c r="FG811"/>
      <c r="FH811"/>
      <c r="FI811"/>
      <c r="FJ811"/>
      <c r="FK811"/>
      <c r="FL811"/>
      <c r="FM811"/>
      <c r="FN811"/>
      <c r="FO811"/>
      <c r="FP811"/>
      <c r="FQ811"/>
      <c r="FR811"/>
      <c r="FS811"/>
      <c r="FT811"/>
      <c r="FU811"/>
      <c r="FV811"/>
      <c r="FW811"/>
      <c r="FX811"/>
      <c r="FY811"/>
      <c r="FZ811"/>
      <c r="GA811"/>
      <c r="GB811"/>
      <c r="GC811"/>
      <c r="GD811"/>
      <c r="GE811"/>
      <c r="GF811"/>
      <c r="GG811"/>
      <c r="GH811"/>
      <c r="GI811"/>
      <c r="GJ811"/>
      <c r="GK811"/>
      <c r="GL811"/>
      <c r="GM811"/>
      <c r="GN811"/>
      <c r="GO811"/>
      <c r="GP811"/>
      <c r="GQ811"/>
      <c r="GR811"/>
      <c r="GS811"/>
      <c r="GT811"/>
      <c r="GU811"/>
      <c r="GV811"/>
      <c r="GW811"/>
      <c r="GX811"/>
      <c r="GY811"/>
      <c r="GZ811"/>
      <c r="HA811"/>
      <c r="HB811"/>
      <c r="HC811"/>
      <c r="HD811"/>
      <c r="HE811"/>
      <c r="HF811"/>
      <c r="HG811"/>
      <c r="HH811"/>
      <c r="HI811"/>
      <c r="HJ811"/>
      <c r="HK811"/>
      <c r="HL811"/>
      <c r="HM811"/>
      <c r="HN811"/>
      <c r="HO811"/>
      <c r="HP811"/>
      <c r="HQ811"/>
      <c r="HR811"/>
      <c r="HS811"/>
      <c r="HT811"/>
      <c r="HU811"/>
      <c r="HV811"/>
      <c r="HW811"/>
      <c r="HX811"/>
      <c r="HY811"/>
      <c r="HZ811"/>
      <c r="IA811"/>
      <c r="IB811"/>
      <c r="IC811"/>
      <c r="ID811"/>
      <c r="IE811"/>
      <c r="IF811"/>
      <c r="IG811"/>
      <c r="IH811"/>
      <c r="II811"/>
      <c r="IJ811"/>
      <c r="IK811"/>
      <c r="IL811"/>
      <c r="IM811"/>
      <c r="IN811"/>
      <c r="IO811"/>
      <c r="IP811"/>
      <c r="IQ811"/>
      <c r="IR811"/>
      <c r="IS811"/>
      <c r="IT811"/>
      <c r="IU811"/>
      <c r="IV811"/>
    </row>
    <row r="812" spans="1:256" ht="12.75" hidden="1" customHeight="1" x14ac:dyDescent="0.2">
      <c r="A812" s="551"/>
      <c r="B812" s="639" t="s">
        <v>909</v>
      </c>
      <c r="C812" s="560">
        <v>1470000</v>
      </c>
      <c r="D812" s="562">
        <v>1480450</v>
      </c>
      <c r="E812" s="564">
        <v>1480450</v>
      </c>
      <c r="F812" s="580">
        <v>990450</v>
      </c>
      <c r="G812" s="127">
        <v>1550000</v>
      </c>
      <c r="H812"/>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c r="EF812"/>
      <c r="EG812"/>
      <c r="EH812"/>
      <c r="EI812"/>
      <c r="EJ812"/>
      <c r="EK812"/>
      <c r="EL812"/>
      <c r="EM812"/>
      <c r="EN812"/>
      <c r="EO812"/>
      <c r="EP812"/>
      <c r="EQ812"/>
      <c r="ER812"/>
      <c r="ES812"/>
      <c r="ET812"/>
      <c r="EU812"/>
      <c r="EV812"/>
      <c r="EW812"/>
      <c r="EX812"/>
      <c r="EY812"/>
      <c r="EZ812"/>
      <c r="FA812"/>
      <c r="FB812"/>
      <c r="FC812"/>
      <c r="FD812"/>
      <c r="FE812"/>
      <c r="FF812"/>
      <c r="FG812"/>
      <c r="FH812"/>
      <c r="FI812"/>
      <c r="FJ812"/>
      <c r="FK812"/>
      <c r="FL812"/>
      <c r="FM812"/>
      <c r="FN812"/>
      <c r="FO812"/>
      <c r="FP812"/>
      <c r="FQ812"/>
      <c r="FR812"/>
      <c r="FS812"/>
      <c r="FT812"/>
      <c r="FU812"/>
      <c r="FV812"/>
      <c r="FW812"/>
      <c r="FX812"/>
      <c r="FY812"/>
      <c r="FZ812"/>
      <c r="GA812"/>
      <c r="GB812"/>
      <c r="GC812"/>
      <c r="GD812"/>
      <c r="GE812"/>
      <c r="GF812"/>
      <c r="GG812"/>
      <c r="GH812"/>
      <c r="GI812"/>
      <c r="GJ812"/>
      <c r="GK812"/>
      <c r="GL812"/>
      <c r="GM812"/>
      <c r="GN812"/>
      <c r="GO812"/>
      <c r="GP812"/>
      <c r="GQ812"/>
      <c r="GR812"/>
      <c r="GS812"/>
      <c r="GT812"/>
      <c r="GU812"/>
      <c r="GV812"/>
      <c r="GW812"/>
      <c r="GX812"/>
      <c r="GY812"/>
      <c r="GZ812"/>
      <c r="HA812"/>
      <c r="HB812"/>
      <c r="HC812"/>
      <c r="HD812"/>
      <c r="HE812"/>
      <c r="HF812"/>
      <c r="HG812"/>
      <c r="HH812"/>
      <c r="HI812"/>
      <c r="HJ812"/>
      <c r="HK812"/>
      <c r="HL812"/>
      <c r="HM812"/>
      <c r="HN812"/>
      <c r="HO812"/>
      <c r="HP812"/>
      <c r="HQ812"/>
      <c r="HR812"/>
      <c r="HS812"/>
      <c r="HT812"/>
      <c r="HU812"/>
      <c r="HV812"/>
      <c r="HW812"/>
      <c r="HX812"/>
      <c r="HY812"/>
      <c r="HZ812"/>
      <c r="IA812"/>
      <c r="IB812"/>
      <c r="IC812"/>
      <c r="ID812"/>
      <c r="IE812"/>
      <c r="IF812"/>
      <c r="IG812"/>
      <c r="IH812"/>
      <c r="II812"/>
      <c r="IJ812"/>
      <c r="IK812"/>
      <c r="IL812"/>
      <c r="IM812"/>
      <c r="IN812"/>
      <c r="IO812"/>
      <c r="IP812"/>
      <c r="IQ812"/>
      <c r="IR812"/>
      <c r="IS812"/>
      <c r="IT812"/>
      <c r="IU812"/>
      <c r="IV812"/>
    </row>
    <row r="813" spans="1:256" ht="12.75" hidden="1" customHeight="1" x14ac:dyDescent="0.2">
      <c r="A813" s="594"/>
      <c r="B813" s="627" t="s">
        <v>910</v>
      </c>
      <c r="C813" s="558"/>
      <c r="D813" s="562"/>
      <c r="E813" s="564"/>
      <c r="F813" s="580"/>
      <c r="G813" s="127">
        <v>50000</v>
      </c>
      <c r="H813"/>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c r="EF813"/>
      <c r="EG813"/>
      <c r="EH813"/>
      <c r="EI813"/>
      <c r="EJ813"/>
      <c r="EK813"/>
      <c r="EL813"/>
      <c r="EM813"/>
      <c r="EN813"/>
      <c r="EO813"/>
      <c r="EP813"/>
      <c r="EQ813"/>
      <c r="ER813"/>
      <c r="ES813"/>
      <c r="ET813"/>
      <c r="EU813"/>
      <c r="EV813"/>
      <c r="EW813"/>
      <c r="EX813"/>
      <c r="EY813"/>
      <c r="EZ813"/>
      <c r="FA813"/>
      <c r="FB813"/>
      <c r="FC813"/>
      <c r="FD813"/>
      <c r="FE813"/>
      <c r="FF813"/>
      <c r="FG813"/>
      <c r="FH813"/>
      <c r="FI813"/>
      <c r="FJ813"/>
      <c r="FK813"/>
      <c r="FL813"/>
      <c r="FM813"/>
      <c r="FN813"/>
      <c r="FO813"/>
      <c r="FP813"/>
      <c r="FQ813"/>
      <c r="FR813"/>
      <c r="FS813"/>
      <c r="FT813"/>
      <c r="FU813"/>
      <c r="FV813"/>
      <c r="FW813"/>
      <c r="FX813"/>
      <c r="FY813"/>
      <c r="FZ813"/>
      <c r="GA813"/>
      <c r="GB813"/>
      <c r="GC813"/>
      <c r="GD813"/>
      <c r="GE813"/>
      <c r="GF813"/>
      <c r="GG813"/>
      <c r="GH813"/>
      <c r="GI813"/>
      <c r="GJ813"/>
      <c r="GK813"/>
      <c r="GL813"/>
      <c r="GM813"/>
      <c r="GN813"/>
      <c r="GO813"/>
      <c r="GP813"/>
      <c r="GQ813"/>
      <c r="GR813"/>
      <c r="GS813"/>
      <c r="GT813"/>
      <c r="GU813"/>
      <c r="GV813"/>
      <c r="GW813"/>
      <c r="GX813"/>
      <c r="GY813"/>
      <c r="GZ813"/>
      <c r="HA813"/>
      <c r="HB813"/>
      <c r="HC813"/>
      <c r="HD813"/>
      <c r="HE813"/>
      <c r="HF813"/>
      <c r="HG813"/>
      <c r="HH813"/>
      <c r="HI813"/>
      <c r="HJ813"/>
      <c r="HK813"/>
      <c r="HL813"/>
      <c r="HM813"/>
      <c r="HN813"/>
      <c r="HO813"/>
      <c r="HP813"/>
      <c r="HQ813"/>
      <c r="HR813"/>
      <c r="HS813"/>
      <c r="HT813"/>
      <c r="HU813"/>
      <c r="HV813"/>
      <c r="HW813"/>
      <c r="HX813"/>
      <c r="HY813"/>
      <c r="HZ813"/>
      <c r="IA813"/>
      <c r="IB813"/>
      <c r="IC813"/>
      <c r="ID813"/>
      <c r="IE813"/>
      <c r="IF813"/>
      <c r="IG813"/>
      <c r="IH813"/>
      <c r="II813"/>
      <c r="IJ813"/>
      <c r="IK813"/>
      <c r="IL813"/>
      <c r="IM813"/>
      <c r="IN813"/>
      <c r="IO813"/>
      <c r="IP813"/>
      <c r="IQ813"/>
      <c r="IR813"/>
      <c r="IS813"/>
      <c r="IT813"/>
      <c r="IU813"/>
      <c r="IV813"/>
    </row>
    <row r="814" spans="1:256" ht="12.75" hidden="1" customHeight="1" x14ac:dyDescent="0.2">
      <c r="A814" s="634"/>
      <c r="B814" s="557" t="s">
        <v>911</v>
      </c>
      <c r="C814" s="610">
        <v>15000</v>
      </c>
      <c r="D814" s="603">
        <v>15000</v>
      </c>
      <c r="E814" s="603">
        <v>15000</v>
      </c>
      <c r="F814" s="580">
        <v>9680</v>
      </c>
      <c r="G814" s="127">
        <v>15000</v>
      </c>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c r="EW814"/>
      <c r="EX814"/>
      <c r="EY814"/>
      <c r="EZ814"/>
      <c r="FA814"/>
      <c r="FB814"/>
      <c r="FC814"/>
      <c r="FD814"/>
      <c r="FE814"/>
      <c r="FF814"/>
      <c r="FG814"/>
      <c r="FH814"/>
      <c r="FI814"/>
      <c r="FJ814"/>
      <c r="FK814"/>
      <c r="FL814"/>
      <c r="FM814"/>
      <c r="FN814"/>
      <c r="FO814"/>
      <c r="FP814"/>
      <c r="FQ814"/>
      <c r="FR814"/>
      <c r="FS814"/>
      <c r="FT814"/>
      <c r="FU814"/>
      <c r="FV814"/>
      <c r="FW814"/>
      <c r="FX814"/>
      <c r="FY814"/>
      <c r="FZ814"/>
      <c r="GA814"/>
      <c r="GB814"/>
      <c r="GC814"/>
      <c r="GD814"/>
      <c r="GE814"/>
      <c r="GF814"/>
      <c r="GG814"/>
      <c r="GH814"/>
      <c r="GI814"/>
      <c r="GJ814"/>
      <c r="GK814"/>
      <c r="GL814"/>
      <c r="GM814"/>
      <c r="GN814"/>
      <c r="GO814"/>
      <c r="GP814"/>
      <c r="GQ814"/>
      <c r="GR814"/>
      <c r="GS814"/>
      <c r="GT814"/>
      <c r="GU814"/>
      <c r="GV814"/>
      <c r="GW814"/>
      <c r="GX814"/>
      <c r="GY814"/>
      <c r="GZ814"/>
      <c r="HA814"/>
      <c r="HB814"/>
      <c r="HC814"/>
      <c r="HD814"/>
      <c r="HE814"/>
      <c r="HF814"/>
      <c r="HG814"/>
      <c r="HH814"/>
      <c r="HI814"/>
      <c r="HJ814"/>
      <c r="HK814"/>
      <c r="HL814"/>
      <c r="HM814"/>
      <c r="HN814"/>
      <c r="HO814"/>
      <c r="HP814"/>
      <c r="HQ814"/>
      <c r="HR814"/>
      <c r="HS814"/>
      <c r="HT814"/>
      <c r="HU814"/>
      <c r="HV814"/>
      <c r="HW814"/>
      <c r="HX814"/>
      <c r="HY814"/>
      <c r="HZ814"/>
      <c r="IA814"/>
      <c r="IB814"/>
      <c r="IC814"/>
      <c r="ID814"/>
      <c r="IE814"/>
      <c r="IF814"/>
      <c r="IG814"/>
      <c r="IH814"/>
      <c r="II814"/>
      <c r="IJ814"/>
      <c r="IK814"/>
      <c r="IL814"/>
      <c r="IM814"/>
      <c r="IN814"/>
      <c r="IO814"/>
      <c r="IP814"/>
      <c r="IQ814"/>
      <c r="IR814"/>
      <c r="IS814"/>
      <c r="IT814"/>
      <c r="IU814"/>
      <c r="IV814"/>
    </row>
    <row r="815" spans="1:256" ht="12.75" hidden="1" customHeight="1" x14ac:dyDescent="0.2">
      <c r="A815" s="634"/>
      <c r="B815" s="561" t="s">
        <v>912</v>
      </c>
      <c r="C815" s="610">
        <v>0</v>
      </c>
      <c r="D815" s="603">
        <v>0</v>
      </c>
      <c r="E815" s="613">
        <v>0</v>
      </c>
      <c r="F815" s="580">
        <v>0</v>
      </c>
      <c r="G815" s="127">
        <v>35000</v>
      </c>
      <c r="H815"/>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c r="EW815"/>
      <c r="EX815"/>
      <c r="EY815"/>
      <c r="EZ815"/>
      <c r="FA815"/>
      <c r="FB815"/>
      <c r="FC815"/>
      <c r="FD815"/>
      <c r="FE815"/>
      <c r="FF815"/>
      <c r="FG815"/>
      <c r="FH815"/>
      <c r="FI815"/>
      <c r="FJ815"/>
      <c r="FK815"/>
      <c r="FL815"/>
      <c r="FM815"/>
      <c r="FN815"/>
      <c r="FO815"/>
      <c r="FP815"/>
      <c r="FQ815"/>
      <c r="FR815"/>
      <c r="FS815"/>
      <c r="FT815"/>
      <c r="FU815"/>
      <c r="FV815"/>
      <c r="FW815"/>
      <c r="FX815"/>
      <c r="FY815"/>
      <c r="FZ815"/>
      <c r="GA815"/>
      <c r="GB815"/>
      <c r="GC815"/>
      <c r="GD815"/>
      <c r="GE815"/>
      <c r="GF815"/>
      <c r="GG815"/>
      <c r="GH815"/>
      <c r="GI815"/>
      <c r="GJ815"/>
      <c r="GK815"/>
      <c r="GL815"/>
      <c r="GM815"/>
      <c r="GN815"/>
      <c r="GO815"/>
      <c r="GP815"/>
      <c r="GQ815"/>
      <c r="GR815"/>
      <c r="GS815"/>
      <c r="GT815"/>
      <c r="GU815"/>
      <c r="GV815"/>
      <c r="GW815"/>
      <c r="GX815"/>
      <c r="GY815"/>
      <c r="GZ815"/>
      <c r="HA815"/>
      <c r="HB815"/>
      <c r="HC815"/>
      <c r="HD815"/>
      <c r="HE815"/>
      <c r="HF815"/>
      <c r="HG815"/>
      <c r="HH815"/>
      <c r="HI815"/>
      <c r="HJ815"/>
      <c r="HK815"/>
      <c r="HL815"/>
      <c r="HM815"/>
      <c r="HN815"/>
      <c r="HO815"/>
      <c r="HP815"/>
      <c r="HQ815"/>
      <c r="HR815"/>
      <c r="HS815"/>
      <c r="HT815"/>
      <c r="HU815"/>
      <c r="HV815"/>
      <c r="HW815"/>
      <c r="HX815"/>
      <c r="HY815"/>
      <c r="HZ815"/>
      <c r="IA815"/>
      <c r="IB815"/>
      <c r="IC815"/>
      <c r="ID815"/>
      <c r="IE815"/>
      <c r="IF815"/>
      <c r="IG815"/>
      <c r="IH815"/>
      <c r="II815"/>
      <c r="IJ815"/>
      <c r="IK815"/>
      <c r="IL815"/>
      <c r="IM815"/>
      <c r="IN815"/>
      <c r="IO815"/>
      <c r="IP815"/>
      <c r="IQ815"/>
      <c r="IR815"/>
      <c r="IS815"/>
      <c r="IT815"/>
      <c r="IU815"/>
      <c r="IV815"/>
    </row>
    <row r="816" spans="1:256" ht="12.75" hidden="1" customHeight="1" x14ac:dyDescent="0.2">
      <c r="A816" s="634"/>
      <c r="B816" s="557" t="s">
        <v>913</v>
      </c>
      <c r="C816" s="610">
        <f>SUM(C818,C829)</f>
        <v>10400000</v>
      </c>
      <c r="D816" s="603">
        <f>SUM(D818,D829)</f>
        <v>9600000</v>
      </c>
      <c r="E816" s="603">
        <f>SUM(E818,E829)</f>
        <v>9060000</v>
      </c>
      <c r="F816" s="580">
        <f>SUM(F818,F829)</f>
        <v>1527768.88</v>
      </c>
      <c r="G816" s="127">
        <f>G818+G829+G843</f>
        <v>6050000</v>
      </c>
      <c r="H816"/>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c r="EW816"/>
      <c r="EX816"/>
      <c r="EY816"/>
      <c r="EZ816"/>
      <c r="FA816"/>
      <c r="FB816"/>
      <c r="FC816"/>
      <c r="FD816"/>
      <c r="FE816"/>
      <c r="FF816"/>
      <c r="FG816"/>
      <c r="FH816"/>
      <c r="FI816"/>
      <c r="FJ816"/>
      <c r="FK816"/>
      <c r="FL816"/>
      <c r="FM816"/>
      <c r="FN816"/>
      <c r="FO816"/>
      <c r="FP816"/>
      <c r="FQ816"/>
      <c r="FR816"/>
      <c r="FS816"/>
      <c r="FT816"/>
      <c r="FU816"/>
      <c r="FV816"/>
      <c r="FW816"/>
      <c r="FX816"/>
      <c r="FY816"/>
      <c r="FZ816"/>
      <c r="GA816"/>
      <c r="GB816"/>
      <c r="GC816"/>
      <c r="GD816"/>
      <c r="GE816"/>
      <c r="GF816"/>
      <c r="GG816"/>
      <c r="GH816"/>
      <c r="GI816"/>
      <c r="GJ816"/>
      <c r="GK816"/>
      <c r="GL816"/>
      <c r="GM816"/>
      <c r="GN816"/>
      <c r="GO816"/>
      <c r="GP816"/>
      <c r="GQ816"/>
      <c r="GR816"/>
      <c r="GS816"/>
      <c r="GT816"/>
      <c r="GU816"/>
      <c r="GV816"/>
      <c r="GW816"/>
      <c r="GX816"/>
      <c r="GY816"/>
      <c r="GZ816"/>
      <c r="HA816"/>
      <c r="HB816"/>
      <c r="HC816"/>
      <c r="HD816"/>
      <c r="HE816"/>
      <c r="HF816"/>
      <c r="HG816"/>
      <c r="HH816"/>
      <c r="HI816"/>
      <c r="HJ816"/>
      <c r="HK816"/>
      <c r="HL816"/>
      <c r="HM816"/>
      <c r="HN816"/>
      <c r="HO816"/>
      <c r="HP816"/>
      <c r="HQ816"/>
      <c r="HR816"/>
      <c r="HS816"/>
      <c r="HT816"/>
      <c r="HU816"/>
      <c r="HV816"/>
      <c r="HW816"/>
      <c r="HX816"/>
      <c r="HY816"/>
      <c r="HZ816"/>
      <c r="IA816"/>
      <c r="IB816"/>
      <c r="IC816"/>
      <c r="ID816"/>
      <c r="IE816"/>
      <c r="IF816"/>
      <c r="IG816"/>
      <c r="IH816"/>
      <c r="II816"/>
      <c r="IJ816"/>
      <c r="IK816"/>
      <c r="IL816"/>
      <c r="IM816"/>
      <c r="IN816"/>
      <c r="IO816"/>
      <c r="IP816"/>
      <c r="IQ816"/>
      <c r="IR816"/>
      <c r="IS816"/>
      <c r="IT816"/>
      <c r="IU816"/>
      <c r="IV816"/>
    </row>
    <row r="817" spans="1:256" ht="12.75" hidden="1" customHeight="1" x14ac:dyDescent="0.2">
      <c r="A817" s="634"/>
      <c r="B817" s="639" t="s">
        <v>914</v>
      </c>
      <c r="C817" s="558">
        <v>0</v>
      </c>
      <c r="D817" s="562">
        <v>0</v>
      </c>
      <c r="E817" s="564">
        <v>0</v>
      </c>
      <c r="F817" s="580">
        <v>0</v>
      </c>
      <c r="G817" s="127">
        <v>486000</v>
      </c>
      <c r="H817"/>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c r="EW817"/>
      <c r="EX817"/>
      <c r="EY817"/>
      <c r="EZ817"/>
      <c r="FA817"/>
      <c r="FB817"/>
      <c r="FC817"/>
      <c r="FD817"/>
      <c r="FE817"/>
      <c r="FF817"/>
      <c r="FG817"/>
      <c r="FH817"/>
      <c r="FI817"/>
      <c r="FJ817"/>
      <c r="FK817"/>
      <c r="FL817"/>
      <c r="FM817"/>
      <c r="FN817"/>
      <c r="FO817"/>
      <c r="FP817"/>
      <c r="FQ817"/>
      <c r="FR817"/>
      <c r="FS817"/>
      <c r="FT817"/>
      <c r="FU817"/>
      <c r="FV817"/>
      <c r="FW817"/>
      <c r="FX817"/>
      <c r="FY817"/>
      <c r="FZ817"/>
      <c r="GA817"/>
      <c r="GB817"/>
      <c r="GC817"/>
      <c r="GD817"/>
      <c r="GE817"/>
      <c r="GF817"/>
      <c r="GG817"/>
      <c r="GH817"/>
      <c r="GI817"/>
      <c r="GJ817"/>
      <c r="GK817"/>
      <c r="GL817"/>
      <c r="GM817"/>
      <c r="GN817"/>
      <c r="GO817"/>
      <c r="GP817"/>
      <c r="GQ817"/>
      <c r="GR817"/>
      <c r="GS817"/>
      <c r="GT817"/>
      <c r="GU817"/>
      <c r="GV817"/>
      <c r="GW817"/>
      <c r="GX817"/>
      <c r="GY817"/>
      <c r="GZ817"/>
      <c r="HA817"/>
      <c r="HB817"/>
      <c r="HC817"/>
      <c r="HD817"/>
      <c r="HE817"/>
      <c r="HF817"/>
      <c r="HG817"/>
      <c r="HH817"/>
      <c r="HI817"/>
      <c r="HJ817"/>
      <c r="HK817"/>
      <c r="HL817"/>
      <c r="HM817"/>
      <c r="HN817"/>
      <c r="HO817"/>
      <c r="HP817"/>
      <c r="HQ817"/>
      <c r="HR817"/>
      <c r="HS817"/>
      <c r="HT817"/>
      <c r="HU817"/>
      <c r="HV817"/>
      <c r="HW817"/>
      <c r="HX817"/>
      <c r="HY817"/>
      <c r="HZ817"/>
      <c r="IA817"/>
      <c r="IB817"/>
      <c r="IC817"/>
      <c r="ID817"/>
      <c r="IE817"/>
      <c r="IF817"/>
      <c r="IG817"/>
      <c r="IH817"/>
      <c r="II817"/>
      <c r="IJ817"/>
      <c r="IK817"/>
      <c r="IL817"/>
      <c r="IM817"/>
      <c r="IN817"/>
      <c r="IO817"/>
      <c r="IP817"/>
      <c r="IQ817"/>
      <c r="IR817"/>
      <c r="IS817"/>
      <c r="IT817"/>
      <c r="IU817"/>
      <c r="IV817"/>
    </row>
    <row r="818" spans="1:256" ht="12.75" hidden="1" customHeight="1" x14ac:dyDescent="0.2">
      <c r="A818" s="551"/>
      <c r="B818" s="585" t="s">
        <v>915</v>
      </c>
      <c r="C818" s="644">
        <f>C819+C820</f>
        <v>6500000</v>
      </c>
      <c r="D818" s="645">
        <f>D819+D820</f>
        <v>6500000</v>
      </c>
      <c r="E818" s="645">
        <f>E819+E820</f>
        <v>6200000</v>
      </c>
      <c r="F818" s="625">
        <f>F819+F820</f>
        <v>1288855.94</v>
      </c>
      <c r="G818" s="644">
        <f>G819+G820</f>
        <v>2550000</v>
      </c>
      <c r="H818"/>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c r="EN818"/>
      <c r="EO818"/>
      <c r="EP818"/>
      <c r="EQ818"/>
      <c r="ER818"/>
      <c r="ES818"/>
      <c r="ET818"/>
      <c r="EU818"/>
      <c r="EV818"/>
      <c r="EW818"/>
      <c r="EX818"/>
      <c r="EY818"/>
      <c r="EZ818"/>
      <c r="FA818"/>
      <c r="FB818"/>
      <c r="FC818"/>
      <c r="FD818"/>
      <c r="FE818"/>
      <c r="FF818"/>
      <c r="FG818"/>
      <c r="FH818"/>
      <c r="FI818"/>
      <c r="FJ818"/>
      <c r="FK818"/>
      <c r="FL818"/>
      <c r="FM818"/>
      <c r="FN818"/>
      <c r="FO818"/>
      <c r="FP818"/>
      <c r="FQ818"/>
      <c r="FR818"/>
      <c r="FS818"/>
      <c r="FT818"/>
      <c r="FU818"/>
      <c r="FV818"/>
      <c r="FW818"/>
      <c r="FX818"/>
      <c r="FY818"/>
      <c r="FZ818"/>
      <c r="GA818"/>
      <c r="GB818"/>
      <c r="GC818"/>
      <c r="GD818"/>
      <c r="GE818"/>
      <c r="GF818"/>
      <c r="GG818"/>
      <c r="GH818"/>
      <c r="GI818"/>
      <c r="GJ818"/>
      <c r="GK818"/>
      <c r="GL818"/>
      <c r="GM818"/>
      <c r="GN818"/>
      <c r="GO818"/>
      <c r="GP818"/>
      <c r="GQ818"/>
      <c r="GR818"/>
      <c r="GS818"/>
      <c r="GT818"/>
      <c r="GU818"/>
      <c r="GV818"/>
      <c r="GW818"/>
      <c r="GX818"/>
      <c r="GY818"/>
      <c r="GZ818"/>
      <c r="HA818"/>
      <c r="HB818"/>
      <c r="HC818"/>
      <c r="HD818"/>
      <c r="HE818"/>
      <c r="HF818"/>
      <c r="HG818"/>
      <c r="HH818"/>
      <c r="HI818"/>
      <c r="HJ818"/>
      <c r="HK818"/>
      <c r="HL818"/>
      <c r="HM818"/>
      <c r="HN818"/>
      <c r="HO818"/>
      <c r="HP818"/>
      <c r="HQ818"/>
      <c r="HR818"/>
      <c r="HS818"/>
      <c r="HT818"/>
      <c r="HU818"/>
      <c r="HV818"/>
      <c r="HW818"/>
      <c r="HX818"/>
      <c r="HY818"/>
      <c r="HZ818"/>
      <c r="IA818"/>
      <c r="IB818"/>
      <c r="IC818"/>
      <c r="ID818"/>
      <c r="IE818"/>
      <c r="IF818"/>
      <c r="IG818"/>
      <c r="IH818"/>
      <c r="II818"/>
      <c r="IJ818"/>
      <c r="IK818"/>
      <c r="IL818"/>
      <c r="IM818"/>
      <c r="IN818"/>
      <c r="IO818"/>
      <c r="IP818"/>
      <c r="IQ818"/>
      <c r="IR818"/>
      <c r="IS818"/>
      <c r="IT818"/>
      <c r="IU818"/>
      <c r="IV818"/>
    </row>
    <row r="819" spans="1:256" ht="12.75" hidden="1" customHeight="1" x14ac:dyDescent="0.2">
      <c r="A819" s="551"/>
      <c r="B819" s="557" t="s">
        <v>916</v>
      </c>
      <c r="C819" s="560">
        <v>1500000</v>
      </c>
      <c r="D819" s="562">
        <v>1500000</v>
      </c>
      <c r="E819" s="579">
        <v>1500000</v>
      </c>
      <c r="F819" s="580">
        <v>1288855.94</v>
      </c>
      <c r="G819" s="127">
        <v>1500000</v>
      </c>
      <c r="H819"/>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c r="EW819"/>
      <c r="EX819"/>
      <c r="EY819"/>
      <c r="EZ819"/>
      <c r="FA819"/>
      <c r="FB819"/>
      <c r="FC819"/>
      <c r="FD819"/>
      <c r="FE819"/>
      <c r="FF819"/>
      <c r="FG819"/>
      <c r="FH819"/>
      <c r="FI819"/>
      <c r="FJ819"/>
      <c r="FK819"/>
      <c r="FL819"/>
      <c r="FM819"/>
      <c r="FN819"/>
      <c r="FO819"/>
      <c r="FP819"/>
      <c r="FQ819"/>
      <c r="FR819"/>
      <c r="FS819"/>
      <c r="FT819"/>
      <c r="FU819"/>
      <c r="FV819"/>
      <c r="FW819"/>
      <c r="FX819"/>
      <c r="FY819"/>
      <c r="FZ819"/>
      <c r="GA819"/>
      <c r="GB819"/>
      <c r="GC819"/>
      <c r="GD819"/>
      <c r="GE819"/>
      <c r="GF819"/>
      <c r="GG819"/>
      <c r="GH819"/>
      <c r="GI819"/>
      <c r="GJ819"/>
      <c r="GK819"/>
      <c r="GL819"/>
      <c r="GM819"/>
      <c r="GN819"/>
      <c r="GO819"/>
      <c r="GP819"/>
      <c r="GQ819"/>
      <c r="GR819"/>
      <c r="GS819"/>
      <c r="GT819"/>
      <c r="GU819"/>
      <c r="GV819"/>
      <c r="GW819"/>
      <c r="GX819"/>
      <c r="GY819"/>
      <c r="GZ819"/>
      <c r="HA819"/>
      <c r="HB819"/>
      <c r="HC819"/>
      <c r="HD819"/>
      <c r="HE819"/>
      <c r="HF819"/>
      <c r="HG819"/>
      <c r="HH819"/>
      <c r="HI819"/>
      <c r="HJ819"/>
      <c r="HK819"/>
      <c r="HL819"/>
      <c r="HM819"/>
      <c r="HN819"/>
      <c r="HO819"/>
      <c r="HP819"/>
      <c r="HQ819"/>
      <c r="HR819"/>
      <c r="HS819"/>
      <c r="HT819"/>
      <c r="HU819"/>
      <c r="HV819"/>
      <c r="HW819"/>
      <c r="HX819"/>
      <c r="HY819"/>
      <c r="HZ819"/>
      <c r="IA819"/>
      <c r="IB819"/>
      <c r="IC819"/>
      <c r="ID819"/>
      <c r="IE819"/>
      <c r="IF819"/>
      <c r="IG819"/>
      <c r="IH819"/>
      <c r="II819"/>
      <c r="IJ819"/>
      <c r="IK819"/>
      <c r="IL819"/>
      <c r="IM819"/>
      <c r="IN819"/>
      <c r="IO819"/>
      <c r="IP819"/>
      <c r="IQ819"/>
      <c r="IR819"/>
      <c r="IS819"/>
      <c r="IT819"/>
      <c r="IU819"/>
      <c r="IV819"/>
    </row>
    <row r="820" spans="1:256" ht="12.75" hidden="1" customHeight="1" x14ac:dyDescent="0.2">
      <c r="A820" s="551"/>
      <c r="B820" s="557" t="s">
        <v>917</v>
      </c>
      <c r="C820" s="127">
        <f>SUM(C821:C828)</f>
        <v>5000000</v>
      </c>
      <c r="D820" s="608">
        <f>SUM(D821:D828)</f>
        <v>5000000</v>
      </c>
      <c r="E820" s="608">
        <f>SUM(E821:E828)</f>
        <v>4700000</v>
      </c>
      <c r="F820" s="580">
        <f>SUM(F821:F828)</f>
        <v>0</v>
      </c>
      <c r="G820" s="127">
        <f>SUM(G821:G828)</f>
        <v>1050000</v>
      </c>
      <c r="H820"/>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c r="EW820"/>
      <c r="EX820"/>
      <c r="EY820"/>
      <c r="EZ820"/>
      <c r="FA820"/>
      <c r="FB820"/>
      <c r="FC820"/>
      <c r="FD820"/>
      <c r="FE820"/>
      <c r="FF820"/>
      <c r="FG820"/>
      <c r="FH820"/>
      <c r="FI820"/>
      <c r="FJ820"/>
      <c r="FK820"/>
      <c r="FL820"/>
      <c r="FM820"/>
      <c r="FN820"/>
      <c r="FO820"/>
      <c r="FP820"/>
      <c r="FQ820"/>
      <c r="FR820"/>
      <c r="FS820"/>
      <c r="FT820"/>
      <c r="FU820"/>
      <c r="FV820"/>
      <c r="FW820"/>
      <c r="FX820"/>
      <c r="FY820"/>
      <c r="FZ820"/>
      <c r="GA820"/>
      <c r="GB820"/>
      <c r="GC820"/>
      <c r="GD820"/>
      <c r="GE820"/>
      <c r="GF820"/>
      <c r="GG820"/>
      <c r="GH820"/>
      <c r="GI820"/>
      <c r="GJ820"/>
      <c r="GK820"/>
      <c r="GL820"/>
      <c r="GM820"/>
      <c r="GN820"/>
      <c r="GO820"/>
      <c r="GP820"/>
      <c r="GQ820"/>
      <c r="GR820"/>
      <c r="GS820"/>
      <c r="GT820"/>
      <c r="GU820"/>
      <c r="GV820"/>
      <c r="GW820"/>
      <c r="GX820"/>
      <c r="GY820"/>
      <c r="GZ820"/>
      <c r="HA820"/>
      <c r="HB820"/>
      <c r="HC820"/>
      <c r="HD820"/>
      <c r="HE820"/>
      <c r="HF820"/>
      <c r="HG820"/>
      <c r="HH820"/>
      <c r="HI820"/>
      <c r="HJ820"/>
      <c r="HK820"/>
      <c r="HL820"/>
      <c r="HM820"/>
      <c r="HN820"/>
      <c r="HO820"/>
      <c r="HP820"/>
      <c r="HQ820"/>
      <c r="HR820"/>
      <c r="HS820"/>
      <c r="HT820"/>
      <c r="HU820"/>
      <c r="HV820"/>
      <c r="HW820"/>
      <c r="HX820"/>
      <c r="HY820"/>
      <c r="HZ820"/>
      <c r="IA820"/>
      <c r="IB820"/>
      <c r="IC820"/>
      <c r="ID820"/>
      <c r="IE820"/>
      <c r="IF820"/>
      <c r="IG820"/>
      <c r="IH820"/>
      <c r="II820"/>
      <c r="IJ820"/>
      <c r="IK820"/>
      <c r="IL820"/>
      <c r="IM820"/>
      <c r="IN820"/>
      <c r="IO820"/>
      <c r="IP820"/>
      <c r="IQ820"/>
      <c r="IR820"/>
      <c r="IS820"/>
      <c r="IT820"/>
      <c r="IU820"/>
      <c r="IV820"/>
    </row>
    <row r="821" spans="1:256" ht="12.75" hidden="1" customHeight="1" x14ac:dyDescent="0.2">
      <c r="A821" s="634"/>
      <c r="B821" s="639" t="s">
        <v>918</v>
      </c>
      <c r="C821" s="602">
        <f>1500000-500000</f>
        <v>1000000</v>
      </c>
      <c r="D821" s="603">
        <f>1500000-500000</f>
        <v>1000000</v>
      </c>
      <c r="E821" s="604">
        <v>1000000</v>
      </c>
      <c r="F821" s="625">
        <v>0</v>
      </c>
      <c r="G821" s="644">
        <v>0</v>
      </c>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c r="EN821"/>
      <c r="EO821"/>
      <c r="EP821"/>
      <c r="EQ821"/>
      <c r="ER821"/>
      <c r="ES821"/>
      <c r="ET821"/>
      <c r="EU821"/>
      <c r="EV821"/>
      <c r="EW821"/>
      <c r="EX821"/>
      <c r="EY821"/>
      <c r="EZ821"/>
      <c r="FA821"/>
      <c r="FB821"/>
      <c r="FC821"/>
      <c r="FD821"/>
      <c r="FE821"/>
      <c r="FF821"/>
      <c r="FG821"/>
      <c r="FH821"/>
      <c r="FI821"/>
      <c r="FJ821"/>
      <c r="FK821"/>
      <c r="FL821"/>
      <c r="FM821"/>
      <c r="FN821"/>
      <c r="FO821"/>
      <c r="FP821"/>
      <c r="FQ821"/>
      <c r="FR821"/>
      <c r="FS821"/>
      <c r="FT821"/>
      <c r="FU821"/>
      <c r="FV821"/>
      <c r="FW821"/>
      <c r="FX821"/>
      <c r="FY821"/>
      <c r="FZ821"/>
      <c r="GA821"/>
      <c r="GB821"/>
      <c r="GC821"/>
      <c r="GD821"/>
      <c r="GE821"/>
      <c r="GF821"/>
      <c r="GG821"/>
      <c r="GH821"/>
      <c r="GI821"/>
      <c r="GJ821"/>
      <c r="GK821"/>
      <c r="GL821"/>
      <c r="GM821"/>
      <c r="GN821"/>
      <c r="GO821"/>
      <c r="GP821"/>
      <c r="GQ821"/>
      <c r="GR821"/>
      <c r="GS821"/>
      <c r="GT821"/>
      <c r="GU821"/>
      <c r="GV821"/>
      <c r="GW821"/>
      <c r="GX821"/>
      <c r="GY821"/>
      <c r="GZ821"/>
      <c r="HA821"/>
      <c r="HB821"/>
      <c r="HC821"/>
      <c r="HD821"/>
      <c r="HE821"/>
      <c r="HF821"/>
      <c r="HG821"/>
      <c r="HH821"/>
      <c r="HI821"/>
      <c r="HJ821"/>
      <c r="HK821"/>
      <c r="HL821"/>
      <c r="HM821"/>
      <c r="HN821"/>
      <c r="HO821"/>
      <c r="HP821"/>
      <c r="HQ821"/>
      <c r="HR821"/>
      <c r="HS821"/>
      <c r="HT821"/>
      <c r="HU821"/>
      <c r="HV821"/>
      <c r="HW821"/>
      <c r="HX821"/>
      <c r="HY821"/>
      <c r="HZ821"/>
      <c r="IA821"/>
      <c r="IB821"/>
      <c r="IC821"/>
      <c r="ID821"/>
      <c r="IE821"/>
      <c r="IF821"/>
      <c r="IG821"/>
      <c r="IH821"/>
      <c r="II821"/>
      <c r="IJ821"/>
      <c r="IK821"/>
      <c r="IL821"/>
      <c r="IM821"/>
      <c r="IN821"/>
      <c r="IO821"/>
      <c r="IP821"/>
      <c r="IQ821"/>
      <c r="IR821"/>
      <c r="IS821"/>
      <c r="IT821"/>
      <c r="IU821"/>
      <c r="IV821"/>
    </row>
    <row r="822" spans="1:256" s="607" customFormat="1" ht="12.75" hidden="1" customHeight="1" x14ac:dyDescent="0.2">
      <c r="A822" s="634"/>
      <c r="B822" s="639" t="s">
        <v>919</v>
      </c>
      <c r="C822" s="602">
        <v>500000</v>
      </c>
      <c r="D822" s="603">
        <v>500000</v>
      </c>
      <c r="E822" s="604">
        <v>500000</v>
      </c>
      <c r="F822" s="625">
        <v>0</v>
      </c>
      <c r="G822" s="127">
        <v>0</v>
      </c>
    </row>
    <row r="823" spans="1:256" s="607" customFormat="1" ht="12.75" hidden="1" customHeight="1" x14ac:dyDescent="0.2">
      <c r="A823" s="634"/>
      <c r="B823" s="628" t="s">
        <v>920</v>
      </c>
      <c r="C823" s="610">
        <v>3500000</v>
      </c>
      <c r="D823" s="603">
        <v>3500000</v>
      </c>
      <c r="E823" s="604">
        <v>3200000</v>
      </c>
      <c r="F823" s="625">
        <v>0</v>
      </c>
      <c r="G823" s="127">
        <v>0</v>
      </c>
    </row>
    <row r="824" spans="1:256" s="607" customFormat="1" ht="12.75" hidden="1" customHeight="1" x14ac:dyDescent="0.2">
      <c r="A824" s="634"/>
      <c r="B824" s="646" t="s">
        <v>921</v>
      </c>
      <c r="C824" s="610"/>
      <c r="D824" s="603"/>
      <c r="E824" s="613"/>
      <c r="F824" s="614"/>
      <c r="G824" s="456">
        <v>600000</v>
      </c>
    </row>
    <row r="825" spans="1:256" s="607" customFormat="1" ht="12.75" hidden="1" customHeight="1" x14ac:dyDescent="0.2">
      <c r="A825" s="634"/>
      <c r="B825" s="646" t="s">
        <v>922</v>
      </c>
      <c r="C825" s="610"/>
      <c r="D825" s="603"/>
      <c r="E825" s="613"/>
      <c r="F825" s="614"/>
      <c r="G825" s="456">
        <v>0</v>
      </c>
    </row>
    <row r="826" spans="1:256" s="607" customFormat="1" ht="12.75" hidden="1" customHeight="1" x14ac:dyDescent="0.2">
      <c r="A826" s="634"/>
      <c r="B826" s="646" t="s">
        <v>923</v>
      </c>
      <c r="C826" s="610"/>
      <c r="D826" s="603"/>
      <c r="E826" s="613"/>
      <c r="F826" s="614"/>
      <c r="G826" s="456">
        <v>0</v>
      </c>
    </row>
    <row r="827" spans="1:256" s="607" customFormat="1" ht="12.75" hidden="1" customHeight="1" x14ac:dyDescent="0.2">
      <c r="A827" s="634"/>
      <c r="B827" s="646" t="s">
        <v>924</v>
      </c>
      <c r="C827" s="610"/>
      <c r="D827" s="603"/>
      <c r="E827" s="613"/>
      <c r="F827" s="614"/>
      <c r="G827" s="456">
        <v>200000</v>
      </c>
    </row>
    <row r="828" spans="1:256" s="607" customFormat="1" ht="12.75" hidden="1" customHeight="1" x14ac:dyDescent="0.2">
      <c r="A828" s="634"/>
      <c r="B828" s="646" t="s">
        <v>925</v>
      </c>
      <c r="C828" s="610"/>
      <c r="D828" s="603"/>
      <c r="E828" s="613"/>
      <c r="F828" s="614"/>
      <c r="G828" s="456">
        <v>250000</v>
      </c>
    </row>
    <row r="829" spans="1:256" s="607" customFormat="1" ht="12.75" hidden="1" customHeight="1" x14ac:dyDescent="0.2">
      <c r="A829" s="551"/>
      <c r="B829" s="557" t="s">
        <v>926</v>
      </c>
      <c r="C829" s="610">
        <f>SUM(C830:C831)</f>
        <v>3900000</v>
      </c>
      <c r="D829" s="603">
        <f>SUM(D830:D831)</f>
        <v>3100000</v>
      </c>
      <c r="E829" s="603">
        <f>SUM(E830:E831)</f>
        <v>2860000</v>
      </c>
      <c r="F829" s="609">
        <f>SUM(F830:F831)</f>
        <v>238912.94</v>
      </c>
      <c r="G829" s="610">
        <f>SUM(G830:G831)</f>
        <v>2700000</v>
      </c>
    </row>
    <row r="830" spans="1:256" s="607" customFormat="1" ht="12.75" hidden="1" customHeight="1" x14ac:dyDescent="0.2">
      <c r="A830" s="551"/>
      <c r="B830" s="557" t="s">
        <v>927</v>
      </c>
      <c r="C830" s="558">
        <v>500000</v>
      </c>
      <c r="D830" s="562">
        <v>500000</v>
      </c>
      <c r="E830" s="564">
        <v>500000</v>
      </c>
      <c r="F830" s="611">
        <v>191147.39</v>
      </c>
      <c r="G830" s="560">
        <v>600000</v>
      </c>
    </row>
    <row r="831" spans="1:256" s="607" customFormat="1" ht="12.75" hidden="1" customHeight="1" x14ac:dyDescent="0.2">
      <c r="A831" s="551"/>
      <c r="B831" s="557" t="s">
        <v>928</v>
      </c>
      <c r="C831" s="560">
        <f>SUM(C832:C842)</f>
        <v>3400000</v>
      </c>
      <c r="D831" s="562">
        <f>SUM(D832:D842)</f>
        <v>2600000</v>
      </c>
      <c r="E831" s="562">
        <f>SUM(E832:E842)</f>
        <v>2360000</v>
      </c>
      <c r="F831" s="611">
        <f>SUM(F832:F842)</f>
        <v>47765.55</v>
      </c>
      <c r="G831" s="560">
        <f>SUM(G832:G842)</f>
        <v>2100000</v>
      </c>
    </row>
    <row r="832" spans="1:256" s="607" customFormat="1" ht="12.75" hidden="1" customHeight="1" x14ac:dyDescent="0.2">
      <c r="A832" s="634"/>
      <c r="B832" s="561" t="s">
        <v>929</v>
      </c>
      <c r="C832" s="558">
        <v>100000</v>
      </c>
      <c r="D832" s="562">
        <v>100000</v>
      </c>
      <c r="E832" s="564">
        <v>100000</v>
      </c>
      <c r="F832" s="611">
        <v>0</v>
      </c>
      <c r="G832" s="560">
        <v>0</v>
      </c>
    </row>
    <row r="833" spans="1:256" ht="12.75" hidden="1" customHeight="1" x14ac:dyDescent="0.2">
      <c r="A833" s="634"/>
      <c r="B833" s="561" t="s">
        <v>930</v>
      </c>
      <c r="C833" s="558">
        <v>300000</v>
      </c>
      <c r="D833" s="562">
        <f>300000-100000</f>
        <v>200000</v>
      </c>
      <c r="E833" s="564">
        <v>200000</v>
      </c>
      <c r="F833" s="611">
        <v>23015</v>
      </c>
      <c r="G833" s="560">
        <v>0</v>
      </c>
      <c r="H833"/>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c r="EW833"/>
      <c r="EX833"/>
      <c r="EY833"/>
      <c r="EZ833"/>
      <c r="FA833"/>
      <c r="FB833"/>
      <c r="FC833"/>
      <c r="FD833"/>
      <c r="FE833"/>
      <c r="FF833"/>
      <c r="FG833"/>
      <c r="FH833"/>
      <c r="FI833"/>
      <c r="FJ833"/>
      <c r="FK833"/>
      <c r="FL833"/>
      <c r="FM833"/>
      <c r="FN833"/>
      <c r="FO833"/>
      <c r="FP833"/>
      <c r="FQ833"/>
      <c r="FR833"/>
      <c r="FS833"/>
      <c r="FT833"/>
      <c r="FU833"/>
      <c r="FV833"/>
      <c r="FW833"/>
      <c r="FX833"/>
      <c r="FY833"/>
      <c r="FZ833"/>
      <c r="GA833"/>
      <c r="GB833"/>
      <c r="GC833"/>
      <c r="GD833"/>
      <c r="GE833"/>
      <c r="GF833"/>
      <c r="GG833"/>
      <c r="GH833"/>
      <c r="GI833"/>
      <c r="GJ833"/>
      <c r="GK833"/>
      <c r="GL833"/>
      <c r="GM833"/>
      <c r="GN833"/>
      <c r="GO833"/>
      <c r="GP833"/>
      <c r="GQ833"/>
      <c r="GR833"/>
      <c r="GS833"/>
      <c r="GT833"/>
      <c r="GU833"/>
      <c r="GV833"/>
      <c r="GW833"/>
      <c r="GX833"/>
      <c r="GY833"/>
      <c r="GZ833"/>
      <c r="HA833"/>
      <c r="HB833"/>
      <c r="HC833"/>
      <c r="HD833"/>
      <c r="HE833"/>
      <c r="HF833"/>
      <c r="HG833"/>
      <c r="HH833"/>
      <c r="HI833"/>
      <c r="HJ833"/>
      <c r="HK833"/>
      <c r="HL833"/>
      <c r="HM833"/>
      <c r="HN833"/>
      <c r="HO833"/>
      <c r="HP833"/>
      <c r="HQ833"/>
      <c r="HR833"/>
      <c r="HS833"/>
      <c r="HT833"/>
      <c r="HU833"/>
      <c r="HV833"/>
      <c r="HW833"/>
      <c r="HX833"/>
      <c r="HY833"/>
      <c r="HZ833"/>
      <c r="IA833"/>
      <c r="IB833"/>
      <c r="IC833"/>
      <c r="ID833"/>
      <c r="IE833"/>
      <c r="IF833"/>
      <c r="IG833"/>
      <c r="IH833"/>
      <c r="II833"/>
      <c r="IJ833"/>
      <c r="IK833"/>
      <c r="IL833"/>
      <c r="IM833"/>
      <c r="IN833"/>
      <c r="IO833"/>
      <c r="IP833"/>
      <c r="IQ833"/>
      <c r="IR833"/>
      <c r="IS833"/>
      <c r="IT833"/>
      <c r="IU833"/>
      <c r="IV833"/>
    </row>
    <row r="834" spans="1:256" ht="12.75" hidden="1" customHeight="1" x14ac:dyDescent="0.2">
      <c r="A834" s="634"/>
      <c r="B834" s="561" t="s">
        <v>931</v>
      </c>
      <c r="C834" s="560">
        <v>100000</v>
      </c>
      <c r="D834" s="562">
        <v>100000</v>
      </c>
      <c r="E834" s="564">
        <v>60000</v>
      </c>
      <c r="F834" s="611">
        <v>0</v>
      </c>
      <c r="G834" s="558">
        <v>500000</v>
      </c>
      <c r="H834"/>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c r="EW834"/>
      <c r="EX834"/>
      <c r="EY834"/>
      <c r="EZ834"/>
      <c r="FA834"/>
      <c r="FB834"/>
      <c r="FC834"/>
      <c r="FD834"/>
      <c r="FE834"/>
      <c r="FF834"/>
      <c r="FG834"/>
      <c r="FH834"/>
      <c r="FI834"/>
      <c r="FJ834"/>
      <c r="FK834"/>
      <c r="FL834"/>
      <c r="FM834"/>
      <c r="FN834"/>
      <c r="FO834"/>
      <c r="FP834"/>
      <c r="FQ834"/>
      <c r="FR834"/>
      <c r="FS834"/>
      <c r="FT834"/>
      <c r="FU834"/>
      <c r="FV834"/>
      <c r="FW834"/>
      <c r="FX834"/>
      <c r="FY834"/>
      <c r="FZ834"/>
      <c r="GA834"/>
      <c r="GB834"/>
      <c r="GC834"/>
      <c r="GD834"/>
      <c r="GE834"/>
      <c r="GF834"/>
      <c r="GG834"/>
      <c r="GH834"/>
      <c r="GI834"/>
      <c r="GJ834"/>
      <c r="GK834"/>
      <c r="GL834"/>
      <c r="GM834"/>
      <c r="GN834"/>
      <c r="GO834"/>
      <c r="GP834"/>
      <c r="GQ834"/>
      <c r="GR834"/>
      <c r="GS834"/>
      <c r="GT834"/>
      <c r="GU834"/>
      <c r="GV834"/>
      <c r="GW834"/>
      <c r="GX834"/>
      <c r="GY834"/>
      <c r="GZ834"/>
      <c r="HA834"/>
      <c r="HB834"/>
      <c r="HC834"/>
      <c r="HD834"/>
      <c r="HE834"/>
      <c r="HF834"/>
      <c r="HG834"/>
      <c r="HH834"/>
      <c r="HI834"/>
      <c r="HJ834"/>
      <c r="HK834"/>
      <c r="HL834"/>
      <c r="HM834"/>
      <c r="HN834"/>
      <c r="HO834"/>
      <c r="HP834"/>
      <c r="HQ834"/>
      <c r="HR834"/>
      <c r="HS834"/>
      <c r="HT834"/>
      <c r="HU834"/>
      <c r="HV834"/>
      <c r="HW834"/>
      <c r="HX834"/>
      <c r="HY834"/>
      <c r="HZ834"/>
      <c r="IA834"/>
      <c r="IB834"/>
      <c r="IC834"/>
      <c r="ID834"/>
      <c r="IE834"/>
      <c r="IF834"/>
      <c r="IG834"/>
      <c r="IH834"/>
      <c r="II834"/>
      <c r="IJ834"/>
      <c r="IK834"/>
      <c r="IL834"/>
      <c r="IM834"/>
      <c r="IN834"/>
      <c r="IO834"/>
      <c r="IP834"/>
      <c r="IQ834"/>
      <c r="IR834"/>
      <c r="IS834"/>
      <c r="IT834"/>
      <c r="IU834"/>
      <c r="IV834"/>
    </row>
    <row r="835" spans="1:256" ht="12.75" hidden="1" customHeight="1" x14ac:dyDescent="0.2">
      <c r="A835" s="634"/>
      <c r="B835" s="629" t="s">
        <v>932</v>
      </c>
      <c r="C835" s="560">
        <f>350000-300000</f>
        <v>50000</v>
      </c>
      <c r="D835" s="562">
        <f>350000-300000</f>
        <v>50000</v>
      </c>
      <c r="E835" s="564">
        <v>50000</v>
      </c>
      <c r="F835" s="611">
        <v>0</v>
      </c>
      <c r="G835" s="560">
        <v>100000</v>
      </c>
      <c r="H83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c r="EN835"/>
      <c r="EO835"/>
      <c r="EP835"/>
      <c r="EQ835"/>
      <c r="ER835"/>
      <c r="ES835"/>
      <c r="ET835"/>
      <c r="EU835"/>
      <c r="EV835"/>
      <c r="EW835"/>
      <c r="EX835"/>
      <c r="EY835"/>
      <c r="EZ835"/>
      <c r="FA835"/>
      <c r="FB835"/>
      <c r="FC835"/>
      <c r="FD835"/>
      <c r="FE835"/>
      <c r="FF835"/>
      <c r="FG835"/>
      <c r="FH835"/>
      <c r="FI835"/>
      <c r="FJ835"/>
      <c r="FK835"/>
      <c r="FL835"/>
      <c r="FM835"/>
      <c r="FN835"/>
      <c r="FO835"/>
      <c r="FP835"/>
      <c r="FQ835"/>
      <c r="FR835"/>
      <c r="FS835"/>
      <c r="FT835"/>
      <c r="FU835"/>
      <c r="FV835"/>
      <c r="FW835"/>
      <c r="FX835"/>
      <c r="FY835"/>
      <c r="FZ835"/>
      <c r="GA835"/>
      <c r="GB835"/>
      <c r="GC835"/>
      <c r="GD835"/>
      <c r="GE835"/>
      <c r="GF835"/>
      <c r="GG835"/>
      <c r="GH835"/>
      <c r="GI835"/>
      <c r="GJ835"/>
      <c r="GK835"/>
      <c r="GL835"/>
      <c r="GM835"/>
      <c r="GN835"/>
      <c r="GO835"/>
      <c r="GP835"/>
      <c r="GQ835"/>
      <c r="GR835"/>
      <c r="GS835"/>
      <c r="GT835"/>
      <c r="GU835"/>
      <c r="GV835"/>
      <c r="GW835"/>
      <c r="GX835"/>
      <c r="GY835"/>
      <c r="GZ835"/>
      <c r="HA835"/>
      <c r="HB835"/>
      <c r="HC835"/>
      <c r="HD835"/>
      <c r="HE835"/>
      <c r="HF835"/>
      <c r="HG835"/>
      <c r="HH835"/>
      <c r="HI835"/>
      <c r="HJ835"/>
      <c r="HK835"/>
      <c r="HL835"/>
      <c r="HM835"/>
      <c r="HN835"/>
      <c r="HO835"/>
      <c r="HP835"/>
      <c r="HQ835"/>
      <c r="HR835"/>
      <c r="HS835"/>
      <c r="HT835"/>
      <c r="HU835"/>
      <c r="HV835"/>
      <c r="HW835"/>
      <c r="HX835"/>
      <c r="HY835"/>
      <c r="HZ835"/>
      <c r="IA835"/>
      <c r="IB835"/>
      <c r="IC835"/>
      <c r="ID835"/>
      <c r="IE835"/>
      <c r="IF835"/>
      <c r="IG835"/>
      <c r="IH835"/>
      <c r="II835"/>
      <c r="IJ835"/>
      <c r="IK835"/>
      <c r="IL835"/>
      <c r="IM835"/>
      <c r="IN835"/>
      <c r="IO835"/>
      <c r="IP835"/>
      <c r="IQ835"/>
      <c r="IR835"/>
      <c r="IS835"/>
      <c r="IT835"/>
      <c r="IU835"/>
      <c r="IV835"/>
    </row>
    <row r="836" spans="1:256" s="607" customFormat="1" ht="12.75" hidden="1" customHeight="1" x14ac:dyDescent="0.2">
      <c r="A836" s="634"/>
      <c r="B836" s="629" t="s">
        <v>933</v>
      </c>
      <c r="C836" s="560">
        <v>200000</v>
      </c>
      <c r="D836" s="562">
        <f>200000-200000</f>
        <v>0</v>
      </c>
      <c r="E836" s="579">
        <v>0</v>
      </c>
      <c r="F836" s="611">
        <v>0</v>
      </c>
      <c r="G836" s="560">
        <v>0</v>
      </c>
    </row>
    <row r="837" spans="1:256" s="607" customFormat="1" ht="12.75" hidden="1" customHeight="1" x14ac:dyDescent="0.2">
      <c r="A837" s="634"/>
      <c r="B837" s="561" t="s">
        <v>934</v>
      </c>
      <c r="C837" s="560"/>
      <c r="D837" s="562"/>
      <c r="E837" s="579"/>
      <c r="F837" s="611"/>
      <c r="G837" s="560">
        <v>200000</v>
      </c>
    </row>
    <row r="838" spans="1:256" s="607" customFormat="1" ht="12.75" hidden="1" customHeight="1" x14ac:dyDescent="0.2">
      <c r="A838" s="634"/>
      <c r="B838" s="629" t="s">
        <v>935</v>
      </c>
      <c r="C838" s="560">
        <v>1300000</v>
      </c>
      <c r="D838" s="562">
        <v>1300000</v>
      </c>
      <c r="E838" s="579">
        <v>1900000</v>
      </c>
      <c r="F838" s="580">
        <v>0</v>
      </c>
      <c r="G838" s="127">
        <v>0</v>
      </c>
    </row>
    <row r="839" spans="1:256" s="607" customFormat="1" ht="12.75" hidden="1" customHeight="1" x14ac:dyDescent="0.2">
      <c r="A839" s="634"/>
      <c r="B839" s="629" t="s">
        <v>936</v>
      </c>
      <c r="C839" s="560"/>
      <c r="D839" s="562"/>
      <c r="E839" s="579"/>
      <c r="F839" s="580"/>
      <c r="G839" s="162">
        <v>200000</v>
      </c>
    </row>
    <row r="840" spans="1:256" s="607" customFormat="1" ht="12.75" hidden="1" customHeight="1" x14ac:dyDescent="0.2">
      <c r="A840" s="634"/>
      <c r="B840" s="629" t="s">
        <v>937</v>
      </c>
      <c r="C840" s="558">
        <v>300000</v>
      </c>
      <c r="D840" s="562">
        <v>300000</v>
      </c>
      <c r="E840" s="579">
        <v>0</v>
      </c>
      <c r="F840" s="580">
        <v>24750.55</v>
      </c>
      <c r="G840" s="127">
        <v>300000</v>
      </c>
    </row>
    <row r="841" spans="1:256" s="607" customFormat="1" ht="12.75" hidden="1" customHeight="1" x14ac:dyDescent="0.2">
      <c r="A841" s="634"/>
      <c r="B841" s="628" t="s">
        <v>938</v>
      </c>
      <c r="C841" s="558">
        <v>50000</v>
      </c>
      <c r="D841" s="562">
        <v>50000</v>
      </c>
      <c r="E841" s="564">
        <v>50000</v>
      </c>
      <c r="F841" s="580">
        <v>0</v>
      </c>
      <c r="G841" s="162">
        <v>800000</v>
      </c>
    </row>
    <row r="842" spans="1:256" s="607" customFormat="1" ht="12.75" hidden="1" customHeight="1" x14ac:dyDescent="0.2">
      <c r="A842" s="634"/>
      <c r="B842" s="639" t="s">
        <v>939</v>
      </c>
      <c r="C842" s="558">
        <v>1000000</v>
      </c>
      <c r="D842" s="562">
        <f>1000000-500000</f>
        <v>500000</v>
      </c>
      <c r="E842" s="579">
        <v>0</v>
      </c>
      <c r="F842" s="647">
        <v>0</v>
      </c>
      <c r="G842" s="170">
        <v>0</v>
      </c>
    </row>
    <row r="843" spans="1:256" s="607" customFormat="1" ht="12.75" hidden="1" customHeight="1" x14ac:dyDescent="0.2">
      <c r="A843" s="551"/>
      <c r="B843" s="648" t="s">
        <v>940</v>
      </c>
      <c r="C843" s="558">
        <f>SUM(C844:C848)</f>
        <v>1750000</v>
      </c>
      <c r="D843" s="562">
        <f>SUM(D844:D848)</f>
        <v>1350000</v>
      </c>
      <c r="E843" s="562">
        <f>SUM(E844:E848)</f>
        <v>510000</v>
      </c>
      <c r="F843" s="611">
        <f>SUM(F844:F848)</f>
        <v>80598.100000000006</v>
      </c>
      <c r="G843" s="558">
        <f>SUM(G844:G848)</f>
        <v>800000</v>
      </c>
    </row>
    <row r="844" spans="1:256" s="607" customFormat="1" ht="12.75" hidden="1" customHeight="1" x14ac:dyDescent="0.2">
      <c r="A844" s="551"/>
      <c r="B844" s="629" t="s">
        <v>941</v>
      </c>
      <c r="C844" s="558">
        <v>500000</v>
      </c>
      <c r="D844" s="562">
        <f>500000-50000</f>
        <v>450000</v>
      </c>
      <c r="E844" s="579">
        <v>200000</v>
      </c>
      <c r="F844" s="611">
        <v>0</v>
      </c>
      <c r="G844" s="558">
        <v>100000</v>
      </c>
    </row>
    <row r="845" spans="1:256" s="607" customFormat="1" ht="12.75" hidden="1" customHeight="1" x14ac:dyDescent="0.2">
      <c r="A845" s="551"/>
      <c r="B845" s="629" t="s">
        <v>942</v>
      </c>
      <c r="C845" s="560">
        <v>500000</v>
      </c>
      <c r="D845" s="562">
        <f>500000-50000-100000</f>
        <v>350000</v>
      </c>
      <c r="E845" s="564">
        <v>100000</v>
      </c>
      <c r="F845" s="611">
        <v>0</v>
      </c>
      <c r="G845" s="558">
        <v>300000</v>
      </c>
    </row>
    <row r="846" spans="1:256" s="607" customFormat="1" ht="12.75" hidden="1" customHeight="1" x14ac:dyDescent="0.2">
      <c r="A846" s="551"/>
      <c r="B846" s="629" t="s">
        <v>943</v>
      </c>
      <c r="C846" s="560">
        <v>50000</v>
      </c>
      <c r="D846" s="562">
        <v>50000</v>
      </c>
      <c r="E846" s="564">
        <v>50000</v>
      </c>
      <c r="F846" s="611">
        <v>0</v>
      </c>
      <c r="G846" s="558">
        <v>100000</v>
      </c>
    </row>
    <row r="847" spans="1:256" ht="12.75" hidden="1" customHeight="1" x14ac:dyDescent="0.2">
      <c r="A847" s="551"/>
      <c r="B847" s="629" t="s">
        <v>944</v>
      </c>
      <c r="C847" s="558">
        <v>200000</v>
      </c>
      <c r="D847" s="649">
        <f>200000-50000</f>
        <v>150000</v>
      </c>
      <c r="E847" s="564">
        <v>60000</v>
      </c>
      <c r="F847" s="650">
        <v>0</v>
      </c>
      <c r="G847" s="560">
        <v>0</v>
      </c>
      <c r="H847"/>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c r="EX847"/>
      <c r="EY847"/>
      <c r="EZ847"/>
      <c r="FA847"/>
      <c r="FB847"/>
      <c r="FC847"/>
      <c r="FD847"/>
      <c r="FE847"/>
      <c r="FF847"/>
      <c r="FG847"/>
      <c r="FH847"/>
      <c r="FI847"/>
      <c r="FJ847"/>
      <c r="FK847"/>
      <c r="FL847"/>
      <c r="FM847"/>
      <c r="FN847"/>
      <c r="FO847"/>
      <c r="FP847"/>
      <c r="FQ847"/>
      <c r="FR847"/>
      <c r="FS847"/>
      <c r="FT847"/>
      <c r="FU847"/>
      <c r="FV847"/>
      <c r="FW847"/>
      <c r="FX847"/>
      <c r="FY847"/>
      <c r="FZ847"/>
      <c r="GA847"/>
      <c r="GB847"/>
      <c r="GC847"/>
      <c r="GD847"/>
      <c r="GE847"/>
      <c r="GF847"/>
      <c r="GG847"/>
      <c r="GH847"/>
      <c r="GI847"/>
      <c r="GJ847"/>
      <c r="GK847"/>
      <c r="GL847"/>
      <c r="GM847"/>
      <c r="GN847"/>
      <c r="GO847"/>
      <c r="GP847"/>
      <c r="GQ847"/>
      <c r="GR847"/>
      <c r="GS847"/>
      <c r="GT847"/>
      <c r="GU847"/>
      <c r="GV847"/>
      <c r="GW847"/>
      <c r="GX847"/>
      <c r="GY847"/>
      <c r="GZ847"/>
      <c r="HA847"/>
      <c r="HB847"/>
      <c r="HC847"/>
      <c r="HD847"/>
      <c r="HE847"/>
      <c r="HF847"/>
      <c r="HG847"/>
      <c r="HH847"/>
      <c r="HI847"/>
      <c r="HJ847"/>
      <c r="HK847"/>
      <c r="HL847"/>
      <c r="HM847"/>
      <c r="HN847"/>
      <c r="HO847"/>
      <c r="HP847"/>
      <c r="HQ847"/>
      <c r="HR847"/>
      <c r="HS847"/>
      <c r="HT847"/>
      <c r="HU847"/>
      <c r="HV847"/>
      <c r="HW847"/>
      <c r="HX847"/>
      <c r="HY847"/>
      <c r="HZ847"/>
      <c r="IA847"/>
      <c r="IB847"/>
      <c r="IC847"/>
      <c r="ID847"/>
      <c r="IE847"/>
      <c r="IF847"/>
      <c r="IG847"/>
      <c r="IH847"/>
      <c r="II847"/>
      <c r="IJ847"/>
      <c r="IK847"/>
      <c r="IL847"/>
      <c r="IM847"/>
      <c r="IN847"/>
      <c r="IO847"/>
      <c r="IP847"/>
      <c r="IQ847"/>
      <c r="IR847"/>
      <c r="IS847"/>
      <c r="IT847"/>
      <c r="IU847"/>
      <c r="IV847"/>
    </row>
    <row r="848" spans="1:256" ht="12.75" hidden="1" customHeight="1" x14ac:dyDescent="0.2">
      <c r="A848" s="632"/>
      <c r="B848" s="629" t="s">
        <v>945</v>
      </c>
      <c r="C848" s="558">
        <f>1000000-500000</f>
        <v>500000</v>
      </c>
      <c r="D848" s="562">
        <f>1000000-500000-50000-100000</f>
        <v>350000</v>
      </c>
      <c r="E848" s="564">
        <v>100000</v>
      </c>
      <c r="F848" s="611">
        <v>80598.100000000006</v>
      </c>
      <c r="G848" s="560">
        <v>300000</v>
      </c>
      <c r="H848"/>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c r="DU848"/>
      <c r="DV848"/>
      <c r="DW848"/>
      <c r="DX848"/>
      <c r="DY848"/>
      <c r="DZ848"/>
      <c r="EA848"/>
      <c r="EB848"/>
      <c r="EC848"/>
      <c r="ED848"/>
      <c r="EE848"/>
      <c r="EF848"/>
      <c r="EG848"/>
      <c r="EH848"/>
      <c r="EI848"/>
      <c r="EJ848"/>
      <c r="EK848"/>
      <c r="EL848"/>
      <c r="EM848"/>
      <c r="EN848"/>
      <c r="EO848"/>
      <c r="EP848"/>
      <c r="EQ848"/>
      <c r="ER848"/>
      <c r="ES848"/>
      <c r="ET848"/>
      <c r="EU848"/>
      <c r="EV848"/>
      <c r="EW848"/>
      <c r="EX848"/>
      <c r="EY848"/>
      <c r="EZ848"/>
      <c r="FA848"/>
      <c r="FB848"/>
      <c r="FC848"/>
      <c r="FD848"/>
      <c r="FE848"/>
      <c r="FF848"/>
      <c r="FG848"/>
      <c r="FH848"/>
      <c r="FI848"/>
      <c r="FJ848"/>
      <c r="FK848"/>
      <c r="FL848"/>
      <c r="FM848"/>
      <c r="FN848"/>
      <c r="FO848"/>
      <c r="FP848"/>
      <c r="FQ848"/>
      <c r="FR848"/>
      <c r="FS848"/>
      <c r="FT848"/>
      <c r="FU848"/>
      <c r="FV848"/>
      <c r="FW848"/>
      <c r="FX848"/>
      <c r="FY848"/>
      <c r="FZ848"/>
      <c r="GA848"/>
      <c r="GB848"/>
      <c r="GC848"/>
      <c r="GD848"/>
      <c r="GE848"/>
      <c r="GF848"/>
      <c r="GG848"/>
      <c r="GH848"/>
      <c r="GI848"/>
      <c r="GJ848"/>
      <c r="GK848"/>
      <c r="GL848"/>
      <c r="GM848"/>
      <c r="GN848"/>
      <c r="GO848"/>
      <c r="GP848"/>
      <c r="GQ848"/>
      <c r="GR848"/>
      <c r="GS848"/>
      <c r="GT848"/>
      <c r="GU848"/>
      <c r="GV848"/>
      <c r="GW848"/>
      <c r="GX848"/>
      <c r="GY848"/>
      <c r="GZ848"/>
      <c r="HA848"/>
      <c r="HB848"/>
      <c r="HC848"/>
      <c r="HD848"/>
      <c r="HE848"/>
      <c r="HF848"/>
      <c r="HG848"/>
      <c r="HH848"/>
      <c r="HI848"/>
      <c r="HJ848"/>
      <c r="HK848"/>
      <c r="HL848"/>
      <c r="HM848"/>
      <c r="HN848"/>
      <c r="HO848"/>
      <c r="HP848"/>
      <c r="HQ848"/>
      <c r="HR848"/>
      <c r="HS848"/>
      <c r="HT848"/>
      <c r="HU848"/>
      <c r="HV848"/>
      <c r="HW848"/>
      <c r="HX848"/>
      <c r="HY848"/>
      <c r="HZ848"/>
      <c r="IA848"/>
      <c r="IB848"/>
      <c r="IC848"/>
      <c r="ID848"/>
      <c r="IE848"/>
      <c r="IF848"/>
      <c r="IG848"/>
      <c r="IH848"/>
      <c r="II848"/>
      <c r="IJ848"/>
      <c r="IK848"/>
      <c r="IL848"/>
      <c r="IM848"/>
      <c r="IN848"/>
      <c r="IO848"/>
      <c r="IP848"/>
      <c r="IQ848"/>
      <c r="IR848"/>
      <c r="IS848"/>
      <c r="IT848"/>
      <c r="IU848"/>
      <c r="IV848"/>
    </row>
    <row r="849" spans="1:256" ht="12.75" hidden="1" customHeight="1" x14ac:dyDescent="0.2">
      <c r="A849" s="632">
        <v>3634</v>
      </c>
      <c r="B849" s="651" t="s">
        <v>946</v>
      </c>
      <c r="C849" s="553">
        <f>SUM(C850:C854)</f>
        <v>30034000</v>
      </c>
      <c r="D849" s="581">
        <f>SUM(D850:D854)</f>
        <v>22594783</v>
      </c>
      <c r="E849" s="581">
        <f>SUM(E850:E854)</f>
        <v>21335963.350000001</v>
      </c>
      <c r="F849" s="582">
        <f>SUM(F850:F854)</f>
        <v>9802375.8000000007</v>
      </c>
      <c r="G849" s="553">
        <f>SUM(G850:G854)</f>
        <v>28550000</v>
      </c>
      <c r="H849"/>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c r="EF849"/>
      <c r="EG849"/>
      <c r="EH849"/>
      <c r="EI849"/>
      <c r="EJ849"/>
      <c r="EK849"/>
      <c r="EL849"/>
      <c r="EM849"/>
      <c r="EN849"/>
      <c r="EO849"/>
      <c r="EP849"/>
      <c r="EQ849"/>
      <c r="ER849"/>
      <c r="ES849"/>
      <c r="ET849"/>
      <c r="EU849"/>
      <c r="EV849"/>
      <c r="EW849"/>
      <c r="EX849"/>
      <c r="EY849"/>
      <c r="EZ849"/>
      <c r="FA849"/>
      <c r="FB849"/>
      <c r="FC849"/>
      <c r="FD849"/>
      <c r="FE849"/>
      <c r="FF849"/>
      <c r="FG849"/>
      <c r="FH849"/>
      <c r="FI849"/>
      <c r="FJ849"/>
      <c r="FK849"/>
      <c r="FL849"/>
      <c r="FM849"/>
      <c r="FN849"/>
      <c r="FO849"/>
      <c r="FP849"/>
      <c r="FQ849"/>
      <c r="FR849"/>
      <c r="FS849"/>
      <c r="FT849"/>
      <c r="FU849"/>
      <c r="FV849"/>
      <c r="FW849"/>
      <c r="FX849"/>
      <c r="FY849"/>
      <c r="FZ849"/>
      <c r="GA849"/>
      <c r="GB849"/>
      <c r="GC849"/>
      <c r="GD849"/>
      <c r="GE849"/>
      <c r="GF849"/>
      <c r="GG849"/>
      <c r="GH849"/>
      <c r="GI849"/>
      <c r="GJ849"/>
      <c r="GK849"/>
      <c r="GL849"/>
      <c r="GM849"/>
      <c r="GN849"/>
      <c r="GO849"/>
      <c r="GP849"/>
      <c r="GQ849"/>
      <c r="GR849"/>
      <c r="GS849"/>
      <c r="GT849"/>
      <c r="GU849"/>
      <c r="GV849"/>
      <c r="GW849"/>
      <c r="GX849"/>
      <c r="GY849"/>
      <c r="GZ849"/>
      <c r="HA849"/>
      <c r="HB849"/>
      <c r="HC849"/>
      <c r="HD849"/>
      <c r="HE849"/>
      <c r="HF849"/>
      <c r="HG849"/>
      <c r="HH849"/>
      <c r="HI849"/>
      <c r="HJ849"/>
      <c r="HK849"/>
      <c r="HL849"/>
      <c r="HM849"/>
      <c r="HN849"/>
      <c r="HO849"/>
      <c r="HP849"/>
      <c r="HQ849"/>
      <c r="HR849"/>
      <c r="HS849"/>
      <c r="HT849"/>
      <c r="HU849"/>
      <c r="HV849"/>
      <c r="HW849"/>
      <c r="HX849"/>
      <c r="HY849"/>
      <c r="HZ849"/>
      <c r="IA849"/>
      <c r="IB849"/>
      <c r="IC849"/>
      <c r="ID849"/>
      <c r="IE849"/>
      <c r="IF849"/>
      <c r="IG849"/>
      <c r="IH849"/>
      <c r="II849"/>
      <c r="IJ849"/>
      <c r="IK849"/>
      <c r="IL849"/>
      <c r="IM849"/>
      <c r="IN849"/>
      <c r="IO849"/>
      <c r="IP849"/>
      <c r="IQ849"/>
      <c r="IR849"/>
      <c r="IS849"/>
      <c r="IT849"/>
      <c r="IU849"/>
      <c r="IV849"/>
    </row>
    <row r="850" spans="1:256" ht="12.75" hidden="1" customHeight="1" x14ac:dyDescent="0.2">
      <c r="A850" s="551"/>
      <c r="B850" s="639" t="s">
        <v>947</v>
      </c>
      <c r="C850" s="560">
        <v>500000</v>
      </c>
      <c r="D850" s="562">
        <v>500000</v>
      </c>
      <c r="E850" s="579">
        <v>200000</v>
      </c>
      <c r="F850" s="580">
        <v>97574.11</v>
      </c>
      <c r="G850" s="127">
        <v>200000</v>
      </c>
      <c r="H850" s="652"/>
      <c r="I850" s="652"/>
      <c r="J850" s="652"/>
      <c r="K850" s="652"/>
      <c r="L850" s="652"/>
      <c r="M850" s="652"/>
      <c r="N850" s="652"/>
      <c r="O850" s="652"/>
      <c r="P850" s="652"/>
      <c r="Q850" s="652"/>
      <c r="R850" s="652"/>
      <c r="S850" s="652"/>
      <c r="T850" s="652"/>
      <c r="U850" s="652"/>
      <c r="V850" s="652"/>
      <c r="W850" s="652"/>
      <c r="X850" s="652"/>
      <c r="Y850" s="652"/>
      <c r="Z850" s="652"/>
      <c r="AA850" s="652"/>
      <c r="AB850" s="652"/>
      <c r="AC850" s="652"/>
      <c r="AD850" s="652"/>
      <c r="AE850" s="652"/>
      <c r="AF850" s="652"/>
      <c r="AG850" s="652"/>
      <c r="AH850" s="652"/>
      <c r="AI850" s="652"/>
      <c r="AJ850" s="652"/>
      <c r="AK850" s="652"/>
      <c r="AL850" s="652"/>
      <c r="AM850" s="652"/>
      <c r="AN850" s="652"/>
      <c r="AO850" s="652"/>
      <c r="AP850" s="652"/>
      <c r="AQ850" s="652"/>
      <c r="AR850" s="652"/>
      <c r="AS850" s="652"/>
      <c r="AT850" s="652"/>
      <c r="AU850" s="652"/>
      <c r="AV850" s="652"/>
      <c r="AW850" s="652"/>
      <c r="AX850" s="652"/>
      <c r="AY850" s="652"/>
      <c r="AZ850" s="652"/>
      <c r="BA850" s="652"/>
      <c r="BB850" s="652"/>
      <c r="BC850" s="652"/>
      <c r="BD850" s="652"/>
      <c r="BE850" s="652"/>
      <c r="BF850" s="652"/>
      <c r="BG850" s="652"/>
      <c r="BH850" s="652"/>
      <c r="BI850" s="652"/>
      <c r="BJ850" s="652"/>
      <c r="BK850" s="652"/>
      <c r="BL850" s="652"/>
      <c r="BM850" s="652"/>
      <c r="BN850" s="652"/>
      <c r="BO850" s="652"/>
      <c r="BP850" s="652"/>
      <c r="BQ850" s="652"/>
      <c r="BR850" s="652"/>
      <c r="BS850" s="652"/>
      <c r="BT850" s="652"/>
      <c r="BU850" s="652"/>
      <c r="BV850" s="652"/>
      <c r="BW850" s="652"/>
      <c r="BX850" s="652"/>
      <c r="BY850" s="652"/>
      <c r="BZ850" s="652"/>
      <c r="CA850" s="652"/>
      <c r="CB850" s="652"/>
      <c r="CC850" s="652"/>
      <c r="CD850" s="652"/>
      <c r="CE850" s="652"/>
      <c r="CF850" s="652"/>
      <c r="CG850" s="652"/>
      <c r="CH850" s="652"/>
      <c r="CI850" s="652"/>
      <c r="CJ850" s="652"/>
      <c r="CK850" s="652"/>
      <c r="CL850" s="652"/>
      <c r="CM850" s="652"/>
      <c r="CN850" s="652"/>
      <c r="CO850" s="652"/>
      <c r="CP850" s="652"/>
      <c r="CQ850" s="652"/>
      <c r="CR850" s="652"/>
      <c r="CS850" s="652"/>
      <c r="CT850" s="652"/>
      <c r="CU850" s="652"/>
      <c r="CV850" s="652"/>
      <c r="CW850" s="652"/>
      <c r="CX850" s="652"/>
      <c r="CY850" s="652"/>
      <c r="CZ850" s="652"/>
      <c r="DA850" s="652"/>
      <c r="DB850" s="652"/>
      <c r="DC850" s="652"/>
      <c r="DD850" s="652"/>
      <c r="DE850" s="652"/>
      <c r="DF850" s="652"/>
      <c r="DG850"/>
      <c r="DH850"/>
      <c r="DI850"/>
      <c r="DJ850"/>
      <c r="DK850"/>
      <c r="DL850"/>
      <c r="DM850"/>
      <c r="DN850"/>
      <c r="DO850"/>
      <c r="DP850"/>
      <c r="DQ850"/>
      <c r="DR850"/>
      <c r="DS850"/>
      <c r="DT850"/>
      <c r="DU850"/>
      <c r="DV850"/>
      <c r="DW850"/>
      <c r="DX850"/>
      <c r="DY850"/>
      <c r="DZ850"/>
      <c r="EA850"/>
      <c r="EB850"/>
      <c r="EC850"/>
      <c r="ED850"/>
      <c r="EE850"/>
      <c r="EF850"/>
      <c r="EG850"/>
      <c r="EH850"/>
      <c r="EI850"/>
      <c r="EJ850"/>
      <c r="EK850"/>
      <c r="EL850"/>
      <c r="EM850"/>
      <c r="EN850"/>
      <c r="EO850"/>
      <c r="EP850"/>
      <c r="EQ850"/>
      <c r="ER850"/>
      <c r="ES850"/>
      <c r="ET850"/>
      <c r="EU850"/>
      <c r="EV850"/>
      <c r="EW850"/>
      <c r="EX850"/>
      <c r="EY850"/>
      <c r="EZ850"/>
      <c r="FA850"/>
      <c r="FB850"/>
      <c r="FC850"/>
      <c r="FD850"/>
      <c r="FE850"/>
      <c r="FF850"/>
      <c r="FG850"/>
      <c r="FH850"/>
      <c r="FI850"/>
      <c r="FJ850"/>
      <c r="FK850"/>
      <c r="FL850"/>
      <c r="FM850"/>
      <c r="FN850"/>
      <c r="FO850"/>
      <c r="FP850"/>
      <c r="FQ850"/>
      <c r="FR850"/>
      <c r="FS850"/>
      <c r="FT850"/>
      <c r="FU850"/>
      <c r="FV850"/>
      <c r="FW850"/>
      <c r="FX850"/>
      <c r="FY850"/>
      <c r="FZ850"/>
      <c r="GA850"/>
      <c r="GB850"/>
      <c r="GC850"/>
      <c r="GD850"/>
      <c r="GE850"/>
      <c r="GF850"/>
      <c r="GG850"/>
      <c r="GH850"/>
      <c r="GI850"/>
      <c r="GJ850"/>
      <c r="GK850"/>
      <c r="GL850"/>
      <c r="GM850"/>
      <c r="GN850"/>
      <c r="GO850"/>
      <c r="GP850"/>
      <c r="GQ850"/>
      <c r="GR850"/>
      <c r="GS850"/>
      <c r="GT850"/>
      <c r="GU850"/>
      <c r="GV850"/>
      <c r="GW850"/>
      <c r="GX850"/>
      <c r="GY850"/>
      <c r="GZ850"/>
      <c r="HA850"/>
      <c r="HB850"/>
      <c r="HC850"/>
      <c r="HD850"/>
      <c r="HE850"/>
      <c r="HF850"/>
      <c r="HG850"/>
      <c r="HH850"/>
      <c r="HI850"/>
      <c r="HJ850"/>
      <c r="HK850"/>
      <c r="HL850"/>
      <c r="HM850"/>
      <c r="HN850"/>
      <c r="HO850"/>
      <c r="HP850"/>
      <c r="HQ850"/>
      <c r="HR850"/>
      <c r="HS850"/>
      <c r="HT850"/>
      <c r="HU850"/>
      <c r="HV850"/>
      <c r="HW850"/>
      <c r="HX850"/>
      <c r="HY850"/>
      <c r="HZ850"/>
      <c r="IA850"/>
      <c r="IB850"/>
      <c r="IC850"/>
      <c r="ID850"/>
      <c r="IE850"/>
      <c r="IF850"/>
      <c r="IG850"/>
      <c r="IH850"/>
      <c r="II850"/>
      <c r="IJ850"/>
      <c r="IK850"/>
      <c r="IL850"/>
      <c r="IM850"/>
      <c r="IN850"/>
      <c r="IO850"/>
      <c r="IP850"/>
      <c r="IQ850"/>
      <c r="IR850"/>
      <c r="IS850"/>
      <c r="IT850"/>
      <c r="IU850"/>
      <c r="IV850"/>
    </row>
    <row r="851" spans="1:256" ht="12.75" hidden="1" customHeight="1" x14ac:dyDescent="0.2">
      <c r="A851" s="551"/>
      <c r="B851" s="639" t="s">
        <v>948</v>
      </c>
      <c r="C851" s="558">
        <v>500000</v>
      </c>
      <c r="D851" s="562">
        <v>500000</v>
      </c>
      <c r="E851" s="642">
        <v>380000</v>
      </c>
      <c r="F851" s="611">
        <v>0</v>
      </c>
      <c r="G851" s="569">
        <v>500000</v>
      </c>
      <c r="H851" s="652"/>
      <c r="I851" s="652"/>
      <c r="J851" s="652"/>
      <c r="K851" s="652"/>
      <c r="L851" s="652"/>
      <c r="M851" s="652"/>
      <c r="N851" s="652"/>
      <c r="O851" s="652"/>
      <c r="P851" s="652"/>
      <c r="Q851" s="652"/>
      <c r="R851" s="652"/>
      <c r="S851" s="652"/>
      <c r="T851" s="652"/>
      <c r="U851" s="652"/>
      <c r="V851" s="652"/>
      <c r="W851" s="652"/>
      <c r="X851" s="652"/>
      <c r="Y851" s="652"/>
      <c r="Z851" s="652"/>
      <c r="AA851" s="652"/>
      <c r="AB851" s="652"/>
      <c r="AC851" s="652"/>
      <c r="AD851" s="652"/>
      <c r="AE851" s="652"/>
      <c r="AF851" s="652"/>
      <c r="AG851" s="652"/>
      <c r="AH851" s="652"/>
      <c r="AI851" s="652"/>
      <c r="AJ851" s="652"/>
      <c r="AK851" s="652"/>
      <c r="AL851" s="652"/>
      <c r="AM851" s="652"/>
      <c r="AN851" s="652"/>
      <c r="AO851" s="652"/>
      <c r="AP851" s="652"/>
      <c r="AQ851" s="652"/>
      <c r="AR851" s="652"/>
      <c r="AS851" s="652"/>
      <c r="AT851" s="652"/>
      <c r="AU851" s="652"/>
      <c r="AV851" s="652"/>
      <c r="AW851" s="652"/>
      <c r="AX851" s="652"/>
      <c r="AY851" s="652"/>
      <c r="AZ851" s="652"/>
      <c r="BA851" s="652"/>
      <c r="BB851" s="652"/>
      <c r="BC851" s="652"/>
      <c r="BD851" s="652"/>
      <c r="BE851" s="652"/>
      <c r="BF851" s="652"/>
      <c r="BG851" s="652"/>
      <c r="BH851" s="652"/>
      <c r="BI851" s="652"/>
      <c r="BJ851" s="652"/>
      <c r="BK851" s="652"/>
      <c r="BL851" s="652"/>
      <c r="BM851" s="652"/>
      <c r="BN851" s="652"/>
      <c r="BO851" s="652"/>
      <c r="BP851" s="652"/>
      <c r="BQ851" s="652"/>
      <c r="BR851" s="652"/>
      <c r="BS851" s="652"/>
      <c r="BT851" s="652"/>
      <c r="BU851" s="652"/>
      <c r="BV851" s="652"/>
      <c r="BW851" s="652"/>
      <c r="BX851" s="652"/>
      <c r="BY851" s="652"/>
      <c r="BZ851" s="652"/>
      <c r="CA851" s="652"/>
      <c r="CB851" s="652"/>
      <c r="CC851" s="652"/>
      <c r="CD851" s="652"/>
      <c r="CE851" s="652"/>
      <c r="CF851" s="652"/>
      <c r="CG851" s="652"/>
      <c r="CH851" s="652"/>
      <c r="CI851" s="652"/>
      <c r="CJ851" s="652"/>
      <c r="CK851" s="652"/>
      <c r="CL851" s="652"/>
      <c r="CM851" s="652"/>
      <c r="CN851" s="652"/>
      <c r="CO851" s="652"/>
      <c r="CP851" s="652"/>
      <c r="CQ851" s="652"/>
      <c r="CR851" s="652"/>
      <c r="CS851" s="652"/>
      <c r="CT851" s="652"/>
      <c r="CU851" s="652"/>
      <c r="CV851" s="652"/>
      <c r="CW851" s="652"/>
      <c r="CX851" s="652"/>
      <c r="CY851" s="652"/>
      <c r="CZ851" s="652"/>
      <c r="DA851" s="652"/>
      <c r="DB851" s="652"/>
      <c r="DC851" s="652"/>
      <c r="DD851" s="652"/>
      <c r="DE851" s="652"/>
      <c r="DF851" s="652"/>
      <c r="DG851"/>
      <c r="DH851"/>
      <c r="DI851"/>
      <c r="DJ851"/>
      <c r="DK851"/>
      <c r="DL851"/>
      <c r="DM851"/>
      <c r="DN851"/>
      <c r="DO851"/>
      <c r="DP851"/>
      <c r="DQ851"/>
      <c r="DR851"/>
      <c r="DS851"/>
      <c r="DT851"/>
      <c r="DU851"/>
      <c r="DV851"/>
      <c r="DW851"/>
      <c r="DX851"/>
      <c r="DY851"/>
      <c r="DZ851"/>
      <c r="EA851"/>
      <c r="EB851"/>
      <c r="EC851"/>
      <c r="ED851"/>
      <c r="EE851"/>
      <c r="EF851"/>
      <c r="EG851"/>
      <c r="EH851"/>
      <c r="EI851"/>
      <c r="EJ851"/>
      <c r="EK851"/>
      <c r="EL851"/>
      <c r="EM851"/>
      <c r="EN851"/>
      <c r="EO851"/>
      <c r="EP851"/>
      <c r="EQ851"/>
      <c r="ER851"/>
      <c r="ES851"/>
      <c r="ET851"/>
      <c r="EU851"/>
      <c r="EV851"/>
      <c r="EW851"/>
      <c r="EX851"/>
      <c r="EY851"/>
      <c r="EZ851"/>
      <c r="FA851"/>
      <c r="FB851"/>
      <c r="FC851"/>
      <c r="FD851"/>
      <c r="FE851"/>
      <c r="FF851"/>
      <c r="FG851"/>
      <c r="FH851"/>
      <c r="FI851"/>
      <c r="FJ851"/>
      <c r="FK851"/>
      <c r="FL851"/>
      <c r="FM851"/>
      <c r="FN851"/>
      <c r="FO851"/>
      <c r="FP851"/>
      <c r="FQ851"/>
      <c r="FR851"/>
      <c r="FS851"/>
      <c r="FT851"/>
      <c r="FU851"/>
      <c r="FV851"/>
      <c r="FW851"/>
      <c r="FX851"/>
      <c r="FY851"/>
      <c r="FZ851"/>
      <c r="GA851"/>
      <c r="GB851"/>
      <c r="GC851"/>
      <c r="GD851"/>
      <c r="GE851"/>
      <c r="GF851"/>
      <c r="GG851"/>
      <c r="GH851"/>
      <c r="GI851"/>
      <c r="GJ851"/>
      <c r="GK851"/>
      <c r="GL851"/>
      <c r="GM851"/>
      <c r="GN851"/>
      <c r="GO851"/>
      <c r="GP851"/>
      <c r="GQ851"/>
      <c r="GR851"/>
      <c r="GS851"/>
      <c r="GT851"/>
      <c r="GU851"/>
      <c r="GV851"/>
      <c r="GW851"/>
      <c r="GX851"/>
      <c r="GY851"/>
      <c r="GZ851"/>
      <c r="HA851"/>
      <c r="HB851"/>
      <c r="HC851"/>
      <c r="HD851"/>
      <c r="HE851"/>
      <c r="HF851"/>
      <c r="HG851"/>
      <c r="HH851"/>
      <c r="HI851"/>
      <c r="HJ851"/>
      <c r="HK851"/>
      <c r="HL851"/>
      <c r="HM851"/>
      <c r="HN851"/>
      <c r="HO851"/>
      <c r="HP851"/>
      <c r="HQ851"/>
      <c r="HR851"/>
      <c r="HS851"/>
      <c r="HT851"/>
      <c r="HU851"/>
      <c r="HV851"/>
      <c r="HW851"/>
      <c r="HX851"/>
      <c r="HY851"/>
      <c r="HZ851"/>
      <c r="IA851"/>
      <c r="IB851"/>
      <c r="IC851"/>
      <c r="ID851"/>
      <c r="IE851"/>
      <c r="IF851"/>
      <c r="IG851"/>
      <c r="IH851"/>
      <c r="II851"/>
      <c r="IJ851"/>
      <c r="IK851"/>
      <c r="IL851"/>
      <c r="IM851"/>
      <c r="IN851"/>
      <c r="IO851"/>
      <c r="IP851"/>
      <c r="IQ851"/>
      <c r="IR851"/>
      <c r="IS851"/>
      <c r="IT851"/>
      <c r="IU851"/>
      <c r="IV851"/>
    </row>
    <row r="852" spans="1:256" s="653" customFormat="1" ht="12.75" hidden="1" customHeight="1" x14ac:dyDescent="0.2">
      <c r="A852" s="551"/>
      <c r="B852" s="557" t="s">
        <v>949</v>
      </c>
      <c r="C852" s="558">
        <v>500000</v>
      </c>
      <c r="D852" s="562">
        <v>500000</v>
      </c>
      <c r="E852" s="643">
        <v>200000</v>
      </c>
      <c r="F852" s="611">
        <v>131442.38</v>
      </c>
      <c r="G852" s="622">
        <v>600000</v>
      </c>
      <c r="H852" s="652"/>
      <c r="I852" s="652"/>
      <c r="J852" s="652"/>
      <c r="K852" s="652"/>
      <c r="L852" s="652"/>
      <c r="M852" s="652"/>
      <c r="N852" s="652"/>
      <c r="O852" s="652"/>
      <c r="P852" s="652"/>
      <c r="Q852" s="652"/>
      <c r="R852" s="652"/>
      <c r="S852" s="652"/>
      <c r="T852" s="652"/>
      <c r="U852" s="652"/>
      <c r="V852" s="652"/>
      <c r="W852" s="652"/>
      <c r="X852" s="652"/>
      <c r="Y852" s="652"/>
      <c r="Z852" s="652"/>
      <c r="AA852" s="652"/>
      <c r="AB852" s="652"/>
      <c r="AC852" s="652"/>
      <c r="AD852" s="652"/>
      <c r="AE852" s="652"/>
      <c r="AF852" s="652"/>
      <c r="AG852" s="652"/>
      <c r="AH852" s="652"/>
      <c r="AI852" s="652"/>
      <c r="AJ852" s="652"/>
      <c r="AK852" s="652"/>
      <c r="AL852" s="652"/>
      <c r="AM852" s="652"/>
      <c r="AN852" s="652"/>
      <c r="AO852" s="652"/>
      <c r="AP852" s="652"/>
      <c r="AQ852" s="652"/>
      <c r="AR852" s="652"/>
      <c r="AS852" s="652"/>
      <c r="AT852" s="652"/>
      <c r="AU852" s="652"/>
      <c r="AV852" s="652"/>
      <c r="AW852" s="652"/>
      <c r="AX852" s="652"/>
      <c r="AY852" s="652"/>
      <c r="AZ852" s="652"/>
      <c r="BA852" s="652"/>
      <c r="BB852" s="652"/>
      <c r="BC852" s="652"/>
      <c r="BD852" s="652"/>
      <c r="BE852" s="652"/>
      <c r="BF852" s="652"/>
      <c r="BG852" s="652"/>
      <c r="BH852" s="652"/>
      <c r="BI852" s="652"/>
      <c r="BJ852" s="652"/>
      <c r="BK852" s="652"/>
      <c r="BL852" s="652"/>
      <c r="BM852" s="652"/>
      <c r="BN852" s="652"/>
      <c r="BO852" s="652"/>
      <c r="BP852" s="652"/>
      <c r="BQ852" s="652"/>
      <c r="BR852" s="652"/>
      <c r="BS852" s="652"/>
      <c r="BT852" s="652"/>
      <c r="BU852" s="652"/>
      <c r="BV852" s="652"/>
      <c r="BW852" s="652"/>
      <c r="BX852" s="652"/>
      <c r="BY852" s="652"/>
      <c r="BZ852" s="652"/>
      <c r="CA852" s="652"/>
      <c r="CB852" s="652"/>
      <c r="CC852" s="652"/>
      <c r="CD852" s="652"/>
      <c r="CE852" s="652"/>
      <c r="CF852" s="652"/>
      <c r="CG852" s="652"/>
      <c r="CH852" s="652"/>
      <c r="CI852" s="652"/>
      <c r="CJ852" s="652"/>
      <c r="CK852" s="652"/>
      <c r="CL852" s="652"/>
      <c r="CM852" s="652"/>
      <c r="CN852" s="652"/>
      <c r="CO852" s="652"/>
      <c r="CP852" s="652"/>
      <c r="CQ852" s="652"/>
      <c r="CR852" s="652"/>
      <c r="CS852" s="652"/>
      <c r="CT852" s="652"/>
      <c r="CU852" s="652"/>
      <c r="CV852" s="652"/>
      <c r="CW852" s="652"/>
      <c r="CX852" s="652"/>
      <c r="CY852" s="652"/>
      <c r="CZ852" s="652"/>
      <c r="DA852" s="652"/>
      <c r="DB852" s="652"/>
      <c r="DC852" s="652"/>
      <c r="DD852" s="652"/>
      <c r="DE852" s="652"/>
      <c r="DF852" s="652"/>
    </row>
    <row r="853" spans="1:256" ht="12.75" hidden="1" customHeight="1" x14ac:dyDescent="0.2">
      <c r="A853" s="551"/>
      <c r="B853" s="639" t="s">
        <v>950</v>
      </c>
      <c r="C853" s="560">
        <v>0</v>
      </c>
      <c r="D853" s="562">
        <v>0</v>
      </c>
      <c r="E853" s="579">
        <v>0</v>
      </c>
      <c r="F853" s="611"/>
      <c r="G853" s="560">
        <v>1000000</v>
      </c>
      <c r="H853" s="652"/>
      <c r="I853" s="652"/>
      <c r="J853" s="652"/>
      <c r="K853" s="652"/>
      <c r="L853" s="652"/>
      <c r="M853" s="652"/>
      <c r="N853" s="652"/>
      <c r="O853" s="652"/>
      <c r="P853" s="652"/>
      <c r="Q853" s="652"/>
      <c r="R853" s="652"/>
      <c r="S853" s="652"/>
      <c r="T853" s="652"/>
      <c r="U853" s="652"/>
      <c r="V853" s="652"/>
      <c r="W853" s="652"/>
      <c r="X853" s="652"/>
      <c r="Y853" s="652"/>
      <c r="Z853" s="652"/>
      <c r="AA853" s="652"/>
      <c r="AB853" s="652"/>
      <c r="AC853" s="652"/>
      <c r="AD853" s="652"/>
      <c r="AE853" s="652"/>
      <c r="AF853" s="652"/>
      <c r="AG853" s="652"/>
      <c r="AH853" s="652"/>
      <c r="AI853" s="652"/>
      <c r="AJ853" s="652"/>
      <c r="AK853" s="652"/>
      <c r="AL853" s="652"/>
      <c r="AM853" s="652"/>
      <c r="AN853" s="652"/>
      <c r="AO853" s="652"/>
      <c r="AP853" s="652"/>
      <c r="AQ853" s="652"/>
      <c r="AR853" s="652"/>
      <c r="AS853" s="652"/>
      <c r="AT853" s="652"/>
      <c r="AU853" s="652"/>
      <c r="AV853" s="652"/>
      <c r="AW853" s="652"/>
      <c r="AX853" s="652"/>
      <c r="AY853" s="652"/>
      <c r="AZ853" s="652"/>
      <c r="BA853" s="652"/>
      <c r="BB853" s="652"/>
      <c r="BC853" s="652"/>
      <c r="BD853" s="652"/>
      <c r="BE853" s="652"/>
      <c r="BF853" s="652"/>
      <c r="BG853" s="652"/>
      <c r="BH853" s="652"/>
      <c r="BI853" s="652"/>
      <c r="BJ853" s="652"/>
      <c r="BK853" s="652"/>
      <c r="BL853" s="652"/>
      <c r="BM853" s="652"/>
      <c r="BN853" s="652"/>
      <c r="BO853" s="652"/>
      <c r="BP853" s="652"/>
      <c r="BQ853" s="652"/>
      <c r="BR853" s="652"/>
      <c r="BS853" s="652"/>
      <c r="BT853" s="652"/>
      <c r="BU853" s="652"/>
      <c r="BV853" s="652"/>
      <c r="BW853" s="652"/>
      <c r="BX853" s="652"/>
      <c r="BY853" s="652"/>
      <c r="BZ853" s="652"/>
      <c r="CA853" s="652"/>
      <c r="CB853" s="652"/>
      <c r="CC853" s="652"/>
      <c r="CD853" s="652"/>
      <c r="CE853" s="652"/>
      <c r="CF853" s="652"/>
      <c r="CG853" s="652"/>
      <c r="CH853" s="652"/>
      <c r="CI853" s="652"/>
      <c r="CJ853" s="652"/>
      <c r="CK853" s="652"/>
      <c r="CL853" s="652"/>
      <c r="CM853" s="652"/>
      <c r="CN853" s="652"/>
      <c r="CO853" s="652"/>
      <c r="CP853" s="652"/>
      <c r="CQ853" s="652"/>
      <c r="CR853" s="652"/>
      <c r="CS853" s="652"/>
      <c r="CT853" s="652"/>
      <c r="CU853" s="652"/>
      <c r="CV853" s="652"/>
      <c r="CW853" s="652"/>
      <c r="CX853" s="652"/>
      <c r="CY853" s="652"/>
      <c r="CZ853" s="652"/>
      <c r="DA853" s="652"/>
      <c r="DB853" s="652"/>
      <c r="DC853" s="652"/>
      <c r="DD853" s="652"/>
      <c r="DE853" s="652"/>
      <c r="DF853" s="652"/>
      <c r="DG853"/>
      <c r="DH853"/>
      <c r="DI853"/>
      <c r="DJ853"/>
      <c r="DK853"/>
      <c r="DL853"/>
      <c r="DM853"/>
      <c r="DN853"/>
      <c r="DO853"/>
      <c r="DP853"/>
      <c r="DQ853"/>
      <c r="DR853"/>
      <c r="DS853"/>
      <c r="DT853"/>
      <c r="DU853"/>
      <c r="DV853"/>
      <c r="DW853"/>
      <c r="DX853"/>
      <c r="DY853"/>
      <c r="DZ853"/>
      <c r="EA853"/>
      <c r="EB853"/>
      <c r="EC853"/>
      <c r="ED853"/>
      <c r="EE853"/>
      <c r="EF853"/>
      <c r="EG853"/>
      <c r="EH853"/>
      <c r="EI853"/>
      <c r="EJ853"/>
      <c r="EK853"/>
      <c r="EL853"/>
      <c r="EM853"/>
      <c r="EN853"/>
      <c r="EO853"/>
      <c r="EP853"/>
      <c r="EQ853"/>
      <c r="ER853"/>
      <c r="ES853"/>
      <c r="ET853"/>
      <c r="EU853"/>
      <c r="EV853"/>
      <c r="EW853"/>
      <c r="EX853"/>
      <c r="EY853"/>
      <c r="EZ853"/>
      <c r="FA853"/>
      <c r="FB853"/>
      <c r="FC853"/>
      <c r="FD853"/>
      <c r="FE853"/>
      <c r="FF853"/>
      <c r="FG853"/>
      <c r="FH853"/>
      <c r="FI853"/>
      <c r="FJ853"/>
      <c r="FK853"/>
      <c r="FL853"/>
      <c r="FM853"/>
      <c r="FN853"/>
      <c r="FO853"/>
      <c r="FP853"/>
      <c r="FQ853"/>
      <c r="FR853"/>
      <c r="FS853"/>
      <c r="FT853"/>
      <c r="FU853"/>
      <c r="FV853"/>
      <c r="FW853"/>
      <c r="FX853"/>
      <c r="FY853"/>
      <c r="FZ853"/>
      <c r="GA853"/>
      <c r="GB853"/>
      <c r="GC853"/>
      <c r="GD853"/>
      <c r="GE853"/>
      <c r="GF853"/>
      <c r="GG853"/>
      <c r="GH853"/>
      <c r="GI853"/>
      <c r="GJ853"/>
      <c r="GK853"/>
      <c r="GL853"/>
      <c r="GM853"/>
      <c r="GN853"/>
      <c r="GO853"/>
      <c r="GP853"/>
      <c r="GQ853"/>
      <c r="GR853"/>
      <c r="GS853"/>
      <c r="GT853"/>
      <c r="GU853"/>
      <c r="GV853"/>
      <c r="GW853"/>
      <c r="GX853"/>
      <c r="GY853"/>
      <c r="GZ853"/>
      <c r="HA853"/>
      <c r="HB853"/>
      <c r="HC853"/>
      <c r="HD853"/>
      <c r="HE853"/>
      <c r="HF853"/>
      <c r="HG853"/>
      <c r="HH853"/>
      <c r="HI853"/>
      <c r="HJ853"/>
      <c r="HK853"/>
      <c r="HL853"/>
      <c r="HM853"/>
      <c r="HN853"/>
      <c r="HO853"/>
      <c r="HP853"/>
      <c r="HQ853"/>
      <c r="HR853"/>
      <c r="HS853"/>
      <c r="HT853"/>
      <c r="HU853"/>
      <c r="HV853"/>
      <c r="HW853"/>
      <c r="HX853"/>
      <c r="HY853"/>
      <c r="HZ853"/>
      <c r="IA853"/>
      <c r="IB853"/>
      <c r="IC853"/>
      <c r="ID853"/>
      <c r="IE853"/>
      <c r="IF853"/>
      <c r="IG853"/>
      <c r="IH853"/>
      <c r="II853"/>
      <c r="IJ853"/>
      <c r="IK853"/>
      <c r="IL853"/>
      <c r="IM853"/>
      <c r="IN853"/>
      <c r="IO853"/>
      <c r="IP853"/>
      <c r="IQ853"/>
      <c r="IR853"/>
      <c r="IS853"/>
      <c r="IT853"/>
      <c r="IU853"/>
      <c r="IV853"/>
    </row>
    <row r="854" spans="1:256" ht="12.75" hidden="1" customHeight="1" x14ac:dyDescent="0.2">
      <c r="A854" s="583"/>
      <c r="B854" s="557" t="s">
        <v>951</v>
      </c>
      <c r="C854" s="560">
        <f>SUM(C855:C862)</f>
        <v>28534000</v>
      </c>
      <c r="D854" s="562">
        <f>SUM(D855:D862)</f>
        <v>21094783</v>
      </c>
      <c r="E854" s="562">
        <f>SUM(E855:E862)</f>
        <v>20555963.350000001</v>
      </c>
      <c r="F854" s="611">
        <f>SUM(F855:F862)</f>
        <v>9573359.3100000005</v>
      </c>
      <c r="G854" s="560">
        <f>SUM(G855:G871)</f>
        <v>26250000</v>
      </c>
      <c r="H854" s="652"/>
      <c r="I854" s="652"/>
      <c r="J854" s="652"/>
      <c r="K854" s="652"/>
      <c r="L854" s="652"/>
      <c r="M854" s="652"/>
      <c r="N854" s="652"/>
      <c r="O854" s="652"/>
      <c r="P854" s="652"/>
      <c r="Q854" s="652"/>
      <c r="R854" s="652"/>
      <c r="S854" s="652"/>
      <c r="T854" s="652"/>
      <c r="U854" s="652"/>
      <c r="V854" s="652"/>
      <c r="W854" s="652"/>
      <c r="X854" s="652"/>
      <c r="Y854" s="652"/>
      <c r="Z854" s="652"/>
      <c r="AA854" s="652"/>
      <c r="AB854" s="652"/>
      <c r="AC854" s="652"/>
      <c r="AD854" s="652"/>
      <c r="AE854" s="652"/>
      <c r="AF854" s="652"/>
      <c r="AG854" s="652"/>
      <c r="AH854" s="652"/>
      <c r="AI854" s="652"/>
      <c r="AJ854" s="652"/>
      <c r="AK854" s="652"/>
      <c r="AL854" s="652"/>
      <c r="AM854" s="652"/>
      <c r="AN854" s="652"/>
      <c r="AO854" s="652"/>
      <c r="AP854" s="652"/>
      <c r="AQ854" s="652"/>
      <c r="AR854" s="652"/>
      <c r="AS854" s="652"/>
      <c r="AT854" s="652"/>
      <c r="AU854" s="652"/>
      <c r="AV854" s="652"/>
      <c r="AW854" s="652"/>
      <c r="AX854" s="652"/>
      <c r="AY854" s="652"/>
      <c r="AZ854" s="652"/>
      <c r="BA854" s="652"/>
      <c r="BB854" s="652"/>
      <c r="BC854" s="652"/>
      <c r="BD854" s="652"/>
      <c r="BE854" s="652"/>
      <c r="BF854" s="652"/>
      <c r="BG854" s="652"/>
      <c r="BH854" s="652"/>
      <c r="BI854" s="652"/>
      <c r="BJ854" s="652"/>
      <c r="BK854" s="652"/>
      <c r="BL854" s="652"/>
      <c r="BM854" s="652"/>
      <c r="BN854" s="652"/>
      <c r="BO854" s="652"/>
      <c r="BP854" s="652"/>
      <c r="BQ854" s="652"/>
      <c r="BR854" s="652"/>
      <c r="BS854" s="652"/>
      <c r="BT854" s="652"/>
      <c r="BU854" s="652"/>
      <c r="BV854" s="652"/>
      <c r="BW854" s="652"/>
      <c r="BX854" s="652"/>
      <c r="BY854" s="652"/>
      <c r="BZ854" s="652"/>
      <c r="CA854" s="652"/>
      <c r="CB854" s="652"/>
      <c r="CC854" s="652"/>
      <c r="CD854" s="652"/>
      <c r="CE854" s="652"/>
      <c r="CF854" s="652"/>
      <c r="CG854" s="652"/>
      <c r="CH854" s="652"/>
      <c r="CI854" s="652"/>
      <c r="CJ854" s="652"/>
      <c r="CK854" s="652"/>
      <c r="CL854" s="652"/>
      <c r="CM854" s="652"/>
      <c r="CN854" s="652"/>
      <c r="CO854" s="652"/>
      <c r="CP854" s="652"/>
      <c r="CQ854" s="652"/>
      <c r="CR854" s="652"/>
      <c r="CS854" s="652"/>
      <c r="CT854" s="652"/>
      <c r="CU854" s="652"/>
      <c r="CV854" s="652"/>
      <c r="CW854" s="652"/>
      <c r="CX854" s="652"/>
      <c r="CY854" s="652"/>
      <c r="CZ854" s="652"/>
      <c r="DA854" s="652"/>
      <c r="DB854" s="652"/>
      <c r="DC854" s="652"/>
      <c r="DD854" s="652"/>
      <c r="DE854" s="652"/>
      <c r="DF854" s="652"/>
      <c r="DG854"/>
      <c r="DH854"/>
      <c r="DI854"/>
      <c r="DJ854"/>
      <c r="DK854"/>
      <c r="DL854"/>
      <c r="DM854"/>
      <c r="DN854"/>
      <c r="DO854"/>
      <c r="DP854"/>
      <c r="DQ854"/>
      <c r="DR854"/>
      <c r="DS854"/>
      <c r="DT854"/>
      <c r="DU854"/>
      <c r="DV854"/>
      <c r="DW854"/>
      <c r="DX854"/>
      <c r="DY854"/>
      <c r="DZ854"/>
      <c r="EA854"/>
      <c r="EB854"/>
      <c r="EC854"/>
      <c r="ED854"/>
      <c r="EE854"/>
      <c r="EF854"/>
      <c r="EG854"/>
      <c r="EH854"/>
      <c r="EI854"/>
      <c r="EJ854"/>
      <c r="EK854"/>
      <c r="EL854"/>
      <c r="EM854"/>
      <c r="EN854"/>
      <c r="EO854"/>
      <c r="EP854"/>
      <c r="EQ854"/>
      <c r="ER854"/>
      <c r="ES854"/>
      <c r="ET854"/>
      <c r="EU854"/>
      <c r="EV854"/>
      <c r="EW854"/>
      <c r="EX854"/>
      <c r="EY854"/>
      <c r="EZ854"/>
      <c r="FA854"/>
      <c r="FB854"/>
      <c r="FC854"/>
      <c r="FD854"/>
      <c r="FE854"/>
      <c r="FF854"/>
      <c r="FG854"/>
      <c r="FH854"/>
      <c r="FI854"/>
      <c r="FJ854"/>
      <c r="FK854"/>
      <c r="FL854"/>
      <c r="FM854"/>
      <c r="FN854"/>
      <c r="FO854"/>
      <c r="FP854"/>
      <c r="FQ854"/>
      <c r="FR854"/>
      <c r="FS854"/>
      <c r="FT854"/>
      <c r="FU854"/>
      <c r="FV854"/>
      <c r="FW854"/>
      <c r="FX854"/>
      <c r="FY854"/>
      <c r="FZ854"/>
      <c r="GA854"/>
      <c r="GB854"/>
      <c r="GC854"/>
      <c r="GD854"/>
      <c r="GE854"/>
      <c r="GF854"/>
      <c r="GG854"/>
      <c r="GH854"/>
      <c r="GI854"/>
      <c r="GJ854"/>
      <c r="GK854"/>
      <c r="GL854"/>
      <c r="GM854"/>
      <c r="GN854"/>
      <c r="GO854"/>
      <c r="GP854"/>
      <c r="GQ854"/>
      <c r="GR854"/>
      <c r="GS854"/>
      <c r="GT854"/>
      <c r="GU854"/>
      <c r="GV854"/>
      <c r="GW854"/>
      <c r="GX854"/>
      <c r="GY854"/>
      <c r="GZ854"/>
      <c r="HA854"/>
      <c r="HB854"/>
      <c r="HC854"/>
      <c r="HD854"/>
      <c r="HE854"/>
      <c r="HF854"/>
      <c r="HG854"/>
      <c r="HH854"/>
      <c r="HI854"/>
      <c r="HJ854"/>
      <c r="HK854"/>
      <c r="HL854"/>
      <c r="HM854"/>
      <c r="HN854"/>
      <c r="HO854"/>
      <c r="HP854"/>
      <c r="HQ854"/>
      <c r="HR854"/>
      <c r="HS854"/>
      <c r="HT854"/>
      <c r="HU854"/>
      <c r="HV854"/>
      <c r="HW854"/>
      <c r="HX854"/>
      <c r="HY854"/>
      <c r="HZ854"/>
      <c r="IA854"/>
      <c r="IB854"/>
      <c r="IC854"/>
      <c r="ID854"/>
      <c r="IE854"/>
      <c r="IF854"/>
      <c r="IG854"/>
      <c r="IH854"/>
      <c r="II854"/>
      <c r="IJ854"/>
      <c r="IK854"/>
      <c r="IL854"/>
      <c r="IM854"/>
      <c r="IN854"/>
      <c r="IO854"/>
      <c r="IP854"/>
      <c r="IQ854"/>
      <c r="IR854"/>
      <c r="IS854"/>
      <c r="IT854"/>
      <c r="IU854"/>
      <c r="IV854"/>
    </row>
    <row r="855" spans="1:256" ht="12.75" hidden="1" customHeight="1" x14ac:dyDescent="0.2">
      <c r="A855" s="583"/>
      <c r="B855" s="639" t="s">
        <v>952</v>
      </c>
      <c r="C855" s="560">
        <v>700000</v>
      </c>
      <c r="D855" s="562">
        <v>700000</v>
      </c>
      <c r="E855" s="579">
        <v>600000</v>
      </c>
      <c r="F855" s="580">
        <v>0</v>
      </c>
      <c r="G855" s="127">
        <v>0</v>
      </c>
      <c r="H855"/>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c r="EF855"/>
      <c r="EG855"/>
      <c r="EH855"/>
      <c r="EI855"/>
      <c r="EJ855"/>
      <c r="EK855"/>
      <c r="EL855"/>
      <c r="EM855"/>
      <c r="EN855"/>
      <c r="EO855"/>
      <c r="EP855"/>
      <c r="EQ855"/>
      <c r="ER855"/>
      <c r="ES855"/>
      <c r="ET855"/>
      <c r="EU855"/>
      <c r="EV855"/>
      <c r="EW855"/>
      <c r="EX855"/>
      <c r="EY855"/>
      <c r="EZ855"/>
      <c r="FA855"/>
      <c r="FB855"/>
      <c r="FC855"/>
      <c r="FD855"/>
      <c r="FE855"/>
      <c r="FF855"/>
      <c r="FG855"/>
      <c r="FH855"/>
      <c r="FI855"/>
      <c r="FJ855"/>
      <c r="FK855"/>
      <c r="FL855"/>
      <c r="FM855"/>
      <c r="FN855"/>
      <c r="FO855"/>
      <c r="FP855"/>
      <c r="FQ855"/>
      <c r="FR855"/>
      <c r="FS855"/>
      <c r="FT855"/>
      <c r="FU855"/>
      <c r="FV855"/>
      <c r="FW855"/>
      <c r="FX855"/>
      <c r="FY855"/>
      <c r="FZ855"/>
      <c r="GA855"/>
      <c r="GB855"/>
      <c r="GC855"/>
      <c r="GD855"/>
      <c r="GE855"/>
      <c r="GF855"/>
      <c r="GG855"/>
      <c r="GH855"/>
      <c r="GI855"/>
      <c r="GJ855"/>
      <c r="GK855"/>
      <c r="GL855"/>
      <c r="GM855"/>
      <c r="GN855"/>
      <c r="GO855"/>
      <c r="GP855"/>
      <c r="GQ855"/>
      <c r="GR855"/>
      <c r="GS855"/>
      <c r="GT855"/>
      <c r="GU855"/>
      <c r="GV855"/>
      <c r="GW855"/>
      <c r="GX855"/>
      <c r="GY855"/>
      <c r="GZ855"/>
      <c r="HA855"/>
      <c r="HB855"/>
      <c r="HC855"/>
      <c r="HD855"/>
      <c r="HE855"/>
      <c r="HF855"/>
      <c r="HG855"/>
      <c r="HH855"/>
      <c r="HI855"/>
      <c r="HJ855"/>
      <c r="HK855"/>
      <c r="HL855"/>
      <c r="HM855"/>
      <c r="HN855"/>
      <c r="HO855"/>
      <c r="HP855"/>
      <c r="HQ855"/>
      <c r="HR855"/>
      <c r="HS855"/>
      <c r="HT855"/>
      <c r="HU855"/>
      <c r="HV855"/>
      <c r="HW855"/>
      <c r="HX855"/>
      <c r="HY855"/>
      <c r="HZ855"/>
      <c r="IA855"/>
      <c r="IB855"/>
      <c r="IC855"/>
      <c r="ID855"/>
      <c r="IE855"/>
      <c r="IF855"/>
      <c r="IG855"/>
      <c r="IH855"/>
      <c r="II855"/>
      <c r="IJ855"/>
      <c r="IK855"/>
      <c r="IL855"/>
      <c r="IM855"/>
      <c r="IN855"/>
      <c r="IO855"/>
      <c r="IP855"/>
      <c r="IQ855"/>
      <c r="IR855"/>
      <c r="IS855"/>
      <c r="IT855"/>
      <c r="IU855"/>
      <c r="IV855"/>
    </row>
    <row r="856" spans="1:256" ht="12.75" hidden="1" customHeight="1" x14ac:dyDescent="0.2">
      <c r="A856" s="583"/>
      <c r="B856" s="639" t="s">
        <v>953</v>
      </c>
      <c r="C856" s="560"/>
      <c r="D856" s="562"/>
      <c r="E856" s="579"/>
      <c r="F856" s="580">
        <v>0</v>
      </c>
      <c r="G856" s="127">
        <v>900000</v>
      </c>
      <c r="H856"/>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c r="EF856"/>
      <c r="EG856"/>
      <c r="EH856"/>
      <c r="EI856"/>
      <c r="EJ856"/>
      <c r="EK856"/>
      <c r="EL856"/>
      <c r="EM856"/>
      <c r="EN856"/>
      <c r="EO856"/>
      <c r="EP856"/>
      <c r="EQ856"/>
      <c r="ER856"/>
      <c r="ES856"/>
      <c r="ET856"/>
      <c r="EU856"/>
      <c r="EV856"/>
      <c r="EW856"/>
      <c r="EX856"/>
      <c r="EY856"/>
      <c r="EZ856"/>
      <c r="FA856"/>
      <c r="FB856"/>
      <c r="FC856"/>
      <c r="FD856"/>
      <c r="FE856"/>
      <c r="FF856"/>
      <c r="FG856"/>
      <c r="FH856"/>
      <c r="FI856"/>
      <c r="FJ856"/>
      <c r="FK856"/>
      <c r="FL856"/>
      <c r="FM856"/>
      <c r="FN856"/>
      <c r="FO856"/>
      <c r="FP856"/>
      <c r="FQ856"/>
      <c r="FR856"/>
      <c r="FS856"/>
      <c r="FT856"/>
      <c r="FU856"/>
      <c r="FV856"/>
      <c r="FW856"/>
      <c r="FX856"/>
      <c r="FY856"/>
      <c r="FZ856"/>
      <c r="GA856"/>
      <c r="GB856"/>
      <c r="GC856"/>
      <c r="GD856"/>
      <c r="GE856"/>
      <c r="GF856"/>
      <c r="GG856"/>
      <c r="GH856"/>
      <c r="GI856"/>
      <c r="GJ856"/>
      <c r="GK856"/>
      <c r="GL856"/>
      <c r="GM856"/>
      <c r="GN856"/>
      <c r="GO856"/>
      <c r="GP856"/>
      <c r="GQ856"/>
      <c r="GR856"/>
      <c r="GS856"/>
      <c r="GT856"/>
      <c r="GU856"/>
      <c r="GV856"/>
      <c r="GW856"/>
      <c r="GX856"/>
      <c r="GY856"/>
      <c r="GZ856"/>
      <c r="HA856"/>
      <c r="HB856"/>
      <c r="HC856"/>
      <c r="HD856"/>
      <c r="HE856"/>
      <c r="HF856"/>
      <c r="HG856"/>
      <c r="HH856"/>
      <c r="HI856"/>
      <c r="HJ856"/>
      <c r="HK856"/>
      <c r="HL856"/>
      <c r="HM856"/>
      <c r="HN856"/>
      <c r="HO856"/>
      <c r="HP856"/>
      <c r="HQ856"/>
      <c r="HR856"/>
      <c r="HS856"/>
      <c r="HT856"/>
      <c r="HU856"/>
      <c r="HV856"/>
      <c r="HW856"/>
      <c r="HX856"/>
      <c r="HY856"/>
      <c r="HZ856"/>
      <c r="IA856"/>
      <c r="IB856"/>
      <c r="IC856"/>
      <c r="ID856"/>
      <c r="IE856"/>
      <c r="IF856"/>
      <c r="IG856"/>
      <c r="IH856"/>
      <c r="II856"/>
      <c r="IJ856"/>
      <c r="IK856"/>
      <c r="IL856"/>
      <c r="IM856"/>
      <c r="IN856"/>
      <c r="IO856"/>
      <c r="IP856"/>
      <c r="IQ856"/>
      <c r="IR856"/>
      <c r="IS856"/>
      <c r="IT856"/>
      <c r="IU856"/>
      <c r="IV856"/>
    </row>
    <row r="857" spans="1:256" ht="12.75" hidden="1" customHeight="1" x14ac:dyDescent="0.2">
      <c r="A857" s="583"/>
      <c r="B857" s="639" t="s">
        <v>954</v>
      </c>
      <c r="C857" s="560">
        <v>160000</v>
      </c>
      <c r="D857" s="562">
        <v>160000</v>
      </c>
      <c r="E857" s="579">
        <v>50000</v>
      </c>
      <c r="F857" s="580">
        <v>0</v>
      </c>
      <c r="G857" s="127">
        <v>0</v>
      </c>
      <c r="H857"/>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c r="DU857"/>
      <c r="DV857"/>
      <c r="DW857"/>
      <c r="DX857"/>
      <c r="DY857"/>
      <c r="DZ857"/>
      <c r="EA857"/>
      <c r="EB857"/>
      <c r="EC857"/>
      <c r="ED857"/>
      <c r="EE857"/>
      <c r="EF857"/>
      <c r="EG857"/>
      <c r="EH857"/>
      <c r="EI857"/>
      <c r="EJ857"/>
      <c r="EK857"/>
      <c r="EL857"/>
      <c r="EM857"/>
      <c r="EN857"/>
      <c r="EO857"/>
      <c r="EP857"/>
      <c r="EQ857"/>
      <c r="ER857"/>
      <c r="ES857"/>
      <c r="ET857"/>
      <c r="EU857"/>
      <c r="EV857"/>
      <c r="EW857"/>
      <c r="EX857"/>
      <c r="EY857"/>
      <c r="EZ857"/>
      <c r="FA857"/>
      <c r="FB857"/>
      <c r="FC857"/>
      <c r="FD857"/>
      <c r="FE857"/>
      <c r="FF857"/>
      <c r="FG857"/>
      <c r="FH857"/>
      <c r="FI857"/>
      <c r="FJ857"/>
      <c r="FK857"/>
      <c r="FL857"/>
      <c r="FM857"/>
      <c r="FN857"/>
      <c r="FO857"/>
      <c r="FP857"/>
      <c r="FQ857"/>
      <c r="FR857"/>
      <c r="FS857"/>
      <c r="FT857"/>
      <c r="FU857"/>
      <c r="FV857"/>
      <c r="FW857"/>
      <c r="FX857"/>
      <c r="FY857"/>
      <c r="FZ857"/>
      <c r="GA857"/>
      <c r="GB857"/>
      <c r="GC857"/>
      <c r="GD857"/>
      <c r="GE857"/>
      <c r="GF857"/>
      <c r="GG857"/>
      <c r="GH857"/>
      <c r="GI857"/>
      <c r="GJ857"/>
      <c r="GK857"/>
      <c r="GL857"/>
      <c r="GM857"/>
      <c r="GN857"/>
      <c r="GO857"/>
      <c r="GP857"/>
      <c r="GQ857"/>
      <c r="GR857"/>
      <c r="GS857"/>
      <c r="GT857"/>
      <c r="GU857"/>
      <c r="GV857"/>
      <c r="GW857"/>
      <c r="GX857"/>
      <c r="GY857"/>
      <c r="GZ857"/>
      <c r="HA857"/>
      <c r="HB857"/>
      <c r="HC857"/>
      <c r="HD857"/>
      <c r="HE857"/>
      <c r="HF857"/>
      <c r="HG857"/>
      <c r="HH857"/>
      <c r="HI857"/>
      <c r="HJ857"/>
      <c r="HK857"/>
      <c r="HL857"/>
      <c r="HM857"/>
      <c r="HN857"/>
      <c r="HO857"/>
      <c r="HP857"/>
      <c r="HQ857"/>
      <c r="HR857"/>
      <c r="HS857"/>
      <c r="HT857"/>
      <c r="HU857"/>
      <c r="HV857"/>
      <c r="HW857"/>
      <c r="HX857"/>
      <c r="HY857"/>
      <c r="HZ857"/>
      <c r="IA857"/>
      <c r="IB857"/>
      <c r="IC857"/>
      <c r="ID857"/>
      <c r="IE857"/>
      <c r="IF857"/>
      <c r="IG857"/>
      <c r="IH857"/>
      <c r="II857"/>
      <c r="IJ857"/>
      <c r="IK857"/>
      <c r="IL857"/>
      <c r="IM857"/>
      <c r="IN857"/>
      <c r="IO857"/>
      <c r="IP857"/>
      <c r="IQ857"/>
      <c r="IR857"/>
      <c r="IS857"/>
      <c r="IT857"/>
      <c r="IU857"/>
      <c r="IV857"/>
    </row>
    <row r="858" spans="1:256" ht="12.75" hidden="1" customHeight="1" x14ac:dyDescent="0.2">
      <c r="A858" s="583"/>
      <c r="B858" s="639" t="s">
        <v>955</v>
      </c>
      <c r="C858" s="560">
        <v>14645000</v>
      </c>
      <c r="D858" s="562">
        <f>14645000-3000000-1104217-748000</f>
        <v>9792783</v>
      </c>
      <c r="E858" s="579">
        <v>9700000</v>
      </c>
      <c r="F858" s="580">
        <v>8000</v>
      </c>
      <c r="G858" s="162">
        <v>0</v>
      </c>
      <c r="H858"/>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c r="DU858"/>
      <c r="DV858"/>
      <c r="DW858"/>
      <c r="DX858"/>
      <c r="DY858"/>
      <c r="DZ858"/>
      <c r="EA858"/>
      <c r="EB858"/>
      <c r="EC858"/>
      <c r="ED858"/>
      <c r="EE858"/>
      <c r="EF858"/>
      <c r="EG858"/>
      <c r="EH858"/>
      <c r="EI858"/>
      <c r="EJ858"/>
      <c r="EK858"/>
      <c r="EL858"/>
      <c r="EM858"/>
      <c r="EN858"/>
      <c r="EO858"/>
      <c r="EP858"/>
      <c r="EQ858"/>
      <c r="ER858"/>
      <c r="ES858"/>
      <c r="ET858"/>
      <c r="EU858"/>
      <c r="EV858"/>
      <c r="EW858"/>
      <c r="EX858"/>
      <c r="EY858"/>
      <c r="EZ858"/>
      <c r="FA858"/>
      <c r="FB858"/>
      <c r="FC858"/>
      <c r="FD858"/>
      <c r="FE858"/>
      <c r="FF858"/>
      <c r="FG858"/>
      <c r="FH858"/>
      <c r="FI858"/>
      <c r="FJ858"/>
      <c r="FK858"/>
      <c r="FL858"/>
      <c r="FM858"/>
      <c r="FN858"/>
      <c r="FO858"/>
      <c r="FP858"/>
      <c r="FQ858"/>
      <c r="FR858"/>
      <c r="FS858"/>
      <c r="FT858"/>
      <c r="FU858"/>
      <c r="FV858"/>
      <c r="FW858"/>
      <c r="FX858"/>
      <c r="FY858"/>
      <c r="FZ858"/>
      <c r="GA858"/>
      <c r="GB858"/>
      <c r="GC858"/>
      <c r="GD858"/>
      <c r="GE858"/>
      <c r="GF858"/>
      <c r="GG858"/>
      <c r="GH858"/>
      <c r="GI858"/>
      <c r="GJ858"/>
      <c r="GK858"/>
      <c r="GL858"/>
      <c r="GM858"/>
      <c r="GN858"/>
      <c r="GO858"/>
      <c r="GP858"/>
      <c r="GQ858"/>
      <c r="GR858"/>
      <c r="GS858"/>
      <c r="GT858"/>
      <c r="GU858"/>
      <c r="GV858"/>
      <c r="GW858"/>
      <c r="GX858"/>
      <c r="GY858"/>
      <c r="GZ858"/>
      <c r="HA858"/>
      <c r="HB858"/>
      <c r="HC858"/>
      <c r="HD858"/>
      <c r="HE858"/>
      <c r="HF858"/>
      <c r="HG858"/>
      <c r="HH858"/>
      <c r="HI858"/>
      <c r="HJ858"/>
      <c r="HK858"/>
      <c r="HL858"/>
      <c r="HM858"/>
      <c r="HN858"/>
      <c r="HO858"/>
      <c r="HP858"/>
      <c r="HQ858"/>
      <c r="HR858"/>
      <c r="HS858"/>
      <c r="HT858"/>
      <c r="HU858"/>
      <c r="HV858"/>
      <c r="HW858"/>
      <c r="HX858"/>
      <c r="HY858"/>
      <c r="HZ858"/>
      <c r="IA858"/>
      <c r="IB858"/>
      <c r="IC858"/>
      <c r="ID858"/>
      <c r="IE858"/>
      <c r="IF858"/>
      <c r="IG858"/>
      <c r="IH858"/>
      <c r="II858"/>
      <c r="IJ858"/>
      <c r="IK858"/>
      <c r="IL858"/>
      <c r="IM858"/>
      <c r="IN858"/>
      <c r="IO858"/>
      <c r="IP858"/>
      <c r="IQ858"/>
      <c r="IR858"/>
      <c r="IS858"/>
      <c r="IT858"/>
      <c r="IU858"/>
      <c r="IV858"/>
    </row>
    <row r="859" spans="1:256" ht="12.75" hidden="1" customHeight="1" x14ac:dyDescent="0.2">
      <c r="A859" s="583"/>
      <c r="B859" s="639" t="s">
        <v>956</v>
      </c>
      <c r="C859" s="560">
        <v>0</v>
      </c>
      <c r="D859" s="562">
        <v>748000</v>
      </c>
      <c r="E859" s="579">
        <v>679297.55</v>
      </c>
      <c r="F859" s="580">
        <v>747662.55</v>
      </c>
      <c r="G859" s="127">
        <v>0</v>
      </c>
      <c r="H859"/>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c r="DU859"/>
      <c r="DV859"/>
      <c r="DW859"/>
      <c r="DX859"/>
      <c r="DY859"/>
      <c r="DZ859"/>
      <c r="EA859"/>
      <c r="EB859"/>
      <c r="EC859"/>
      <c r="ED859"/>
      <c r="EE859"/>
      <c r="EF859"/>
      <c r="EG859"/>
      <c r="EH859"/>
      <c r="EI859"/>
      <c r="EJ859"/>
      <c r="EK859"/>
      <c r="EL859"/>
      <c r="EM859"/>
      <c r="EN859"/>
      <c r="EO859"/>
      <c r="EP859"/>
      <c r="EQ859"/>
      <c r="ER859"/>
      <c r="ES859"/>
      <c r="ET859"/>
      <c r="EU859"/>
      <c r="EV859"/>
      <c r="EW859"/>
      <c r="EX859"/>
      <c r="EY859"/>
      <c r="EZ859"/>
      <c r="FA859"/>
      <c r="FB859"/>
      <c r="FC859"/>
      <c r="FD859"/>
      <c r="FE859"/>
      <c r="FF859"/>
      <c r="FG859"/>
      <c r="FH859"/>
      <c r="FI859"/>
      <c r="FJ859"/>
      <c r="FK859"/>
      <c r="FL859"/>
      <c r="FM859"/>
      <c r="FN859"/>
      <c r="FO859"/>
      <c r="FP859"/>
      <c r="FQ859"/>
      <c r="FR859"/>
      <c r="FS859"/>
      <c r="FT859"/>
      <c r="FU859"/>
      <c r="FV859"/>
      <c r="FW859"/>
      <c r="FX859"/>
      <c r="FY859"/>
      <c r="FZ859"/>
      <c r="GA859"/>
      <c r="GB859"/>
      <c r="GC859"/>
      <c r="GD859"/>
      <c r="GE859"/>
      <c r="GF859"/>
      <c r="GG859"/>
      <c r="GH859"/>
      <c r="GI859"/>
      <c r="GJ859"/>
      <c r="GK859"/>
      <c r="GL859"/>
      <c r="GM859"/>
      <c r="GN859"/>
      <c r="GO859"/>
      <c r="GP859"/>
      <c r="GQ859"/>
      <c r="GR859"/>
      <c r="GS859"/>
      <c r="GT859"/>
      <c r="GU859"/>
      <c r="GV859"/>
      <c r="GW859"/>
      <c r="GX859"/>
      <c r="GY859"/>
      <c r="GZ859"/>
      <c r="HA859"/>
      <c r="HB859"/>
      <c r="HC859"/>
      <c r="HD859"/>
      <c r="HE859"/>
      <c r="HF859"/>
      <c r="HG859"/>
      <c r="HH859"/>
      <c r="HI859"/>
      <c r="HJ859"/>
      <c r="HK859"/>
      <c r="HL859"/>
      <c r="HM859"/>
      <c r="HN859"/>
      <c r="HO859"/>
      <c r="HP859"/>
      <c r="HQ859"/>
      <c r="HR859"/>
      <c r="HS859"/>
      <c r="HT859"/>
      <c r="HU859"/>
      <c r="HV859"/>
      <c r="HW859"/>
      <c r="HX859"/>
      <c r="HY859"/>
      <c r="HZ859"/>
      <c r="IA859"/>
      <c r="IB859"/>
      <c r="IC859"/>
      <c r="ID859"/>
      <c r="IE859"/>
      <c r="IF859"/>
      <c r="IG859"/>
      <c r="IH859"/>
      <c r="II859"/>
      <c r="IJ859"/>
      <c r="IK859"/>
      <c r="IL859"/>
      <c r="IM859"/>
      <c r="IN859"/>
      <c r="IO859"/>
      <c r="IP859"/>
      <c r="IQ859"/>
      <c r="IR859"/>
      <c r="IS859"/>
      <c r="IT859"/>
      <c r="IU859"/>
      <c r="IV859"/>
    </row>
    <row r="860" spans="1:256" s="2" customFormat="1" ht="12.75" hidden="1" customHeight="1" x14ac:dyDescent="0.2">
      <c r="A860" s="583"/>
      <c r="B860" s="639" t="s">
        <v>957</v>
      </c>
      <c r="C860" s="558">
        <v>8067000</v>
      </c>
      <c r="D860" s="562">
        <f>8067000-1700000-727000</f>
        <v>5640000</v>
      </c>
      <c r="E860" s="579">
        <v>5600000</v>
      </c>
      <c r="F860" s="580">
        <v>4973916.7300000004</v>
      </c>
      <c r="G860" s="127">
        <v>0</v>
      </c>
    </row>
    <row r="861" spans="1:256" s="2" customFormat="1" ht="12.75" hidden="1" customHeight="1" x14ac:dyDescent="0.2">
      <c r="A861" s="583"/>
      <c r="B861" s="639" t="s">
        <v>958</v>
      </c>
      <c r="C861" s="558">
        <v>3372000</v>
      </c>
      <c r="D861" s="562">
        <f>3372000-572000</f>
        <v>2800000</v>
      </c>
      <c r="E861" s="579">
        <v>2672665.7999999998</v>
      </c>
      <c r="F861" s="580">
        <v>2589780.7999999998</v>
      </c>
      <c r="G861" s="162">
        <v>0</v>
      </c>
    </row>
    <row r="862" spans="1:256" s="2" customFormat="1" ht="12.75" hidden="1" customHeight="1" x14ac:dyDescent="0.2">
      <c r="A862" s="583"/>
      <c r="B862" s="639" t="s">
        <v>959</v>
      </c>
      <c r="C862" s="558">
        <v>1590000</v>
      </c>
      <c r="D862" s="562">
        <f>1590000-336000</f>
        <v>1254000</v>
      </c>
      <c r="E862" s="579">
        <v>1254000</v>
      </c>
      <c r="F862" s="580">
        <v>1253999.23</v>
      </c>
      <c r="G862" s="127">
        <v>0</v>
      </c>
    </row>
    <row r="863" spans="1:256" s="2" customFormat="1" ht="12.75" hidden="1" customHeight="1" x14ac:dyDescent="0.2">
      <c r="A863" s="583"/>
      <c r="B863" s="654" t="s">
        <v>960</v>
      </c>
      <c r="C863" s="560"/>
      <c r="D863" s="562"/>
      <c r="E863" s="579"/>
      <c r="F863" s="623"/>
      <c r="G863" s="558">
        <v>200000</v>
      </c>
    </row>
    <row r="864" spans="1:256" s="2" customFormat="1" ht="12.75" hidden="1" customHeight="1" x14ac:dyDescent="0.2">
      <c r="A864" s="583"/>
      <c r="B864" s="655" t="s">
        <v>961</v>
      </c>
      <c r="C864" s="558"/>
      <c r="D864" s="562"/>
      <c r="E864" s="579"/>
      <c r="F864" s="623"/>
      <c r="G864" s="558">
        <v>4750000</v>
      </c>
    </row>
    <row r="865" spans="1:256" s="2" customFormat="1" ht="12.75" hidden="1" customHeight="1" x14ac:dyDescent="0.2">
      <c r="A865" s="583"/>
      <c r="B865" s="655" t="s">
        <v>962</v>
      </c>
      <c r="C865" s="560"/>
      <c r="D865" s="562"/>
      <c r="E865" s="564"/>
      <c r="F865" s="623"/>
      <c r="G865" s="560">
        <v>3300000</v>
      </c>
    </row>
    <row r="866" spans="1:256" s="2" customFormat="1" ht="12.75" hidden="1" customHeight="1" x14ac:dyDescent="0.2">
      <c r="A866" s="583"/>
      <c r="B866" s="655" t="s">
        <v>963</v>
      </c>
      <c r="C866" s="558"/>
      <c r="D866" s="562"/>
      <c r="E866" s="579"/>
      <c r="F866" s="623"/>
      <c r="G866" s="558">
        <v>3750000</v>
      </c>
    </row>
    <row r="867" spans="1:256" s="2" customFormat="1" ht="12.75" hidden="1" customHeight="1" x14ac:dyDescent="0.2">
      <c r="A867" s="583"/>
      <c r="B867" s="655" t="s">
        <v>964</v>
      </c>
      <c r="C867" s="560"/>
      <c r="D867" s="562"/>
      <c r="E867" s="564"/>
      <c r="F867" s="623"/>
      <c r="G867" s="558">
        <v>2050000</v>
      </c>
    </row>
    <row r="868" spans="1:256" s="2" customFormat="1" ht="12.75" hidden="1" customHeight="1" x14ac:dyDescent="0.2">
      <c r="A868" s="583"/>
      <c r="B868" s="655" t="s">
        <v>965</v>
      </c>
      <c r="C868" s="560"/>
      <c r="D868" s="562"/>
      <c r="E868" s="564"/>
      <c r="F868" s="623"/>
      <c r="G868" s="560">
        <v>2000000</v>
      </c>
    </row>
    <row r="869" spans="1:256" s="2" customFormat="1" ht="12.75" hidden="1" customHeight="1" x14ac:dyDescent="0.2">
      <c r="A869" s="583"/>
      <c r="B869" s="655" t="s">
        <v>966</v>
      </c>
      <c r="C869" s="560"/>
      <c r="D869" s="562"/>
      <c r="E869" s="579"/>
      <c r="F869" s="623"/>
      <c r="G869" s="560">
        <v>6000000</v>
      </c>
    </row>
    <row r="870" spans="1:256" s="2" customFormat="1" ht="12.75" hidden="1" customHeight="1" x14ac:dyDescent="0.2">
      <c r="A870" s="583"/>
      <c r="B870" s="655" t="s">
        <v>967</v>
      </c>
      <c r="C870" s="560"/>
      <c r="D870" s="562"/>
      <c r="E870" s="579"/>
      <c r="F870" s="623"/>
      <c r="G870" s="560">
        <v>2000000</v>
      </c>
    </row>
    <row r="871" spans="1:256" s="2" customFormat="1" ht="12.75" hidden="1" customHeight="1" x14ac:dyDescent="0.2">
      <c r="A871" s="583"/>
      <c r="B871" s="655" t="s">
        <v>968</v>
      </c>
      <c r="C871" s="558"/>
      <c r="D871" s="562"/>
      <c r="E871" s="579"/>
      <c r="F871" s="623"/>
      <c r="G871" s="558">
        <v>1300000</v>
      </c>
    </row>
    <row r="872" spans="1:256" s="2" customFormat="1" ht="12.75" hidden="1" customHeight="1" x14ac:dyDescent="0.2">
      <c r="A872" s="551">
        <v>3699</v>
      </c>
      <c r="B872" s="651" t="s">
        <v>969</v>
      </c>
      <c r="C872" s="555">
        <f>C873</f>
        <v>10000</v>
      </c>
      <c r="D872" s="581">
        <f>D873</f>
        <v>10000</v>
      </c>
      <c r="E872" s="581">
        <f>E873</f>
        <v>10000</v>
      </c>
      <c r="F872" s="633">
        <v>0</v>
      </c>
      <c r="G872" s="138">
        <v>0</v>
      </c>
    </row>
    <row r="873" spans="1:256" s="2" customFormat="1" ht="12.75" hidden="1" customHeight="1" x14ac:dyDescent="0.2">
      <c r="A873" s="583"/>
      <c r="B873" s="656" t="s">
        <v>970</v>
      </c>
      <c r="C873" s="558">
        <v>10000</v>
      </c>
      <c r="D873" s="562">
        <v>10000</v>
      </c>
      <c r="E873" s="579">
        <v>10000</v>
      </c>
      <c r="F873" s="580">
        <v>0</v>
      </c>
      <c r="G873" s="162">
        <v>0</v>
      </c>
    </row>
    <row r="874" spans="1:256" s="2" customFormat="1" ht="12.75" hidden="1" customHeight="1" x14ac:dyDescent="0.2">
      <c r="A874" s="551">
        <v>4351</v>
      </c>
      <c r="B874" s="651" t="s">
        <v>971</v>
      </c>
      <c r="C874" s="555">
        <v>10000</v>
      </c>
      <c r="D874" s="581">
        <v>10000</v>
      </c>
      <c r="E874" s="581">
        <v>10000</v>
      </c>
      <c r="F874" s="633">
        <v>3512.87</v>
      </c>
      <c r="G874" s="227">
        <v>10000</v>
      </c>
    </row>
    <row r="875" spans="1:256" s="2" customFormat="1" ht="12.75" hidden="1" customHeight="1" x14ac:dyDescent="0.2">
      <c r="A875" s="551">
        <v>4374</v>
      </c>
      <c r="B875" s="651" t="s">
        <v>759</v>
      </c>
      <c r="C875" s="553">
        <f>C876</f>
        <v>1015000</v>
      </c>
      <c r="D875" s="581">
        <f>D876</f>
        <v>915000</v>
      </c>
      <c r="E875" s="581">
        <f>E876</f>
        <v>915000</v>
      </c>
      <c r="F875" s="582">
        <f>F876</f>
        <v>630565.32999999996</v>
      </c>
      <c r="G875" s="553">
        <f>G876</f>
        <v>850000</v>
      </c>
    </row>
    <row r="876" spans="1:256" ht="12.75" hidden="1" customHeight="1" x14ac:dyDescent="0.2">
      <c r="A876" s="583"/>
      <c r="B876" s="578" t="s">
        <v>972</v>
      </c>
      <c r="C876" s="560">
        <f>SUM(C877,C878)</f>
        <v>1015000</v>
      </c>
      <c r="D876" s="562">
        <f>SUM(D877,D878)</f>
        <v>915000</v>
      </c>
      <c r="E876" s="562">
        <f>SUM(E877,E878)</f>
        <v>915000</v>
      </c>
      <c r="F876" s="611">
        <f>SUM(F877,F878)</f>
        <v>630565.32999999996</v>
      </c>
      <c r="G876" s="560">
        <f>SUM(G877,G878)</f>
        <v>850000</v>
      </c>
      <c r="H876"/>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c r="DK876"/>
      <c r="DL876"/>
      <c r="DM876"/>
      <c r="DN876"/>
      <c r="DO876"/>
      <c r="DP876"/>
      <c r="DQ876"/>
      <c r="DR876"/>
      <c r="DS876"/>
      <c r="DT876"/>
      <c r="DU876"/>
      <c r="DV876"/>
      <c r="DW876"/>
      <c r="DX876"/>
      <c r="DY876"/>
      <c r="DZ876"/>
      <c r="EA876"/>
      <c r="EB876"/>
      <c r="EC876"/>
      <c r="ED876"/>
      <c r="EE876"/>
      <c r="EF876"/>
      <c r="EG876"/>
      <c r="EH876"/>
      <c r="EI876"/>
      <c r="EJ876"/>
      <c r="EK876"/>
      <c r="EL876"/>
      <c r="EM876"/>
      <c r="EN876"/>
      <c r="EO876"/>
      <c r="EP876"/>
      <c r="EQ876"/>
      <c r="ER876"/>
      <c r="ES876"/>
      <c r="ET876"/>
      <c r="EU876"/>
      <c r="EV876"/>
      <c r="EW876"/>
      <c r="EX876"/>
      <c r="EY876"/>
      <c r="EZ876"/>
      <c r="FA876"/>
      <c r="FB876"/>
      <c r="FC876"/>
      <c r="FD876"/>
      <c r="FE876"/>
      <c r="FF876"/>
      <c r="FG876"/>
      <c r="FH876"/>
      <c r="FI876"/>
      <c r="FJ876"/>
      <c r="FK876"/>
      <c r="FL876"/>
      <c r="FM876"/>
      <c r="FN876"/>
      <c r="FO876"/>
      <c r="FP876"/>
      <c r="FQ876"/>
      <c r="FR876"/>
      <c r="FS876"/>
      <c r="FT876"/>
      <c r="FU876"/>
      <c r="FV876"/>
      <c r="FW876"/>
      <c r="FX876"/>
      <c r="FY876"/>
      <c r="FZ876"/>
      <c r="GA876"/>
      <c r="GB876"/>
      <c r="GC876"/>
      <c r="GD876"/>
      <c r="GE876"/>
      <c r="GF876"/>
      <c r="GG876"/>
      <c r="GH876"/>
      <c r="GI876"/>
      <c r="GJ876"/>
      <c r="GK876"/>
      <c r="GL876"/>
      <c r="GM876"/>
      <c r="GN876"/>
      <c r="GO876"/>
      <c r="GP876"/>
      <c r="GQ876"/>
      <c r="GR876"/>
      <c r="GS876"/>
      <c r="GT876"/>
      <c r="GU876"/>
      <c r="GV876"/>
      <c r="GW876"/>
      <c r="GX876"/>
      <c r="GY876"/>
      <c r="GZ876"/>
      <c r="HA876"/>
      <c r="HB876"/>
      <c r="HC876"/>
      <c r="HD876"/>
      <c r="HE876"/>
      <c r="HF876"/>
      <c r="HG876"/>
      <c r="HH876"/>
      <c r="HI876"/>
      <c r="HJ876"/>
      <c r="HK876"/>
      <c r="HL876"/>
      <c r="HM876"/>
      <c r="HN876"/>
      <c r="HO876"/>
      <c r="HP876"/>
      <c r="HQ876"/>
      <c r="HR876"/>
      <c r="HS876"/>
      <c r="HT876"/>
      <c r="HU876"/>
      <c r="HV876"/>
      <c r="HW876"/>
      <c r="HX876"/>
      <c r="HY876"/>
      <c r="HZ876"/>
      <c r="IA876"/>
      <c r="IB876"/>
      <c r="IC876"/>
      <c r="ID876"/>
      <c r="IE876"/>
      <c r="IF876"/>
      <c r="IG876"/>
      <c r="IH876"/>
      <c r="II876"/>
      <c r="IJ876"/>
      <c r="IK876"/>
      <c r="IL876"/>
      <c r="IM876"/>
      <c r="IN876"/>
      <c r="IO876"/>
      <c r="IP876"/>
      <c r="IQ876"/>
      <c r="IR876"/>
      <c r="IS876"/>
      <c r="IT876"/>
      <c r="IU876"/>
      <c r="IV876"/>
    </row>
    <row r="877" spans="1:256" ht="12.75" hidden="1" customHeight="1" x14ac:dyDescent="0.2">
      <c r="A877" s="657"/>
      <c r="B877" s="612" t="s">
        <v>973</v>
      </c>
      <c r="C877" s="560">
        <v>690000</v>
      </c>
      <c r="D877" s="562">
        <v>690000</v>
      </c>
      <c r="E877" s="579">
        <v>690000</v>
      </c>
      <c r="F877" s="580">
        <v>630565.32999999996</v>
      </c>
      <c r="G877" s="127">
        <v>600000</v>
      </c>
      <c r="H877"/>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c r="DT877"/>
      <c r="DU877"/>
      <c r="DV877"/>
      <c r="DW877"/>
      <c r="DX877"/>
      <c r="DY877"/>
      <c r="DZ877"/>
      <c r="EA877"/>
      <c r="EB877"/>
      <c r="EC877"/>
      <c r="ED877"/>
      <c r="EE877"/>
      <c r="EF877"/>
      <c r="EG877"/>
      <c r="EH877"/>
      <c r="EI877"/>
      <c r="EJ877"/>
      <c r="EK877"/>
      <c r="EL877"/>
      <c r="EM877"/>
      <c r="EN877"/>
      <c r="EO877"/>
      <c r="EP877"/>
      <c r="EQ877"/>
      <c r="ER877"/>
      <c r="ES877"/>
      <c r="ET877"/>
      <c r="EU877"/>
      <c r="EV877"/>
      <c r="EW877"/>
      <c r="EX877"/>
      <c r="EY877"/>
      <c r="EZ877"/>
      <c r="FA877"/>
      <c r="FB877"/>
      <c r="FC877"/>
      <c r="FD877"/>
      <c r="FE877"/>
      <c r="FF877"/>
      <c r="FG877"/>
      <c r="FH877"/>
      <c r="FI877"/>
      <c r="FJ877"/>
      <c r="FK877"/>
      <c r="FL877"/>
      <c r="FM877"/>
      <c r="FN877"/>
      <c r="FO877"/>
      <c r="FP877"/>
      <c r="FQ877"/>
      <c r="FR877"/>
      <c r="FS877"/>
      <c r="FT877"/>
      <c r="FU877"/>
      <c r="FV877"/>
      <c r="FW877"/>
      <c r="FX877"/>
      <c r="FY877"/>
      <c r="FZ877"/>
      <c r="GA877"/>
      <c r="GB877"/>
      <c r="GC877"/>
      <c r="GD877"/>
      <c r="GE877"/>
      <c r="GF877"/>
      <c r="GG877"/>
      <c r="GH877"/>
      <c r="GI877"/>
      <c r="GJ877"/>
      <c r="GK877"/>
      <c r="GL877"/>
      <c r="GM877"/>
      <c r="GN877"/>
      <c r="GO877"/>
      <c r="GP877"/>
      <c r="GQ877"/>
      <c r="GR877"/>
      <c r="GS877"/>
      <c r="GT877"/>
      <c r="GU877"/>
      <c r="GV877"/>
      <c r="GW877"/>
      <c r="GX877"/>
      <c r="GY877"/>
      <c r="GZ877"/>
      <c r="HA877"/>
      <c r="HB877"/>
      <c r="HC877"/>
      <c r="HD877"/>
      <c r="HE877"/>
      <c r="HF877"/>
      <c r="HG877"/>
      <c r="HH877"/>
      <c r="HI877"/>
      <c r="HJ877"/>
      <c r="HK877"/>
      <c r="HL877"/>
      <c r="HM877"/>
      <c r="HN877"/>
      <c r="HO877"/>
      <c r="HP877"/>
      <c r="HQ877"/>
      <c r="HR877"/>
      <c r="HS877"/>
      <c r="HT877"/>
      <c r="HU877"/>
      <c r="HV877"/>
      <c r="HW877"/>
      <c r="HX877"/>
      <c r="HY877"/>
      <c r="HZ877"/>
      <c r="IA877"/>
      <c r="IB877"/>
      <c r="IC877"/>
      <c r="ID877"/>
      <c r="IE877"/>
      <c r="IF877"/>
      <c r="IG877"/>
      <c r="IH877"/>
      <c r="II877"/>
      <c r="IJ877"/>
      <c r="IK877"/>
      <c r="IL877"/>
      <c r="IM877"/>
      <c r="IN877"/>
      <c r="IO877"/>
      <c r="IP877"/>
      <c r="IQ877"/>
      <c r="IR877"/>
      <c r="IS877"/>
      <c r="IT877"/>
      <c r="IU877"/>
      <c r="IV877"/>
    </row>
    <row r="878" spans="1:256" ht="12.75" hidden="1" customHeight="1" x14ac:dyDescent="0.2">
      <c r="A878" s="657"/>
      <c r="B878" s="658" t="s">
        <v>974</v>
      </c>
      <c r="C878" s="560">
        <v>325000</v>
      </c>
      <c r="D878" s="562">
        <f>325000-100000</f>
        <v>225000</v>
      </c>
      <c r="E878" s="579">
        <v>225000</v>
      </c>
      <c r="F878" s="580">
        <v>0</v>
      </c>
      <c r="G878" s="127">
        <v>250000</v>
      </c>
      <c r="H878"/>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c r="DL878"/>
      <c r="DM878"/>
      <c r="DN878"/>
      <c r="DO878"/>
      <c r="DP878"/>
      <c r="DQ878"/>
      <c r="DR878"/>
      <c r="DS878"/>
      <c r="DT878"/>
      <c r="DU878"/>
      <c r="DV878"/>
      <c r="DW878"/>
      <c r="DX878"/>
      <c r="DY878"/>
      <c r="DZ878"/>
      <c r="EA878"/>
      <c r="EB878"/>
      <c r="EC878"/>
      <c r="ED878"/>
      <c r="EE878"/>
      <c r="EF878"/>
      <c r="EG878"/>
      <c r="EH878"/>
      <c r="EI878"/>
      <c r="EJ878"/>
      <c r="EK878"/>
      <c r="EL878"/>
      <c r="EM878"/>
      <c r="EN878"/>
      <c r="EO878"/>
      <c r="EP878"/>
      <c r="EQ878"/>
      <c r="ER878"/>
      <c r="ES878"/>
      <c r="ET878"/>
      <c r="EU878"/>
      <c r="EV878"/>
      <c r="EW878"/>
      <c r="EX878"/>
      <c r="EY878"/>
      <c r="EZ878"/>
      <c r="FA878"/>
      <c r="FB878"/>
      <c r="FC878"/>
      <c r="FD878"/>
      <c r="FE878"/>
      <c r="FF878"/>
      <c r="FG878"/>
      <c r="FH878"/>
      <c r="FI878"/>
      <c r="FJ878"/>
      <c r="FK878"/>
      <c r="FL878"/>
      <c r="FM878"/>
      <c r="FN878"/>
      <c r="FO878"/>
      <c r="FP878"/>
      <c r="FQ878"/>
      <c r="FR878"/>
      <c r="FS878"/>
      <c r="FT878"/>
      <c r="FU878"/>
      <c r="FV878"/>
      <c r="FW878"/>
      <c r="FX878"/>
      <c r="FY878"/>
      <c r="FZ878"/>
      <c r="GA878"/>
      <c r="GB878"/>
      <c r="GC878"/>
      <c r="GD878"/>
      <c r="GE878"/>
      <c r="GF878"/>
      <c r="GG878"/>
      <c r="GH878"/>
      <c r="GI878"/>
      <c r="GJ878"/>
      <c r="GK878"/>
      <c r="GL878"/>
      <c r="GM878"/>
      <c r="GN878"/>
      <c r="GO878"/>
      <c r="GP878"/>
      <c r="GQ878"/>
      <c r="GR878"/>
      <c r="GS878"/>
      <c r="GT878"/>
      <c r="GU878"/>
      <c r="GV878"/>
      <c r="GW878"/>
      <c r="GX878"/>
      <c r="GY878"/>
      <c r="GZ878"/>
      <c r="HA878"/>
      <c r="HB878"/>
      <c r="HC878"/>
      <c r="HD878"/>
      <c r="HE878"/>
      <c r="HF878"/>
      <c r="HG878"/>
      <c r="HH878"/>
      <c r="HI878"/>
      <c r="HJ878"/>
      <c r="HK878"/>
      <c r="HL878"/>
      <c r="HM878"/>
      <c r="HN878"/>
      <c r="HO878"/>
      <c r="HP878"/>
      <c r="HQ878"/>
      <c r="HR878"/>
      <c r="HS878"/>
      <c r="HT878"/>
      <c r="HU878"/>
      <c r="HV878"/>
      <c r="HW878"/>
      <c r="HX878"/>
      <c r="HY878"/>
      <c r="HZ878"/>
      <c r="IA878"/>
      <c r="IB878"/>
      <c r="IC878"/>
      <c r="ID878"/>
      <c r="IE878"/>
      <c r="IF878"/>
      <c r="IG878"/>
      <c r="IH878"/>
      <c r="II878"/>
      <c r="IJ878"/>
      <c r="IK878"/>
      <c r="IL878"/>
      <c r="IM878"/>
      <c r="IN878"/>
      <c r="IO878"/>
      <c r="IP878"/>
      <c r="IQ878"/>
      <c r="IR878"/>
      <c r="IS878"/>
      <c r="IT878"/>
      <c r="IU878"/>
      <c r="IV878"/>
    </row>
    <row r="879" spans="1:256" ht="12.75" hidden="1" customHeight="1" x14ac:dyDescent="0.2">
      <c r="A879" s="551">
        <v>6171</v>
      </c>
      <c r="B879" s="651" t="s">
        <v>975</v>
      </c>
      <c r="C879" s="555">
        <f>SUM(C880:C883)</f>
        <v>910000</v>
      </c>
      <c r="D879" s="581">
        <f>SUM(D880:D883)</f>
        <v>912000</v>
      </c>
      <c r="E879" s="581">
        <f>SUM(E880:E883)</f>
        <v>592000</v>
      </c>
      <c r="F879" s="582">
        <f>SUM(F880:F883)</f>
        <v>217174.47</v>
      </c>
      <c r="G879" s="555">
        <f>SUM(G880:G884)</f>
        <v>2550000</v>
      </c>
      <c r="H879"/>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c r="DL879"/>
      <c r="DM879"/>
      <c r="DN879"/>
      <c r="DO879"/>
      <c r="DP879"/>
      <c r="DQ879"/>
      <c r="DR879"/>
      <c r="DS879"/>
      <c r="DT879"/>
      <c r="DU879"/>
      <c r="DV879"/>
      <c r="DW879"/>
      <c r="DX879"/>
      <c r="DY879"/>
      <c r="DZ879"/>
      <c r="EA879"/>
      <c r="EB879"/>
      <c r="EC879"/>
      <c r="ED879"/>
      <c r="EE879"/>
      <c r="EF879"/>
      <c r="EG879"/>
      <c r="EH879"/>
      <c r="EI879"/>
      <c r="EJ879"/>
      <c r="EK879"/>
      <c r="EL879"/>
      <c r="EM879"/>
      <c r="EN879"/>
      <c r="EO879"/>
      <c r="EP879"/>
      <c r="EQ879"/>
      <c r="ER879"/>
      <c r="ES879"/>
      <c r="ET879"/>
      <c r="EU879"/>
      <c r="EV879"/>
      <c r="EW879"/>
      <c r="EX879"/>
      <c r="EY879"/>
      <c r="EZ879"/>
      <c r="FA879"/>
      <c r="FB879"/>
      <c r="FC879"/>
      <c r="FD879"/>
      <c r="FE879"/>
      <c r="FF879"/>
      <c r="FG879"/>
      <c r="FH879"/>
      <c r="FI879"/>
      <c r="FJ879"/>
      <c r="FK879"/>
      <c r="FL879"/>
      <c r="FM879"/>
      <c r="FN879"/>
      <c r="FO879"/>
      <c r="FP879"/>
      <c r="FQ879"/>
      <c r="FR879"/>
      <c r="FS879"/>
      <c r="FT879"/>
      <c r="FU879"/>
      <c r="FV879"/>
      <c r="FW879"/>
      <c r="FX879"/>
      <c r="FY879"/>
      <c r="FZ879"/>
      <c r="GA879"/>
      <c r="GB879"/>
      <c r="GC879"/>
      <c r="GD879"/>
      <c r="GE879"/>
      <c r="GF879"/>
      <c r="GG879"/>
      <c r="GH879"/>
      <c r="GI879"/>
      <c r="GJ879"/>
      <c r="GK879"/>
      <c r="GL879"/>
      <c r="GM879"/>
      <c r="GN879"/>
      <c r="GO879"/>
      <c r="GP879"/>
      <c r="GQ879"/>
      <c r="GR879"/>
      <c r="GS879"/>
      <c r="GT879"/>
      <c r="GU879"/>
      <c r="GV879"/>
      <c r="GW879"/>
      <c r="GX879"/>
      <c r="GY879"/>
      <c r="GZ879"/>
      <c r="HA879"/>
      <c r="HB879"/>
      <c r="HC879"/>
      <c r="HD879"/>
      <c r="HE879"/>
      <c r="HF879"/>
      <c r="HG879"/>
      <c r="HH879"/>
      <c r="HI879"/>
      <c r="HJ879"/>
      <c r="HK879"/>
      <c r="HL879"/>
      <c r="HM879"/>
      <c r="HN879"/>
      <c r="HO879"/>
      <c r="HP879"/>
      <c r="HQ879"/>
      <c r="HR879"/>
      <c r="HS879"/>
      <c r="HT879"/>
      <c r="HU879"/>
      <c r="HV879"/>
      <c r="HW879"/>
      <c r="HX879"/>
      <c r="HY879"/>
      <c r="HZ879"/>
      <c r="IA879"/>
      <c r="IB879"/>
      <c r="IC879"/>
      <c r="ID879"/>
      <c r="IE879"/>
      <c r="IF879"/>
      <c r="IG879"/>
      <c r="IH879"/>
      <c r="II879"/>
      <c r="IJ879"/>
      <c r="IK879"/>
      <c r="IL879"/>
      <c r="IM879"/>
      <c r="IN879"/>
      <c r="IO879"/>
      <c r="IP879"/>
      <c r="IQ879"/>
      <c r="IR879"/>
      <c r="IS879"/>
      <c r="IT879"/>
      <c r="IU879"/>
      <c r="IV879"/>
    </row>
    <row r="880" spans="1:256" ht="12.75" hidden="1" customHeight="1" x14ac:dyDescent="0.2">
      <c r="A880" s="583"/>
      <c r="B880" s="584" t="s">
        <v>976</v>
      </c>
      <c r="C880" s="560">
        <f>20000+220000</f>
        <v>240000</v>
      </c>
      <c r="D880" s="591">
        <v>140000</v>
      </c>
      <c r="E880" s="593">
        <v>20000</v>
      </c>
      <c r="F880" s="580">
        <v>2000</v>
      </c>
      <c r="G880" s="127">
        <v>50000</v>
      </c>
      <c r="H88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c r="DL880"/>
      <c r="DM880"/>
      <c r="DN880"/>
      <c r="DO880"/>
      <c r="DP880"/>
      <c r="DQ880"/>
      <c r="DR880"/>
      <c r="DS880"/>
      <c r="DT880"/>
      <c r="DU880"/>
      <c r="DV880"/>
      <c r="DW880"/>
      <c r="DX880"/>
      <c r="DY880"/>
      <c r="DZ880"/>
      <c r="EA880"/>
      <c r="EB880"/>
      <c r="EC880"/>
      <c r="ED880"/>
      <c r="EE880"/>
      <c r="EF880"/>
      <c r="EG880"/>
      <c r="EH880"/>
      <c r="EI880"/>
      <c r="EJ880"/>
      <c r="EK880"/>
      <c r="EL880"/>
      <c r="EM880"/>
      <c r="EN880"/>
      <c r="EO880"/>
      <c r="EP880"/>
      <c r="EQ880"/>
      <c r="ER880"/>
      <c r="ES880"/>
      <c r="ET880"/>
      <c r="EU880"/>
      <c r="EV880"/>
      <c r="EW880"/>
      <c r="EX880"/>
      <c r="EY880"/>
      <c r="EZ880"/>
      <c r="FA880"/>
      <c r="FB880"/>
      <c r="FC880"/>
      <c r="FD880"/>
      <c r="FE880"/>
      <c r="FF880"/>
      <c r="FG880"/>
      <c r="FH880"/>
      <c r="FI880"/>
      <c r="FJ880"/>
      <c r="FK880"/>
      <c r="FL880"/>
      <c r="FM880"/>
      <c r="FN880"/>
      <c r="FO880"/>
      <c r="FP880"/>
      <c r="FQ880"/>
      <c r="FR880"/>
      <c r="FS880"/>
      <c r="FT880"/>
      <c r="FU880"/>
      <c r="FV880"/>
      <c r="FW880"/>
      <c r="FX880"/>
      <c r="FY880"/>
      <c r="FZ880"/>
      <c r="GA880"/>
      <c r="GB880"/>
      <c r="GC880"/>
      <c r="GD880"/>
      <c r="GE880"/>
      <c r="GF880"/>
      <c r="GG880"/>
      <c r="GH880"/>
      <c r="GI880"/>
      <c r="GJ880"/>
      <c r="GK880"/>
      <c r="GL880"/>
      <c r="GM880"/>
      <c r="GN880"/>
      <c r="GO880"/>
      <c r="GP880"/>
      <c r="GQ880"/>
      <c r="GR880"/>
      <c r="GS880"/>
      <c r="GT880"/>
      <c r="GU880"/>
      <c r="GV880"/>
      <c r="GW880"/>
      <c r="GX880"/>
      <c r="GY880"/>
      <c r="GZ880"/>
      <c r="HA880"/>
      <c r="HB880"/>
      <c r="HC880"/>
      <c r="HD880"/>
      <c r="HE880"/>
      <c r="HF880"/>
      <c r="HG880"/>
      <c r="HH880"/>
      <c r="HI880"/>
      <c r="HJ880"/>
      <c r="HK880"/>
      <c r="HL880"/>
      <c r="HM880"/>
      <c r="HN880"/>
      <c r="HO880"/>
      <c r="HP880"/>
      <c r="HQ880"/>
      <c r="HR880"/>
      <c r="HS880"/>
      <c r="HT880"/>
      <c r="HU880"/>
      <c r="HV880"/>
      <c r="HW880"/>
      <c r="HX880"/>
      <c r="HY880"/>
      <c r="HZ880"/>
      <c r="IA880"/>
      <c r="IB880"/>
      <c r="IC880"/>
      <c r="ID880"/>
      <c r="IE880"/>
      <c r="IF880"/>
      <c r="IG880"/>
      <c r="IH880"/>
      <c r="II880"/>
      <c r="IJ880"/>
      <c r="IK880"/>
      <c r="IL880"/>
      <c r="IM880"/>
      <c r="IN880"/>
      <c r="IO880"/>
      <c r="IP880"/>
      <c r="IQ880"/>
      <c r="IR880"/>
      <c r="IS880"/>
      <c r="IT880"/>
      <c r="IU880"/>
      <c r="IV880"/>
    </row>
    <row r="881" spans="1:256" ht="12.75" hidden="1" customHeight="1" x14ac:dyDescent="0.2">
      <c r="A881" s="657"/>
      <c r="B881" s="584" t="s">
        <v>977</v>
      </c>
      <c r="C881" s="560">
        <v>70000</v>
      </c>
      <c r="D881" s="591">
        <v>172000</v>
      </c>
      <c r="E881" s="593">
        <v>172000</v>
      </c>
      <c r="F881" s="580">
        <v>215174.47</v>
      </c>
      <c r="G881" s="127">
        <v>0</v>
      </c>
      <c r="H881"/>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c r="DT881"/>
      <c r="DU881"/>
      <c r="DV881"/>
      <c r="DW881"/>
      <c r="DX881"/>
      <c r="DY881"/>
      <c r="DZ881"/>
      <c r="EA881"/>
      <c r="EB881"/>
      <c r="EC881"/>
      <c r="ED881"/>
      <c r="EE881"/>
      <c r="EF881"/>
      <c r="EG881"/>
      <c r="EH881"/>
      <c r="EI881"/>
      <c r="EJ881"/>
      <c r="EK881"/>
      <c r="EL881"/>
      <c r="EM881"/>
      <c r="EN881"/>
      <c r="EO881"/>
      <c r="EP881"/>
      <c r="EQ881"/>
      <c r="ER881"/>
      <c r="ES881"/>
      <c r="ET881"/>
      <c r="EU881"/>
      <c r="EV881"/>
      <c r="EW881"/>
      <c r="EX881"/>
      <c r="EY881"/>
      <c r="EZ881"/>
      <c r="FA881"/>
      <c r="FB881"/>
      <c r="FC881"/>
      <c r="FD881"/>
      <c r="FE881"/>
      <c r="FF881"/>
      <c r="FG881"/>
      <c r="FH881"/>
      <c r="FI881"/>
      <c r="FJ881"/>
      <c r="FK881"/>
      <c r="FL881"/>
      <c r="FM881"/>
      <c r="FN881"/>
      <c r="FO881"/>
      <c r="FP881"/>
      <c r="FQ881"/>
      <c r="FR881"/>
      <c r="FS881"/>
      <c r="FT881"/>
      <c r="FU881"/>
      <c r="FV881"/>
      <c r="FW881"/>
      <c r="FX881"/>
      <c r="FY881"/>
      <c r="FZ881"/>
      <c r="GA881"/>
      <c r="GB881"/>
      <c r="GC881"/>
      <c r="GD881"/>
      <c r="GE881"/>
      <c r="GF881"/>
      <c r="GG881"/>
      <c r="GH881"/>
      <c r="GI881"/>
      <c r="GJ881"/>
      <c r="GK881"/>
      <c r="GL881"/>
      <c r="GM881"/>
      <c r="GN881"/>
      <c r="GO881"/>
      <c r="GP881"/>
      <c r="GQ881"/>
      <c r="GR881"/>
      <c r="GS881"/>
      <c r="GT881"/>
      <c r="GU881"/>
      <c r="GV881"/>
      <c r="GW881"/>
      <c r="GX881"/>
      <c r="GY881"/>
      <c r="GZ881"/>
      <c r="HA881"/>
      <c r="HB881"/>
      <c r="HC881"/>
      <c r="HD881"/>
      <c r="HE881"/>
      <c r="HF881"/>
      <c r="HG881"/>
      <c r="HH881"/>
      <c r="HI881"/>
      <c r="HJ881"/>
      <c r="HK881"/>
      <c r="HL881"/>
      <c r="HM881"/>
      <c r="HN881"/>
      <c r="HO881"/>
      <c r="HP881"/>
      <c r="HQ881"/>
      <c r="HR881"/>
      <c r="HS881"/>
      <c r="HT881"/>
      <c r="HU881"/>
      <c r="HV881"/>
      <c r="HW881"/>
      <c r="HX881"/>
      <c r="HY881"/>
      <c r="HZ881"/>
      <c r="IA881"/>
      <c r="IB881"/>
      <c r="IC881"/>
      <c r="ID881"/>
      <c r="IE881"/>
      <c r="IF881"/>
      <c r="IG881"/>
      <c r="IH881"/>
      <c r="II881"/>
      <c r="IJ881"/>
      <c r="IK881"/>
      <c r="IL881"/>
      <c r="IM881"/>
      <c r="IN881"/>
      <c r="IO881"/>
      <c r="IP881"/>
      <c r="IQ881"/>
      <c r="IR881"/>
      <c r="IS881"/>
      <c r="IT881"/>
      <c r="IU881"/>
      <c r="IV881"/>
    </row>
    <row r="882" spans="1:256" ht="12.75" hidden="1" customHeight="1" x14ac:dyDescent="0.2">
      <c r="A882" s="657"/>
      <c r="B882" s="586" t="s">
        <v>978</v>
      </c>
      <c r="C882" s="560">
        <v>600000</v>
      </c>
      <c r="D882" s="562">
        <v>600000</v>
      </c>
      <c r="E882" s="579">
        <v>400000</v>
      </c>
      <c r="F882" s="580">
        <v>0</v>
      </c>
      <c r="G882" s="127">
        <v>2000000</v>
      </c>
      <c r="H882"/>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c r="DT882"/>
      <c r="DU882"/>
      <c r="DV882"/>
      <c r="DW882"/>
      <c r="DX882"/>
      <c r="DY882"/>
      <c r="DZ882"/>
      <c r="EA882"/>
      <c r="EB882"/>
      <c r="EC882"/>
      <c r="ED882"/>
      <c r="EE882"/>
      <c r="EF882"/>
      <c r="EG882"/>
      <c r="EH882"/>
      <c r="EI882"/>
      <c r="EJ882"/>
      <c r="EK882"/>
      <c r="EL882"/>
      <c r="EM882"/>
      <c r="EN882"/>
      <c r="EO882"/>
      <c r="EP882"/>
      <c r="EQ882"/>
      <c r="ER882"/>
      <c r="ES882"/>
      <c r="ET882"/>
      <c r="EU882"/>
      <c r="EV882"/>
      <c r="EW882"/>
      <c r="EX882"/>
      <c r="EY882"/>
      <c r="EZ882"/>
      <c r="FA882"/>
      <c r="FB882"/>
      <c r="FC882"/>
      <c r="FD882"/>
      <c r="FE882"/>
      <c r="FF882"/>
      <c r="FG882"/>
      <c r="FH882"/>
      <c r="FI882"/>
      <c r="FJ882"/>
      <c r="FK882"/>
      <c r="FL882"/>
      <c r="FM882"/>
      <c r="FN882"/>
      <c r="FO882"/>
      <c r="FP882"/>
      <c r="FQ882"/>
      <c r="FR882"/>
      <c r="FS882"/>
      <c r="FT882"/>
      <c r="FU882"/>
      <c r="FV882"/>
      <c r="FW882"/>
      <c r="FX882"/>
      <c r="FY882"/>
      <c r="FZ882"/>
      <c r="GA882"/>
      <c r="GB882"/>
      <c r="GC882"/>
      <c r="GD882"/>
      <c r="GE882"/>
      <c r="GF882"/>
      <c r="GG882"/>
      <c r="GH882"/>
      <c r="GI882"/>
      <c r="GJ882"/>
      <c r="GK882"/>
      <c r="GL882"/>
      <c r="GM882"/>
      <c r="GN882"/>
      <c r="GO882"/>
      <c r="GP882"/>
      <c r="GQ882"/>
      <c r="GR882"/>
      <c r="GS882"/>
      <c r="GT882"/>
      <c r="GU882"/>
      <c r="GV882"/>
      <c r="GW882"/>
      <c r="GX882"/>
      <c r="GY882"/>
      <c r="GZ882"/>
      <c r="HA882"/>
      <c r="HB882"/>
      <c r="HC882"/>
      <c r="HD882"/>
      <c r="HE882"/>
      <c r="HF882"/>
      <c r="HG882"/>
      <c r="HH882"/>
      <c r="HI882"/>
      <c r="HJ882"/>
      <c r="HK882"/>
      <c r="HL882"/>
      <c r="HM882"/>
      <c r="HN882"/>
      <c r="HO882"/>
      <c r="HP882"/>
      <c r="HQ882"/>
      <c r="HR882"/>
      <c r="HS882"/>
      <c r="HT882"/>
      <c r="HU882"/>
      <c r="HV882"/>
      <c r="HW882"/>
      <c r="HX882"/>
      <c r="HY882"/>
      <c r="HZ882"/>
      <c r="IA882"/>
      <c r="IB882"/>
      <c r="IC882"/>
      <c r="ID882"/>
      <c r="IE882"/>
      <c r="IF882"/>
      <c r="IG882"/>
      <c r="IH882"/>
      <c r="II882"/>
      <c r="IJ882"/>
      <c r="IK882"/>
      <c r="IL882"/>
      <c r="IM882"/>
      <c r="IN882"/>
      <c r="IO882"/>
      <c r="IP882"/>
      <c r="IQ882"/>
      <c r="IR882"/>
      <c r="IS882"/>
      <c r="IT882"/>
      <c r="IU882"/>
      <c r="IV882"/>
    </row>
    <row r="883" spans="1:256" ht="12.75" hidden="1" customHeight="1" x14ac:dyDescent="0.2">
      <c r="A883" s="583"/>
      <c r="B883" s="586" t="s">
        <v>979</v>
      </c>
      <c r="C883" s="560">
        <v>0</v>
      </c>
      <c r="D883" s="562">
        <v>0</v>
      </c>
      <c r="E883" s="579">
        <v>0</v>
      </c>
      <c r="F883" s="580">
        <v>0</v>
      </c>
      <c r="G883" s="127">
        <v>300000</v>
      </c>
      <c r="H883"/>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c r="DT883"/>
      <c r="DU883"/>
      <c r="DV883"/>
      <c r="DW883"/>
      <c r="DX883"/>
      <c r="DY883"/>
      <c r="DZ883"/>
      <c r="EA883"/>
      <c r="EB883"/>
      <c r="EC883"/>
      <c r="ED883"/>
      <c r="EE883"/>
      <c r="EF883"/>
      <c r="EG883"/>
      <c r="EH883"/>
      <c r="EI883"/>
      <c r="EJ883"/>
      <c r="EK883"/>
      <c r="EL883"/>
      <c r="EM883"/>
      <c r="EN883"/>
      <c r="EO883"/>
      <c r="EP883"/>
      <c r="EQ883"/>
      <c r="ER883"/>
      <c r="ES883"/>
      <c r="ET883"/>
      <c r="EU883"/>
      <c r="EV883"/>
      <c r="EW883"/>
      <c r="EX883"/>
      <c r="EY883"/>
      <c r="EZ883"/>
      <c r="FA883"/>
      <c r="FB883"/>
      <c r="FC883"/>
      <c r="FD883"/>
      <c r="FE883"/>
      <c r="FF883"/>
      <c r="FG883"/>
      <c r="FH883"/>
      <c r="FI883"/>
      <c r="FJ883"/>
      <c r="FK883"/>
      <c r="FL883"/>
      <c r="FM883"/>
      <c r="FN883"/>
      <c r="FO883"/>
      <c r="FP883"/>
      <c r="FQ883"/>
      <c r="FR883"/>
      <c r="FS883"/>
      <c r="FT883"/>
      <c r="FU883"/>
      <c r="FV883"/>
      <c r="FW883"/>
      <c r="FX883"/>
      <c r="FY883"/>
      <c r="FZ883"/>
      <c r="GA883"/>
      <c r="GB883"/>
      <c r="GC883"/>
      <c r="GD883"/>
      <c r="GE883"/>
      <c r="GF883"/>
      <c r="GG883"/>
      <c r="GH883"/>
      <c r="GI883"/>
      <c r="GJ883"/>
      <c r="GK883"/>
      <c r="GL883"/>
      <c r="GM883"/>
      <c r="GN883"/>
      <c r="GO883"/>
      <c r="GP883"/>
      <c r="GQ883"/>
      <c r="GR883"/>
      <c r="GS883"/>
      <c r="GT883"/>
      <c r="GU883"/>
      <c r="GV883"/>
      <c r="GW883"/>
      <c r="GX883"/>
      <c r="GY883"/>
      <c r="GZ883"/>
      <c r="HA883"/>
      <c r="HB883"/>
      <c r="HC883"/>
      <c r="HD883"/>
      <c r="HE883"/>
      <c r="HF883"/>
      <c r="HG883"/>
      <c r="HH883"/>
      <c r="HI883"/>
      <c r="HJ883"/>
      <c r="HK883"/>
      <c r="HL883"/>
      <c r="HM883"/>
      <c r="HN883"/>
      <c r="HO883"/>
      <c r="HP883"/>
      <c r="HQ883"/>
      <c r="HR883"/>
      <c r="HS883"/>
      <c r="HT883"/>
      <c r="HU883"/>
      <c r="HV883"/>
      <c r="HW883"/>
      <c r="HX883"/>
      <c r="HY883"/>
      <c r="HZ883"/>
      <c r="IA883"/>
      <c r="IB883"/>
      <c r="IC883"/>
      <c r="ID883"/>
      <c r="IE883"/>
      <c r="IF883"/>
      <c r="IG883"/>
      <c r="IH883"/>
      <c r="II883"/>
      <c r="IJ883"/>
      <c r="IK883"/>
      <c r="IL883"/>
      <c r="IM883"/>
      <c r="IN883"/>
      <c r="IO883"/>
      <c r="IP883"/>
      <c r="IQ883"/>
      <c r="IR883"/>
      <c r="IS883"/>
      <c r="IT883"/>
      <c r="IU883"/>
      <c r="IV883"/>
    </row>
    <row r="884" spans="1:256" ht="12.75" hidden="1" customHeight="1" x14ac:dyDescent="0.2">
      <c r="A884" s="659"/>
      <c r="B884" s="618" t="s">
        <v>980</v>
      </c>
      <c r="C884" s="569">
        <v>0</v>
      </c>
      <c r="D884" s="562">
        <v>0</v>
      </c>
      <c r="E884" s="642">
        <v>0</v>
      </c>
      <c r="F884" s="580">
        <v>0</v>
      </c>
      <c r="G884" s="660">
        <v>200000</v>
      </c>
      <c r="H884"/>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c r="DT884"/>
      <c r="DU884"/>
      <c r="DV884"/>
      <c r="DW884"/>
      <c r="DX884"/>
      <c r="DY884"/>
      <c r="DZ884"/>
      <c r="EA884"/>
      <c r="EB884"/>
      <c r="EC884"/>
      <c r="ED884"/>
      <c r="EE884"/>
      <c r="EF884"/>
      <c r="EG884"/>
      <c r="EH884"/>
      <c r="EI884"/>
      <c r="EJ884"/>
      <c r="EK884"/>
      <c r="EL884"/>
      <c r="EM884"/>
      <c r="EN884"/>
      <c r="EO884"/>
      <c r="EP884"/>
      <c r="EQ884"/>
      <c r="ER884"/>
      <c r="ES884"/>
      <c r="ET884"/>
      <c r="EU884"/>
      <c r="EV884"/>
      <c r="EW884"/>
      <c r="EX884"/>
      <c r="EY884"/>
      <c r="EZ884"/>
      <c r="FA884"/>
      <c r="FB884"/>
      <c r="FC884"/>
      <c r="FD884"/>
      <c r="FE884"/>
      <c r="FF884"/>
      <c r="FG884"/>
      <c r="FH884"/>
      <c r="FI884"/>
      <c r="FJ884"/>
      <c r="FK884"/>
      <c r="FL884"/>
      <c r="FM884"/>
      <c r="FN884"/>
      <c r="FO884"/>
      <c r="FP884"/>
      <c r="FQ884"/>
      <c r="FR884"/>
      <c r="FS884"/>
      <c r="FT884"/>
      <c r="FU884"/>
      <c r="FV884"/>
      <c r="FW884"/>
      <c r="FX884"/>
      <c r="FY884"/>
      <c r="FZ884"/>
      <c r="GA884"/>
      <c r="GB884"/>
      <c r="GC884"/>
      <c r="GD884"/>
      <c r="GE884"/>
      <c r="GF884"/>
      <c r="GG884"/>
      <c r="GH884"/>
      <c r="GI884"/>
      <c r="GJ884"/>
      <c r="GK884"/>
      <c r="GL884"/>
      <c r="GM884"/>
      <c r="GN884"/>
      <c r="GO884"/>
      <c r="GP884"/>
      <c r="GQ884"/>
      <c r="GR884"/>
      <c r="GS884"/>
      <c r="GT884"/>
      <c r="GU884"/>
      <c r="GV884"/>
      <c r="GW884"/>
      <c r="GX884"/>
      <c r="GY884"/>
      <c r="GZ884"/>
      <c r="HA884"/>
      <c r="HB884"/>
      <c r="HC884"/>
      <c r="HD884"/>
      <c r="HE884"/>
      <c r="HF884"/>
      <c r="HG884"/>
      <c r="HH884"/>
      <c r="HI884"/>
      <c r="HJ884"/>
      <c r="HK884"/>
      <c r="HL884"/>
      <c r="HM884"/>
      <c r="HN884"/>
      <c r="HO884"/>
      <c r="HP884"/>
      <c r="HQ884"/>
      <c r="HR884"/>
      <c r="HS884"/>
      <c r="HT884"/>
      <c r="HU884"/>
      <c r="HV884"/>
      <c r="HW884"/>
      <c r="HX884"/>
      <c r="HY884"/>
      <c r="HZ884"/>
      <c r="IA884"/>
      <c r="IB884"/>
      <c r="IC884"/>
      <c r="ID884"/>
      <c r="IE884"/>
      <c r="IF884"/>
      <c r="IG884"/>
      <c r="IH884"/>
      <c r="II884"/>
      <c r="IJ884"/>
      <c r="IK884"/>
      <c r="IL884"/>
      <c r="IM884"/>
      <c r="IN884"/>
      <c r="IO884"/>
      <c r="IP884"/>
      <c r="IQ884"/>
      <c r="IR884"/>
      <c r="IS884"/>
      <c r="IT884"/>
      <c r="IU884"/>
      <c r="IV884"/>
    </row>
    <row r="885" spans="1:256" s="664" customFormat="1" ht="20.25" hidden="1" x14ac:dyDescent="0.3">
      <c r="A885" s="66"/>
      <c r="B885" s="661" t="s">
        <v>52</v>
      </c>
      <c r="C885" s="421">
        <f>SUM(C886+C891+C896)</f>
        <v>1211750</v>
      </c>
      <c r="D885" s="662">
        <f>SUM(D886+D891+D896)</f>
        <v>637750</v>
      </c>
      <c r="E885" s="421">
        <f>SUM(E886+E891+E896)</f>
        <v>379640</v>
      </c>
      <c r="F885" s="663">
        <f>SUM(F886+F891+F896)</f>
        <v>120303.64</v>
      </c>
      <c r="G885" s="421">
        <f>SUM(G886+G891+G896)</f>
        <v>600000</v>
      </c>
      <c r="H885" s="118"/>
      <c r="IP885" s="116"/>
      <c r="IQ885" s="116"/>
      <c r="IR885" s="116"/>
      <c r="IS885" s="116"/>
      <c r="IT885" s="116"/>
      <c r="IU885" s="116"/>
      <c r="IV885" s="116"/>
    </row>
    <row r="886" spans="1:256" s="664" customFormat="1" hidden="1" x14ac:dyDescent="0.2">
      <c r="A886" s="269">
        <v>2169</v>
      </c>
      <c r="B886" s="665" t="s">
        <v>981</v>
      </c>
      <c r="C886" s="227">
        <f>SUM(C887+C888+C889)</f>
        <v>250000</v>
      </c>
      <c r="D886" s="227">
        <f>SUM(D887+D888+D889+D890)</f>
        <v>250000</v>
      </c>
      <c r="E886" s="227">
        <f>SUM(E887+E888+E889+E890)</f>
        <v>9000</v>
      </c>
      <c r="F886" s="227">
        <f>SUM(F887+F888+F889+F890)</f>
        <v>2553.6400000000003</v>
      </c>
      <c r="G886" s="227">
        <v>250000</v>
      </c>
      <c r="H886" s="96"/>
      <c r="IP886" s="116"/>
      <c r="IQ886" s="116"/>
      <c r="IR886" s="116"/>
      <c r="IS886" s="116"/>
      <c r="IT886" s="116"/>
      <c r="IU886" s="116"/>
      <c r="IV886" s="116"/>
    </row>
    <row r="887" spans="1:256" s="664" customFormat="1" hidden="1" x14ac:dyDescent="0.2">
      <c r="A887" s="269"/>
      <c r="B887" s="666" t="s">
        <v>982</v>
      </c>
      <c r="C887" s="127">
        <v>47000</v>
      </c>
      <c r="D887" s="127">
        <v>47000</v>
      </c>
      <c r="E887" s="127">
        <v>3000</v>
      </c>
      <c r="F887" s="127">
        <v>0</v>
      </c>
      <c r="G887" s="162">
        <v>47000</v>
      </c>
      <c r="H887" s="118"/>
      <c r="IP887" s="116"/>
      <c r="IQ887" s="116"/>
      <c r="IR887" s="116"/>
      <c r="IS887" s="116"/>
      <c r="IT887" s="116"/>
      <c r="IU887" s="116"/>
      <c r="IV887" s="116"/>
    </row>
    <row r="888" spans="1:256" s="664" customFormat="1" hidden="1" x14ac:dyDescent="0.2">
      <c r="A888" s="269"/>
      <c r="B888" s="666" t="s">
        <v>983</v>
      </c>
      <c r="C888" s="127">
        <v>200000</v>
      </c>
      <c r="D888" s="127">
        <v>199000</v>
      </c>
      <c r="E888" s="127">
        <v>5000</v>
      </c>
      <c r="F888" s="127">
        <v>1553.64</v>
      </c>
      <c r="G888" s="162">
        <v>200000</v>
      </c>
      <c r="H888" s="118"/>
      <c r="IP888" s="116"/>
      <c r="IQ888" s="116"/>
      <c r="IR888" s="116"/>
      <c r="IS888" s="116"/>
      <c r="IT888" s="116"/>
      <c r="IU888" s="116"/>
      <c r="IV888" s="116"/>
    </row>
    <row r="889" spans="1:256" s="664" customFormat="1" hidden="1" x14ac:dyDescent="0.2">
      <c r="A889" s="269"/>
      <c r="B889" s="666" t="s">
        <v>984</v>
      </c>
      <c r="C889" s="127">
        <v>3000</v>
      </c>
      <c r="D889" s="127">
        <v>3000</v>
      </c>
      <c r="E889" s="127">
        <v>0</v>
      </c>
      <c r="F889" s="127">
        <v>0</v>
      </c>
      <c r="G889" s="162">
        <v>3000</v>
      </c>
      <c r="H889" s="118"/>
      <c r="IP889" s="116"/>
      <c r="IQ889" s="116"/>
      <c r="IR889" s="116"/>
      <c r="IS889" s="116"/>
      <c r="IT889" s="116"/>
      <c r="IU889" s="116"/>
      <c r="IV889" s="116"/>
    </row>
    <row r="890" spans="1:256" s="664" customFormat="1" hidden="1" x14ac:dyDescent="0.2">
      <c r="A890" s="269"/>
      <c r="B890" s="666" t="s">
        <v>985</v>
      </c>
      <c r="C890" s="127">
        <v>0</v>
      </c>
      <c r="D890" s="127">
        <v>1000</v>
      </c>
      <c r="E890" s="127">
        <v>1000</v>
      </c>
      <c r="F890" s="127">
        <v>1000</v>
      </c>
      <c r="G890" s="162">
        <v>0</v>
      </c>
      <c r="H890" s="118"/>
      <c r="IP890" s="116"/>
      <c r="IQ890" s="116"/>
      <c r="IR890" s="116"/>
      <c r="IS890" s="116"/>
      <c r="IT890" s="116"/>
      <c r="IU890" s="116"/>
      <c r="IV890" s="116"/>
    </row>
    <row r="891" spans="1:256" s="664" customFormat="1" hidden="1" x14ac:dyDescent="0.2">
      <c r="A891" s="123">
        <v>3635</v>
      </c>
      <c r="B891" s="137" t="s">
        <v>986</v>
      </c>
      <c r="C891" s="138">
        <f>SUM(C892+C893+C894+C895)</f>
        <v>387750</v>
      </c>
      <c r="D891" s="138">
        <f>SUM(D892+D893+D894+D895)</f>
        <v>387750</v>
      </c>
      <c r="E891" s="138">
        <f>SUM(E892+E893+E894+E895)</f>
        <v>370640</v>
      </c>
      <c r="F891" s="138">
        <f>SUM(F892+F893+F894+F895)</f>
        <v>117750</v>
      </c>
      <c r="G891" s="138">
        <f>SUM(G892+G893+G894+G895)</f>
        <v>350000</v>
      </c>
      <c r="H891" s="96"/>
      <c r="IP891" s="116"/>
      <c r="IQ891" s="116"/>
      <c r="IR891" s="116"/>
      <c r="IS891" s="116"/>
      <c r="IT891" s="116"/>
      <c r="IU891" s="116"/>
      <c r="IV891" s="116"/>
    </row>
    <row r="892" spans="1:256" s="664" customFormat="1" hidden="1" x14ac:dyDescent="0.2">
      <c r="A892" s="139"/>
      <c r="B892" s="140" t="s">
        <v>987</v>
      </c>
      <c r="C892" s="127">
        <v>20000</v>
      </c>
      <c r="D892" s="127">
        <v>20000</v>
      </c>
      <c r="E892" s="127">
        <v>16940</v>
      </c>
      <c r="F892" s="127">
        <v>0</v>
      </c>
      <c r="G892" s="162">
        <v>50000</v>
      </c>
      <c r="H892" s="96"/>
      <c r="IP892" s="116"/>
      <c r="IQ892" s="116"/>
      <c r="IR892" s="116"/>
      <c r="IS892" s="116"/>
      <c r="IT892" s="116"/>
      <c r="IU892" s="116"/>
      <c r="IV892" s="116"/>
    </row>
    <row r="893" spans="1:256" s="664" customFormat="1" hidden="1" x14ac:dyDescent="0.2">
      <c r="A893" s="139"/>
      <c r="B893" s="140" t="s">
        <v>988</v>
      </c>
      <c r="C893" s="127">
        <v>250000</v>
      </c>
      <c r="D893" s="127">
        <v>250000</v>
      </c>
      <c r="E893" s="127">
        <v>235950</v>
      </c>
      <c r="F893" s="127">
        <v>0</v>
      </c>
      <c r="G893" s="162">
        <v>0</v>
      </c>
      <c r="H893" s="118"/>
      <c r="IP893" s="116"/>
      <c r="IQ893" s="116"/>
      <c r="IR893" s="116"/>
      <c r="IS893" s="116"/>
      <c r="IT893" s="116"/>
      <c r="IU893" s="116"/>
      <c r="IV893" s="116"/>
    </row>
    <row r="894" spans="1:256" s="664" customFormat="1" hidden="1" x14ac:dyDescent="0.2">
      <c r="A894" s="139"/>
      <c r="B894" s="140" t="s">
        <v>989</v>
      </c>
      <c r="C894" s="127">
        <v>0</v>
      </c>
      <c r="D894" s="127">
        <v>0</v>
      </c>
      <c r="E894" s="419">
        <v>0</v>
      </c>
      <c r="F894" s="419">
        <v>0</v>
      </c>
      <c r="G894" s="162">
        <v>300000</v>
      </c>
      <c r="H894" s="118"/>
      <c r="IP894" s="116"/>
      <c r="IQ894" s="116"/>
      <c r="IR894" s="116"/>
      <c r="IS894" s="116"/>
      <c r="IT894" s="116"/>
      <c r="IU894" s="116"/>
      <c r="IV894" s="116"/>
    </row>
    <row r="895" spans="1:256" s="664" customFormat="1" hidden="1" x14ac:dyDescent="0.2">
      <c r="A895" s="667"/>
      <c r="B895" s="140" t="s">
        <v>990</v>
      </c>
      <c r="C895" s="419">
        <v>117750</v>
      </c>
      <c r="D895" s="419">
        <v>117750</v>
      </c>
      <c r="E895" s="419">
        <v>117750</v>
      </c>
      <c r="F895" s="419">
        <v>117750</v>
      </c>
      <c r="G895" s="164">
        <v>0</v>
      </c>
      <c r="H895" s="118"/>
      <c r="IP895" s="116"/>
      <c r="IQ895" s="116"/>
      <c r="IR895" s="116"/>
      <c r="IS895" s="116"/>
      <c r="IT895" s="116"/>
      <c r="IU895" s="116"/>
      <c r="IV895" s="116"/>
    </row>
    <row r="896" spans="1:256" s="664" customFormat="1" ht="15.75" hidden="1" x14ac:dyDescent="0.25">
      <c r="A896" s="668"/>
      <c r="B896" s="66" t="s">
        <v>991</v>
      </c>
      <c r="C896" s="669">
        <v>574000</v>
      </c>
      <c r="D896" s="669">
        <v>0</v>
      </c>
      <c r="E896" s="669">
        <v>0</v>
      </c>
      <c r="F896" s="670">
        <v>0</v>
      </c>
      <c r="G896" s="669">
        <v>0</v>
      </c>
      <c r="H896" s="118"/>
      <c r="IP896" s="116"/>
      <c r="IQ896" s="116"/>
      <c r="IR896" s="116"/>
      <c r="IS896" s="116"/>
      <c r="IT896" s="116"/>
      <c r="IU896" s="116"/>
      <c r="IV896" s="116"/>
    </row>
    <row r="897" spans="1:256" s="664" customFormat="1" hidden="1" x14ac:dyDescent="0.2">
      <c r="A897" s="671">
        <v>3699</v>
      </c>
      <c r="B897" s="665" t="s">
        <v>992</v>
      </c>
      <c r="C897" s="227">
        <v>574000</v>
      </c>
      <c r="D897" s="227">
        <v>0</v>
      </c>
      <c r="E897" s="227">
        <v>0</v>
      </c>
      <c r="F897" s="227">
        <v>0</v>
      </c>
      <c r="G897" s="227">
        <v>0</v>
      </c>
      <c r="H897" s="96"/>
      <c r="IP897" s="116"/>
      <c r="IQ897" s="116"/>
      <c r="IR897" s="116"/>
      <c r="IS897" s="116"/>
      <c r="IT897" s="116"/>
      <c r="IU897" s="116"/>
      <c r="IV897" s="116"/>
    </row>
    <row r="898" spans="1:256" s="674" customFormat="1" hidden="1" x14ac:dyDescent="0.2">
      <c r="A898" s="672"/>
      <c r="B898" s="673"/>
      <c r="C898" s="419"/>
      <c r="D898" s="419"/>
      <c r="E898" s="419"/>
      <c r="F898" s="419"/>
      <c r="G898" s="419"/>
      <c r="H898" s="96"/>
      <c r="IP898" s="1"/>
      <c r="IQ898" s="1"/>
      <c r="IR898" s="1"/>
      <c r="IS898" s="1"/>
      <c r="IT898" s="1"/>
      <c r="IU898" s="1"/>
      <c r="IV898" s="1"/>
    </row>
    <row r="899" spans="1:256" s="289" customFormat="1" ht="20.25" hidden="1" x14ac:dyDescent="0.3">
      <c r="A899" s="675"/>
      <c r="B899" s="676" t="s">
        <v>54</v>
      </c>
      <c r="C899" s="677">
        <f>SUM(C900:C906,C908:C910,C913,C919)</f>
        <v>39215960</v>
      </c>
      <c r="D899" s="677">
        <f>SUM(D900:D906,D908:D910,D913,D919)</f>
        <v>110513968.37</v>
      </c>
      <c r="E899" s="677">
        <f>SUM(E900:E906,E908:E910,E913,E919)</f>
        <v>104362912.75</v>
      </c>
      <c r="F899" s="678">
        <f>SUM(F900:F906,F908:F910,F913,F919)</f>
        <v>111132121.87</v>
      </c>
      <c r="G899" s="677">
        <f>SUM(G900:G906,G908:G910,G913,G919)</f>
        <v>36184308.620000005</v>
      </c>
      <c r="H899" s="96"/>
    </row>
    <row r="900" spans="1:256" s="682" customFormat="1" ht="15.75" hidden="1" x14ac:dyDescent="0.2">
      <c r="A900" s="679" t="s">
        <v>993</v>
      </c>
      <c r="B900" s="680" t="s">
        <v>994</v>
      </c>
      <c r="C900" s="681">
        <v>50000</v>
      </c>
      <c r="D900" s="681">
        <v>50000</v>
      </c>
      <c r="E900" s="681">
        <v>50000</v>
      </c>
      <c r="F900" s="681">
        <v>50000</v>
      </c>
      <c r="G900" s="227">
        <v>10000</v>
      </c>
      <c r="H900" s="96"/>
    </row>
    <row r="901" spans="1:256" s="682" customFormat="1" ht="48.75" hidden="1" x14ac:dyDescent="0.2">
      <c r="A901" s="683" t="s">
        <v>995</v>
      </c>
      <c r="B901" s="684" t="s">
        <v>996</v>
      </c>
      <c r="C901" s="227">
        <f>12860.75+242500</f>
        <v>255360.75</v>
      </c>
      <c r="D901" s="227">
        <f>12860.75+242500</f>
        <v>255360.75</v>
      </c>
      <c r="E901" s="227">
        <f>12860.75+242500</f>
        <v>255360.75</v>
      </c>
      <c r="F901" s="227">
        <f>7186.9+120577.86</f>
        <v>127764.76</v>
      </c>
      <c r="G901" s="227">
        <f>6808.62+242500</f>
        <v>249308.62</v>
      </c>
      <c r="H901" s="118"/>
    </row>
    <row r="902" spans="1:256" s="116" customFormat="1" ht="12.75" hidden="1" customHeight="1" x14ac:dyDescent="0.3">
      <c r="A902" s="123">
        <v>3113</v>
      </c>
      <c r="B902" s="137" t="s">
        <v>997</v>
      </c>
      <c r="C902" s="171">
        <v>0</v>
      </c>
      <c r="D902" s="171">
        <f>26198.73+1237.11</f>
        <v>27435.84</v>
      </c>
      <c r="E902" s="171">
        <f>26198.73+1237.11</f>
        <v>27435.84</v>
      </c>
      <c r="F902" s="171">
        <f>26198.73+1237.11</f>
        <v>27435.84</v>
      </c>
      <c r="G902" s="227">
        <v>0</v>
      </c>
      <c r="H902" s="96"/>
      <c r="N902" s="685"/>
    </row>
    <row r="903" spans="1:256" s="116" customFormat="1" ht="12.75" hidden="1" customHeight="1" x14ac:dyDescent="0.3">
      <c r="A903" s="123">
        <v>3311</v>
      </c>
      <c r="B903" s="137" t="s">
        <v>998</v>
      </c>
      <c r="C903" s="171">
        <v>0</v>
      </c>
      <c r="D903" s="171">
        <v>291160.94</v>
      </c>
      <c r="E903" s="171">
        <v>291160.94</v>
      </c>
      <c r="F903" s="171">
        <v>291160.94</v>
      </c>
      <c r="G903" s="227">
        <v>0</v>
      </c>
      <c r="H903" s="96"/>
      <c r="N903" s="685"/>
    </row>
    <row r="904" spans="1:256" s="116" customFormat="1" ht="12.75" hidden="1" customHeight="1" x14ac:dyDescent="0.3">
      <c r="A904" s="123">
        <v>3392</v>
      </c>
      <c r="B904" s="137" t="s">
        <v>999</v>
      </c>
      <c r="C904" s="171">
        <v>0</v>
      </c>
      <c r="D904" s="171">
        <v>214337.64</v>
      </c>
      <c r="E904" s="171">
        <v>214337.64</v>
      </c>
      <c r="F904" s="171">
        <v>214337.64</v>
      </c>
      <c r="G904" s="227">
        <v>0</v>
      </c>
      <c r="H904" s="96"/>
      <c r="N904" s="685"/>
    </row>
    <row r="905" spans="1:256" s="116" customFormat="1" ht="12.75" hidden="1" customHeight="1" x14ac:dyDescent="0.3">
      <c r="A905" s="123">
        <v>3634</v>
      </c>
      <c r="B905" s="137" t="s">
        <v>1000</v>
      </c>
      <c r="C905" s="171">
        <v>0</v>
      </c>
      <c r="D905" s="171">
        <v>7703155</v>
      </c>
      <c r="E905" s="171">
        <v>7703155</v>
      </c>
      <c r="F905" s="171">
        <v>7703693</v>
      </c>
      <c r="G905" s="227">
        <v>8000000</v>
      </c>
      <c r="H905" s="96"/>
      <c r="N905" s="686"/>
    </row>
    <row r="906" spans="1:256" s="682" customFormat="1" ht="15.75" hidden="1" x14ac:dyDescent="0.2">
      <c r="A906" s="269">
        <v>3639</v>
      </c>
      <c r="B906" s="665" t="s">
        <v>1001</v>
      </c>
      <c r="C906" s="227">
        <f>C907</f>
        <v>150000</v>
      </c>
      <c r="D906" s="227">
        <f>D907</f>
        <v>150000</v>
      </c>
      <c r="E906" s="227">
        <f>E907</f>
        <v>100000</v>
      </c>
      <c r="F906" s="227">
        <f>F907</f>
        <v>47016</v>
      </c>
      <c r="G906" s="227">
        <f>G907</f>
        <v>150000</v>
      </c>
      <c r="H906" s="96"/>
    </row>
    <row r="907" spans="1:256" s="682" customFormat="1" ht="12.75" hidden="1" customHeight="1" x14ac:dyDescent="0.2">
      <c r="A907" s="123"/>
      <c r="B907" s="666" t="s">
        <v>1002</v>
      </c>
      <c r="C907" s="162">
        <f>150*1000</f>
        <v>150000</v>
      </c>
      <c r="D907" s="162">
        <v>150000</v>
      </c>
      <c r="E907" s="127">
        <v>100000</v>
      </c>
      <c r="F907" s="127">
        <v>47016</v>
      </c>
      <c r="G907" s="162">
        <v>150000</v>
      </c>
      <c r="H907" s="96"/>
    </row>
    <row r="908" spans="1:256" hidden="1" x14ac:dyDescent="0.2">
      <c r="A908" s="123">
        <v>6171</v>
      </c>
      <c r="B908" s="687" t="s">
        <v>1003</v>
      </c>
      <c r="C908" s="227">
        <v>200000</v>
      </c>
      <c r="D908" s="227">
        <v>200000</v>
      </c>
      <c r="E908" s="138">
        <v>100000</v>
      </c>
      <c r="F908" s="138">
        <v>3509</v>
      </c>
      <c r="G908" s="227">
        <v>150000</v>
      </c>
      <c r="H908" s="118"/>
    </row>
    <row r="909" spans="1:256" hidden="1" x14ac:dyDescent="0.2">
      <c r="A909" s="123">
        <v>6310</v>
      </c>
      <c r="B909" s="137" t="s">
        <v>1004</v>
      </c>
      <c r="C909" s="138">
        <v>350000</v>
      </c>
      <c r="D909" s="138">
        <v>350000</v>
      </c>
      <c r="E909" s="171">
        <v>320000</v>
      </c>
      <c r="F909" s="138">
        <v>217186.23</v>
      </c>
      <c r="G909" s="227">
        <v>320000</v>
      </c>
      <c r="H909" s="96"/>
    </row>
    <row r="910" spans="1:256" hidden="1" x14ac:dyDescent="0.2">
      <c r="A910" s="123">
        <v>6399</v>
      </c>
      <c r="B910" s="137" t="s">
        <v>1005</v>
      </c>
      <c r="C910" s="138">
        <f>SUM(C911:C912)</f>
        <v>28000000</v>
      </c>
      <c r="D910" s="138">
        <f>SUM(D911:D912)</f>
        <v>23831976</v>
      </c>
      <c r="E910" s="138">
        <f>SUM(E911:E912)</f>
        <v>25015870</v>
      </c>
      <c r="F910" s="138">
        <f>SUM(F911:F912)</f>
        <v>25015870</v>
      </c>
      <c r="G910" s="138">
        <f>SUM(G911:G912)</f>
        <v>26000000</v>
      </c>
      <c r="H910" s="96"/>
    </row>
    <row r="911" spans="1:256" hidden="1" x14ac:dyDescent="0.2">
      <c r="A911" s="139"/>
      <c r="B911" s="140" t="s">
        <v>1006</v>
      </c>
      <c r="C911" s="127">
        <v>25000000</v>
      </c>
      <c r="D911" s="138">
        <v>22015870</v>
      </c>
      <c r="E911" s="138">
        <v>22015870</v>
      </c>
      <c r="F911" s="138">
        <v>22015870</v>
      </c>
      <c r="G911" s="127">
        <v>23000000</v>
      </c>
      <c r="H911" s="96"/>
    </row>
    <row r="912" spans="1:256" hidden="1" x14ac:dyDescent="0.2">
      <c r="A912" s="139"/>
      <c r="B912" s="140" t="s">
        <v>1007</v>
      </c>
      <c r="C912" s="127">
        <v>3000000</v>
      </c>
      <c r="D912" s="127">
        <v>1816106</v>
      </c>
      <c r="E912" s="162">
        <v>3000000</v>
      </c>
      <c r="F912" s="162">
        <v>3000000</v>
      </c>
      <c r="G912" s="162">
        <v>3000000</v>
      </c>
      <c r="H912" s="96"/>
    </row>
    <row r="913" spans="1:14" s="116" customFormat="1" ht="12.75" hidden="1" customHeight="1" x14ac:dyDescent="0.3">
      <c r="A913" s="123">
        <v>6402</v>
      </c>
      <c r="B913" s="137" t="s">
        <v>1008</v>
      </c>
      <c r="C913" s="138">
        <f>SUM(C914:C918)</f>
        <v>0</v>
      </c>
      <c r="D913" s="138">
        <f>SUM(D914:D918)</f>
        <v>60592.58</v>
      </c>
      <c r="E913" s="138">
        <f>SUM(E914:E918)</f>
        <v>60592.58</v>
      </c>
      <c r="F913" s="138">
        <f>SUM(F914:F918)</f>
        <v>60592.58</v>
      </c>
      <c r="G913" s="138">
        <f>SUM(G914:G918)</f>
        <v>0</v>
      </c>
      <c r="H913" s="96"/>
      <c r="N913" s="686"/>
    </row>
    <row r="914" spans="1:14" s="2" customFormat="1" ht="12.75" hidden="1" customHeight="1" x14ac:dyDescent="0.3">
      <c r="A914" s="125"/>
      <c r="B914" s="372" t="s">
        <v>1009</v>
      </c>
      <c r="C914" s="127">
        <v>0</v>
      </c>
      <c r="D914" s="127">
        <v>2283</v>
      </c>
      <c r="E914" s="127">
        <v>2283</v>
      </c>
      <c r="F914" s="127">
        <v>2283</v>
      </c>
      <c r="G914" s="162">
        <v>0</v>
      </c>
      <c r="H914" s="96"/>
      <c r="N914" s="686"/>
    </row>
    <row r="915" spans="1:14" s="2" customFormat="1" ht="12.75" hidden="1" customHeight="1" x14ac:dyDescent="0.3">
      <c r="A915" s="125"/>
      <c r="B915" s="372" t="s">
        <v>1010</v>
      </c>
      <c r="C915" s="127">
        <v>0</v>
      </c>
      <c r="D915" s="127">
        <v>7004</v>
      </c>
      <c r="E915" s="127">
        <v>7004</v>
      </c>
      <c r="F915" s="127">
        <v>7004</v>
      </c>
      <c r="G915" s="162">
        <v>0</v>
      </c>
      <c r="H915" s="96"/>
      <c r="N915" s="686"/>
    </row>
    <row r="916" spans="1:14" s="2" customFormat="1" ht="12.75" hidden="1" customHeight="1" x14ac:dyDescent="0.3">
      <c r="A916" s="125"/>
      <c r="B916" s="372" t="s">
        <v>1011</v>
      </c>
      <c r="C916" s="127">
        <v>0</v>
      </c>
      <c r="D916" s="127">
        <v>31176</v>
      </c>
      <c r="E916" s="127">
        <v>31176</v>
      </c>
      <c r="F916" s="127">
        <v>31176</v>
      </c>
      <c r="G916" s="162">
        <v>0</v>
      </c>
      <c r="H916" s="96"/>
      <c r="N916" s="686"/>
    </row>
    <row r="917" spans="1:14" s="2" customFormat="1" ht="12.75" hidden="1" customHeight="1" x14ac:dyDescent="0.3">
      <c r="A917" s="125"/>
      <c r="B917" s="372" t="s">
        <v>1012</v>
      </c>
      <c r="C917" s="127">
        <v>0</v>
      </c>
      <c r="D917" s="127">
        <v>5607</v>
      </c>
      <c r="E917" s="127">
        <v>5607</v>
      </c>
      <c r="F917" s="127">
        <v>5607</v>
      </c>
      <c r="G917" s="162">
        <v>0</v>
      </c>
      <c r="H917" s="96"/>
      <c r="N917" s="686"/>
    </row>
    <row r="918" spans="1:14" s="2" customFormat="1" ht="12.75" hidden="1" customHeight="1" x14ac:dyDescent="0.3">
      <c r="A918" s="125"/>
      <c r="B918" s="372" t="s">
        <v>1013</v>
      </c>
      <c r="C918" s="127">
        <v>0</v>
      </c>
      <c r="D918" s="127">
        <v>14522.58</v>
      </c>
      <c r="E918" s="127">
        <v>14522.58</v>
      </c>
      <c r="F918" s="127">
        <v>14522.58</v>
      </c>
      <c r="G918" s="162">
        <v>0</v>
      </c>
      <c r="H918" s="96"/>
      <c r="N918" s="686"/>
    </row>
    <row r="919" spans="1:14" s="289" customFormat="1" ht="15.75" hidden="1" x14ac:dyDescent="0.25">
      <c r="A919" s="123">
        <v>6409</v>
      </c>
      <c r="B919" s="137" t="s">
        <v>1014</v>
      </c>
      <c r="C919" s="138">
        <f>SUM(C920:C921)</f>
        <v>10210599.25</v>
      </c>
      <c r="D919" s="138">
        <f>SUM(D920:D921)</f>
        <v>77379949.620000005</v>
      </c>
      <c r="E919" s="138">
        <f>SUM(E920:E921)</f>
        <v>70225000</v>
      </c>
      <c r="F919" s="138">
        <f>SUM(F920:F921)</f>
        <v>77373555.88000001</v>
      </c>
      <c r="G919" s="138">
        <f>SUM(G920:G921)</f>
        <v>1305000</v>
      </c>
      <c r="H919" s="96"/>
    </row>
    <row r="920" spans="1:14" s="116" customFormat="1" hidden="1" x14ac:dyDescent="0.2">
      <c r="A920" s="139"/>
      <c r="B920" s="140" t="s">
        <v>1015</v>
      </c>
      <c r="C920" s="127">
        <f>10000*1000-0.75+600</f>
        <v>10000599.25</v>
      </c>
      <c r="D920" s="127">
        <v>77154949.620000005</v>
      </c>
      <c r="E920" s="127">
        <v>70000000</v>
      </c>
      <c r="F920" s="127">
        <v>77154949.620000005</v>
      </c>
      <c r="G920" s="162">
        <v>1000000</v>
      </c>
      <c r="H920" s="96"/>
    </row>
    <row r="921" spans="1:14" s="116" customFormat="1" ht="36.75" hidden="1" x14ac:dyDescent="0.2">
      <c r="A921" s="688"/>
      <c r="B921" s="689" t="s">
        <v>1016</v>
      </c>
      <c r="C921" s="690">
        <v>210000</v>
      </c>
      <c r="D921" s="690">
        <v>225000</v>
      </c>
      <c r="E921" s="419">
        <v>225000</v>
      </c>
      <c r="F921" s="127">
        <v>218606.26</v>
      </c>
      <c r="G921" s="162">
        <f>(5+80+50+80+30+5+60)*1000-5000</f>
        <v>305000</v>
      </c>
      <c r="H921" s="118"/>
    </row>
    <row r="922" spans="1:14" s="116" customFormat="1" ht="23.25" hidden="1" x14ac:dyDescent="0.35">
      <c r="A922" s="691"/>
      <c r="B922" s="692" t="s">
        <v>55</v>
      </c>
      <c r="C922" s="693">
        <f>SUM(C266+C354+C481+C486+C492+C503+C507+C511+C604+C608+C625+C633+C673+C679+C702+C885+C899)</f>
        <v>870089265</v>
      </c>
      <c r="D922" s="693">
        <f>SUM(D266+D354+D481+D486+D492+D503+D507+D511+D604+D608+D625+D633+D673+D679+D702+D885+D899)</f>
        <v>866332786.38999999</v>
      </c>
      <c r="E922" s="693">
        <f>SUM(E266+E354+E481+E486+E492+E503+E507+E511+E604+E608+E625+E633+E673+E679+E702+E885+E899)</f>
        <v>772802863.4000001</v>
      </c>
      <c r="F922" s="693">
        <f>SUM(F266+F354+F481+F486+F492+F503+F507+F511+F604+F608+F625+F633+F673+F679+F702+F885+F899)</f>
        <v>495324827.22000003</v>
      </c>
      <c r="G922" s="693">
        <f>SUM(G266+G354+G481+G486+G492+G503+G507+G511+G604+G608+G625+G633+G673+G679+G702+G885+G899)</f>
        <v>886320745.25</v>
      </c>
      <c r="H922" s="118"/>
    </row>
    <row r="923" spans="1:14" hidden="1" x14ac:dyDescent="0.2">
      <c r="B923" s="694"/>
      <c r="F923" s="1"/>
    </row>
    <row r="924" spans="1:14" x14ac:dyDescent="0.2">
      <c r="B924" s="695"/>
      <c r="F924" s="1"/>
    </row>
    <row r="925" spans="1:14" s="116" customFormat="1" x14ac:dyDescent="0.2">
      <c r="A925" s="1"/>
      <c r="B925" s="1"/>
      <c r="C925" s="1"/>
      <c r="D925" s="1"/>
      <c r="E925" s="1"/>
      <c r="F925" s="2"/>
      <c r="G925" s="1"/>
      <c r="H925" s="1"/>
    </row>
    <row r="926" spans="1:14" s="116" customFormat="1" x14ac:dyDescent="0.2">
      <c r="A926" s="1"/>
      <c r="B926" s="1"/>
      <c r="C926" s="1"/>
      <c r="D926" s="1"/>
      <c r="E926" s="1"/>
      <c r="F926" s="2"/>
      <c r="G926" s="1"/>
      <c r="H926" s="1"/>
    </row>
  </sheetData>
  <sheetProtection selectLockedCells="1" selectUnlockedCells="1"/>
  <printOptions horizontalCentered="1"/>
  <pageMargins left="0" right="0" top="0.39374999999999999" bottom="0.39374999999999999" header="0.51180555555555551" footer="0"/>
  <pageSetup paperSize="9" firstPageNumber="0" fitToHeight="0" orientation="landscape" horizontalDpi="300" verticalDpi="300"/>
  <headerFooter alignWithMargins="0">
    <oddFooter>&amp;C&amp;P</oddFooter>
  </headerFooter>
  <rowBreaks count="2" manualBreakCount="2">
    <brk id="50" max="16383" man="1"/>
    <brk id="263" max="16383" man="1"/>
  </rowBreaks>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31"/>
  <sheetViews>
    <sheetView topLeftCell="A13" workbookViewId="0">
      <selection activeCell="A2" sqref="A2:J2"/>
    </sheetView>
  </sheetViews>
  <sheetFormatPr defaultColWidth="7.140625" defaultRowHeight="11.25" x14ac:dyDescent="0.2"/>
  <cols>
    <col min="1" max="1" width="6.5703125" style="1192" customWidth="1"/>
    <col min="2" max="2" width="9.140625" style="1193" hidden="1" customWidth="1"/>
    <col min="3" max="3" width="38.28515625" style="1194" customWidth="1"/>
    <col min="4" max="4" width="12.5703125" style="1194" customWidth="1"/>
    <col min="5" max="5" width="10.7109375" style="1192" customWidth="1"/>
    <col min="6" max="6" width="9.5703125" style="1192" customWidth="1"/>
    <col min="7" max="8" width="12.7109375" style="1194" customWidth="1"/>
    <col min="9" max="9" width="12.7109375" style="1192" customWidth="1"/>
    <col min="10" max="10" width="39.5703125" style="1195" customWidth="1"/>
    <col min="11" max="11" width="9.140625" style="1194" customWidth="1"/>
    <col min="12" max="16384" width="7.140625" style="1194"/>
  </cols>
  <sheetData>
    <row r="2" spans="1:15" ht="18" customHeight="1" x14ac:dyDescent="0.2">
      <c r="A2" s="1677" t="s">
        <v>1940</v>
      </c>
      <c r="B2" s="1677"/>
      <c r="C2" s="1677"/>
      <c r="D2" s="1677"/>
      <c r="E2" s="1677"/>
      <c r="F2" s="1677"/>
      <c r="G2" s="1677"/>
      <c r="H2" s="1677"/>
      <c r="I2" s="1677"/>
      <c r="J2" s="1677"/>
      <c r="K2" s="1209"/>
      <c r="L2" s="1210"/>
      <c r="M2" s="1210"/>
      <c r="N2" s="1210"/>
      <c r="O2" s="1209"/>
    </row>
    <row r="3" spans="1:15" ht="12" thickBot="1" x14ac:dyDescent="0.25">
      <c r="A3" s="1196"/>
      <c r="B3" s="1197"/>
      <c r="C3" s="1196"/>
      <c r="D3" s="1196"/>
      <c r="G3" s="1196"/>
      <c r="H3" s="1196"/>
      <c r="J3" s="1198"/>
      <c r="L3" s="1211"/>
      <c r="M3" s="1211"/>
      <c r="N3" s="1211"/>
    </row>
    <row r="4" spans="1:15" ht="24" customHeight="1" x14ac:dyDescent="0.2">
      <c r="A4" s="1678" t="s">
        <v>1886</v>
      </c>
      <c r="B4" s="1680" t="s">
        <v>1887</v>
      </c>
      <c r="C4" s="1682" t="s">
        <v>1888</v>
      </c>
      <c r="D4" s="1684" t="s">
        <v>1889</v>
      </c>
      <c r="E4" s="1684" t="s">
        <v>1890</v>
      </c>
      <c r="F4" s="1684" t="s">
        <v>1891</v>
      </c>
      <c r="G4" s="1686" t="s">
        <v>1892</v>
      </c>
      <c r="H4" s="1687"/>
      <c r="I4" s="1688"/>
      <c r="J4" s="1689" t="s">
        <v>1893</v>
      </c>
    </row>
    <row r="5" spans="1:15" ht="24" customHeight="1" thickBot="1" x14ac:dyDescent="0.25">
      <c r="A5" s="1679"/>
      <c r="B5" s="1681"/>
      <c r="C5" s="1683"/>
      <c r="D5" s="1685"/>
      <c r="E5" s="1685"/>
      <c r="F5" s="1685"/>
      <c r="G5" s="1199" t="s">
        <v>1894</v>
      </c>
      <c r="H5" s="1199" t="s">
        <v>1895</v>
      </c>
      <c r="I5" s="1199" t="s">
        <v>1896</v>
      </c>
      <c r="J5" s="1690"/>
    </row>
    <row r="6" spans="1:15" s="1192" customFormat="1" ht="18" customHeight="1" x14ac:dyDescent="0.2">
      <c r="A6" s="1672" t="s">
        <v>1897</v>
      </c>
      <c r="B6" s="1673"/>
      <c r="C6" s="1673"/>
      <c r="D6" s="1673"/>
      <c r="E6" s="1673"/>
      <c r="F6" s="1673"/>
      <c r="G6" s="1673"/>
      <c r="H6" s="1673"/>
      <c r="I6" s="1673"/>
      <c r="J6" s="1674"/>
    </row>
    <row r="7" spans="1:15" s="1192" customFormat="1" ht="24" customHeight="1" x14ac:dyDescent="0.2">
      <c r="A7" s="1200"/>
      <c r="B7" s="1201">
        <v>4077</v>
      </c>
      <c r="C7" s="1202" t="s">
        <v>1898</v>
      </c>
      <c r="D7" s="1203">
        <v>1000000</v>
      </c>
      <c r="E7" s="1204">
        <v>0</v>
      </c>
      <c r="F7" s="1203">
        <v>0</v>
      </c>
      <c r="G7" s="1205">
        <v>500000</v>
      </c>
      <c r="H7" s="1204">
        <v>500000</v>
      </c>
      <c r="I7" s="1204">
        <v>0</v>
      </c>
      <c r="J7" s="1206" t="s">
        <v>1899</v>
      </c>
    </row>
    <row r="8" spans="1:15" s="1192" customFormat="1" ht="24" customHeight="1" x14ac:dyDescent="0.2">
      <c r="A8" s="1200"/>
      <c r="B8" s="1201">
        <v>5337</v>
      </c>
      <c r="C8" s="1202" t="s">
        <v>1900</v>
      </c>
      <c r="D8" s="1203">
        <v>1500000</v>
      </c>
      <c r="E8" s="1204">
        <v>0</v>
      </c>
      <c r="F8" s="1203">
        <v>0</v>
      </c>
      <c r="G8" s="1205">
        <v>750000</v>
      </c>
      <c r="H8" s="1204">
        <v>750000</v>
      </c>
      <c r="I8" s="1204">
        <v>0</v>
      </c>
      <c r="J8" s="1206" t="s">
        <v>1899</v>
      </c>
    </row>
    <row r="9" spans="1:15" s="1192" customFormat="1" ht="24" customHeight="1" x14ac:dyDescent="0.2">
      <c r="A9" s="1200"/>
      <c r="B9" s="1201">
        <v>5338</v>
      </c>
      <c r="C9" s="1202" t="s">
        <v>1901</v>
      </c>
      <c r="D9" s="1203">
        <v>1000000</v>
      </c>
      <c r="E9" s="1204">
        <v>0</v>
      </c>
      <c r="F9" s="1203">
        <v>0</v>
      </c>
      <c r="G9" s="1205">
        <v>500000</v>
      </c>
      <c r="H9" s="1204">
        <v>500000</v>
      </c>
      <c r="I9" s="1204">
        <v>0</v>
      </c>
      <c r="J9" s="1206" t="s">
        <v>1899</v>
      </c>
    </row>
    <row r="10" spans="1:15" s="1192" customFormat="1" ht="18" customHeight="1" x14ac:dyDescent="0.2">
      <c r="A10" s="1672" t="s">
        <v>1902</v>
      </c>
      <c r="B10" s="1673"/>
      <c r="C10" s="1673"/>
      <c r="D10" s="1673"/>
      <c r="E10" s="1673"/>
      <c r="F10" s="1673"/>
      <c r="G10" s="1673"/>
      <c r="H10" s="1673"/>
      <c r="I10" s="1673"/>
      <c r="J10" s="1674"/>
    </row>
    <row r="11" spans="1:15" s="1192" customFormat="1" ht="24" customHeight="1" x14ac:dyDescent="0.2">
      <c r="A11" s="1200"/>
      <c r="B11" s="1201">
        <v>5057</v>
      </c>
      <c r="C11" s="1202" t="s">
        <v>1903</v>
      </c>
      <c r="D11" s="1203">
        <v>1500000</v>
      </c>
      <c r="E11" s="1204">
        <v>0</v>
      </c>
      <c r="F11" s="1203">
        <v>0</v>
      </c>
      <c r="G11" s="1205">
        <v>750000</v>
      </c>
      <c r="H11" s="1204">
        <v>750000</v>
      </c>
      <c r="I11" s="1204">
        <v>0</v>
      </c>
      <c r="J11" s="1206" t="s">
        <v>1899</v>
      </c>
    </row>
    <row r="12" spans="1:15" s="1192" customFormat="1" ht="24" customHeight="1" x14ac:dyDescent="0.2">
      <c r="A12" s="1200"/>
      <c r="B12" s="1201">
        <v>4303</v>
      </c>
      <c r="C12" s="1202" t="s">
        <v>1904</v>
      </c>
      <c r="D12" s="1203">
        <v>1000000</v>
      </c>
      <c r="E12" s="1204">
        <v>0</v>
      </c>
      <c r="F12" s="1203">
        <v>0</v>
      </c>
      <c r="G12" s="1205">
        <v>500000</v>
      </c>
      <c r="H12" s="1204">
        <v>500000</v>
      </c>
      <c r="I12" s="1204">
        <v>0</v>
      </c>
      <c r="J12" s="1206" t="s">
        <v>1899</v>
      </c>
    </row>
    <row r="13" spans="1:15" ht="18" customHeight="1" x14ac:dyDescent="0.2">
      <c r="A13" s="1672" t="s">
        <v>1905</v>
      </c>
      <c r="B13" s="1673"/>
      <c r="C13" s="1673"/>
      <c r="D13" s="1673"/>
      <c r="E13" s="1673"/>
      <c r="F13" s="1673"/>
      <c r="G13" s="1673"/>
      <c r="H13" s="1673"/>
      <c r="I13" s="1673"/>
      <c r="J13" s="1674"/>
    </row>
    <row r="14" spans="1:15" s="1192" customFormat="1" ht="24" customHeight="1" x14ac:dyDescent="0.2">
      <c r="A14" s="1200"/>
      <c r="B14" s="1201">
        <v>4355</v>
      </c>
      <c r="C14" s="1202" t="s">
        <v>1906</v>
      </c>
      <c r="D14" s="1203">
        <v>1700000</v>
      </c>
      <c r="E14" s="1204">
        <v>0</v>
      </c>
      <c r="F14" s="1203">
        <v>0</v>
      </c>
      <c r="G14" s="1205">
        <v>850000</v>
      </c>
      <c r="H14" s="1204">
        <v>850000</v>
      </c>
      <c r="I14" s="1204">
        <v>0</v>
      </c>
      <c r="J14" s="1206" t="s">
        <v>1907</v>
      </c>
    </row>
    <row r="15" spans="1:15" s="1212" customFormat="1" ht="15.75" customHeight="1" x14ac:dyDescent="0.2">
      <c r="A15" s="1672" t="s">
        <v>1908</v>
      </c>
      <c r="B15" s="1673"/>
      <c r="C15" s="1673"/>
      <c r="D15" s="1673"/>
      <c r="E15" s="1673"/>
      <c r="F15" s="1673"/>
      <c r="G15" s="1673"/>
      <c r="H15" s="1673"/>
      <c r="I15" s="1673"/>
      <c r="J15" s="1674"/>
      <c r="K15" s="1194"/>
    </row>
    <row r="16" spans="1:15" s="1192" customFormat="1" ht="24" customHeight="1" x14ac:dyDescent="0.2">
      <c r="A16" s="1200"/>
      <c r="B16" s="1201">
        <v>4050</v>
      </c>
      <c r="C16" s="1202" t="s">
        <v>1909</v>
      </c>
      <c r="D16" s="1203">
        <v>1500000</v>
      </c>
      <c r="E16" s="1204">
        <v>0</v>
      </c>
      <c r="F16" s="1203">
        <v>0</v>
      </c>
      <c r="G16" s="1205">
        <v>750000</v>
      </c>
      <c r="H16" s="1204">
        <v>750000</v>
      </c>
      <c r="I16" s="1204">
        <v>0</v>
      </c>
      <c r="J16" s="1206" t="s">
        <v>1910</v>
      </c>
    </row>
    <row r="17" spans="1:10" s="1192" customFormat="1" ht="18" customHeight="1" x14ac:dyDescent="0.2">
      <c r="A17" s="1672" t="s">
        <v>1911</v>
      </c>
      <c r="B17" s="1675"/>
      <c r="C17" s="1675"/>
      <c r="D17" s="1675"/>
      <c r="E17" s="1675"/>
      <c r="F17" s="1675"/>
      <c r="G17" s="1675"/>
      <c r="H17" s="1675"/>
      <c r="I17" s="1675"/>
      <c r="J17" s="1676"/>
    </row>
    <row r="18" spans="1:10" s="1192" customFormat="1" ht="24" customHeight="1" x14ac:dyDescent="0.2">
      <c r="A18" s="1200"/>
      <c r="B18" s="1201">
        <v>5748</v>
      </c>
      <c r="C18" s="1202" t="s">
        <v>1912</v>
      </c>
      <c r="D18" s="1203">
        <v>75000000</v>
      </c>
      <c r="E18" s="1204">
        <v>0</v>
      </c>
      <c r="F18" s="1203">
        <v>0</v>
      </c>
      <c r="G18" s="1205">
        <v>20000000</v>
      </c>
      <c r="H18" s="1204">
        <v>55000000</v>
      </c>
      <c r="I18" s="1204">
        <v>0</v>
      </c>
      <c r="J18" s="1206" t="s">
        <v>1907</v>
      </c>
    </row>
    <row r="19" spans="1:10" s="1192" customFormat="1" ht="24" customHeight="1" x14ac:dyDescent="0.2">
      <c r="A19" s="1200"/>
      <c r="B19" s="1201">
        <v>4116</v>
      </c>
      <c r="C19" s="1202" t="s">
        <v>1913</v>
      </c>
      <c r="D19" s="1203">
        <v>1000000</v>
      </c>
      <c r="E19" s="1204">
        <v>0</v>
      </c>
      <c r="F19" s="1203">
        <v>0</v>
      </c>
      <c r="G19" s="1205">
        <v>500000</v>
      </c>
      <c r="H19" s="1204">
        <v>12000</v>
      </c>
      <c r="I19" s="1204">
        <v>0</v>
      </c>
      <c r="J19" s="1206" t="s">
        <v>1899</v>
      </c>
    </row>
    <row r="20" spans="1:10" s="1192" customFormat="1" ht="24" customHeight="1" x14ac:dyDescent="0.2">
      <c r="A20" s="1200"/>
      <c r="B20" s="1201">
        <v>4043</v>
      </c>
      <c r="C20" s="1202" t="s">
        <v>1914</v>
      </c>
      <c r="D20" s="1203">
        <v>1100000</v>
      </c>
      <c r="E20" s="1204">
        <v>0</v>
      </c>
      <c r="F20" s="1203">
        <v>0</v>
      </c>
      <c r="G20" s="1205">
        <v>550000</v>
      </c>
      <c r="H20" s="1204">
        <v>550000</v>
      </c>
      <c r="I20" s="1204">
        <v>0</v>
      </c>
      <c r="J20" s="1206" t="s">
        <v>1899</v>
      </c>
    </row>
    <row r="21" spans="1:10" s="1192" customFormat="1" ht="24" customHeight="1" x14ac:dyDescent="0.2">
      <c r="A21" s="1200"/>
      <c r="B21" s="1201">
        <v>5250</v>
      </c>
      <c r="C21" s="1202" t="s">
        <v>1915</v>
      </c>
      <c r="D21" s="1203">
        <v>900000</v>
      </c>
      <c r="E21" s="1204">
        <v>0</v>
      </c>
      <c r="F21" s="1203">
        <v>0</v>
      </c>
      <c r="G21" s="1205">
        <v>450000</v>
      </c>
      <c r="H21" s="1204">
        <v>450000</v>
      </c>
      <c r="I21" s="1204">
        <v>0</v>
      </c>
      <c r="J21" s="1206" t="s">
        <v>1899</v>
      </c>
    </row>
    <row r="22" spans="1:10" s="1192" customFormat="1" ht="24" customHeight="1" x14ac:dyDescent="0.2">
      <c r="A22" s="1200"/>
      <c r="B22" s="1201">
        <v>5254</v>
      </c>
      <c r="C22" s="1202" t="s">
        <v>1916</v>
      </c>
      <c r="D22" s="1203">
        <v>900000</v>
      </c>
      <c r="E22" s="1204">
        <v>0</v>
      </c>
      <c r="F22" s="1203">
        <v>0</v>
      </c>
      <c r="G22" s="1205">
        <v>450000</v>
      </c>
      <c r="H22" s="1204">
        <v>450000</v>
      </c>
      <c r="I22" s="1204">
        <v>0</v>
      </c>
      <c r="J22" s="1206" t="s">
        <v>1899</v>
      </c>
    </row>
    <row r="23" spans="1:10" s="1192" customFormat="1" ht="24" customHeight="1" x14ac:dyDescent="0.2">
      <c r="A23" s="1200"/>
      <c r="B23" s="1201">
        <v>5254</v>
      </c>
      <c r="C23" s="1202" t="s">
        <v>1917</v>
      </c>
      <c r="D23" s="1203">
        <v>600000</v>
      </c>
      <c r="E23" s="1204">
        <v>0</v>
      </c>
      <c r="F23" s="1203">
        <v>0</v>
      </c>
      <c r="G23" s="1205">
        <v>300000</v>
      </c>
      <c r="H23" s="1204">
        <v>300000</v>
      </c>
      <c r="I23" s="1204">
        <v>0</v>
      </c>
      <c r="J23" s="1206" t="s">
        <v>1899</v>
      </c>
    </row>
    <row r="24" spans="1:10" s="1192" customFormat="1" ht="24" customHeight="1" x14ac:dyDescent="0.2">
      <c r="A24" s="1200"/>
      <c r="B24" s="1201"/>
      <c r="C24" s="1202" t="s">
        <v>1918</v>
      </c>
      <c r="D24" s="1203">
        <v>800000</v>
      </c>
      <c r="E24" s="1204">
        <v>0</v>
      </c>
      <c r="F24" s="1203">
        <v>0</v>
      </c>
      <c r="G24" s="1205">
        <v>400000</v>
      </c>
      <c r="H24" s="1204">
        <v>400000</v>
      </c>
      <c r="I24" s="1204">
        <v>0</v>
      </c>
      <c r="J24" s="1206" t="s">
        <v>1899</v>
      </c>
    </row>
    <row r="25" spans="1:10" ht="18" customHeight="1" x14ac:dyDescent="0.2">
      <c r="A25" s="1666" t="s">
        <v>1919</v>
      </c>
      <c r="B25" s="1667"/>
      <c r="C25" s="1667"/>
      <c r="D25" s="1667"/>
      <c r="E25" s="1667"/>
      <c r="F25" s="1667"/>
      <c r="G25" s="1667"/>
      <c r="H25" s="1667"/>
      <c r="I25" s="1667"/>
      <c r="J25" s="1668"/>
    </row>
    <row r="26" spans="1:10" s="1192" customFormat="1" ht="24" customHeight="1" x14ac:dyDescent="0.2">
      <c r="A26" s="1200"/>
      <c r="B26" s="1201"/>
      <c r="C26" s="1202" t="s">
        <v>1920</v>
      </c>
      <c r="D26" s="1203">
        <v>10000000</v>
      </c>
      <c r="E26" s="1204">
        <v>0</v>
      </c>
      <c r="F26" s="1203">
        <v>0</v>
      </c>
      <c r="G26" s="1205">
        <v>4000000</v>
      </c>
      <c r="H26" s="1204">
        <v>6000000</v>
      </c>
      <c r="I26" s="1204">
        <v>0</v>
      </c>
      <c r="J26" s="1206" t="s">
        <v>1921</v>
      </c>
    </row>
    <row r="27" spans="1:10" s="1192" customFormat="1" ht="24" customHeight="1" x14ac:dyDescent="0.2">
      <c r="A27" s="1200"/>
      <c r="B27" s="1201"/>
      <c r="C27" s="1202" t="s">
        <v>1922</v>
      </c>
      <c r="D27" s="1203">
        <v>24200000</v>
      </c>
      <c r="E27" s="1204">
        <v>0</v>
      </c>
      <c r="F27" s="1203">
        <v>0</v>
      </c>
      <c r="G27" s="1205">
        <v>8000000</v>
      </c>
      <c r="H27" s="1204">
        <v>16200000</v>
      </c>
      <c r="I27" s="1204">
        <v>0</v>
      </c>
      <c r="J27" s="1206" t="s">
        <v>1923</v>
      </c>
    </row>
    <row r="28" spans="1:10" s="1192" customFormat="1" ht="24" customHeight="1" x14ac:dyDescent="0.2">
      <c r="A28" s="1200"/>
      <c r="B28" s="1201">
        <v>5758</v>
      </c>
      <c r="C28" s="1202" t="s">
        <v>1924</v>
      </c>
      <c r="D28" s="1203">
        <v>800000</v>
      </c>
      <c r="E28" s="1204">
        <v>0</v>
      </c>
      <c r="F28" s="1203">
        <v>0</v>
      </c>
      <c r="G28" s="1205">
        <v>400000</v>
      </c>
      <c r="H28" s="1204">
        <v>400000</v>
      </c>
      <c r="I28" s="1204">
        <v>0</v>
      </c>
      <c r="J28" s="1206" t="s">
        <v>1899</v>
      </c>
    </row>
    <row r="29" spans="1:10" ht="18" customHeight="1" x14ac:dyDescent="0.2">
      <c r="A29" s="1666"/>
      <c r="B29" s="1667"/>
      <c r="C29" s="1667"/>
      <c r="D29" s="1667"/>
      <c r="E29" s="1667"/>
      <c r="F29" s="1667"/>
      <c r="G29" s="1667"/>
      <c r="H29" s="1667"/>
      <c r="I29" s="1667"/>
      <c r="J29" s="1668"/>
    </row>
    <row r="30" spans="1:10" s="1192" customFormat="1" ht="24" customHeight="1" thickBot="1" x14ac:dyDescent="0.25">
      <c r="A30" s="1200"/>
      <c r="B30" s="1201"/>
      <c r="C30" s="1202" t="s">
        <v>1925</v>
      </c>
      <c r="D30" s="1203">
        <v>28000000</v>
      </c>
      <c r="E30" s="1204">
        <v>0</v>
      </c>
      <c r="F30" s="1203">
        <v>0</v>
      </c>
      <c r="G30" s="1205">
        <v>0</v>
      </c>
      <c r="H30" s="1204">
        <v>28000000</v>
      </c>
      <c r="I30" s="1204"/>
      <c r="J30" s="1206"/>
    </row>
    <row r="31" spans="1:10" s="1192" customFormat="1" ht="18" customHeight="1" thickBot="1" x14ac:dyDescent="0.25">
      <c r="A31" s="1669" t="s">
        <v>1926</v>
      </c>
      <c r="B31" s="1670"/>
      <c r="C31" s="1671"/>
      <c r="D31" s="1207">
        <f t="shared" ref="D31:I31" si="0">SUM(D7:D30)</f>
        <v>152500000</v>
      </c>
      <c r="E31" s="1207">
        <f t="shared" si="0"/>
        <v>0</v>
      </c>
      <c r="F31" s="1207">
        <f t="shared" si="0"/>
        <v>0</v>
      </c>
      <c r="G31" s="1207">
        <f t="shared" si="0"/>
        <v>39650000</v>
      </c>
      <c r="H31" s="1207">
        <f t="shared" si="0"/>
        <v>112362000</v>
      </c>
      <c r="I31" s="1207">
        <f t="shared" si="0"/>
        <v>0</v>
      </c>
      <c r="J31" s="1208"/>
    </row>
  </sheetData>
  <mergeCells count="17">
    <mergeCell ref="A2:J2"/>
    <mergeCell ref="A4:A5"/>
    <mergeCell ref="B4:B5"/>
    <mergeCell ref="C4:C5"/>
    <mergeCell ref="D4:D5"/>
    <mergeCell ref="E4:E5"/>
    <mergeCell ref="F4:F5"/>
    <mergeCell ref="G4:I4"/>
    <mergeCell ref="J4:J5"/>
    <mergeCell ref="A29:J29"/>
    <mergeCell ref="A31:C31"/>
    <mergeCell ref="A6:J6"/>
    <mergeCell ref="A10:J10"/>
    <mergeCell ref="A13:J13"/>
    <mergeCell ref="A15:J15"/>
    <mergeCell ref="A17:J17"/>
    <mergeCell ref="A25:J25"/>
  </mergeCells>
  <pageMargins left="0.39370078740157477" right="0.19685039370078738" top="0.78740157480314954" bottom="0.39370078740157477" header="0.31496062992125984" footer="0.11811023622047245"/>
  <pageSetup paperSize="9" scale="64" orientation="portrait" useFirstPageNumber="1" r:id="rId1"/>
  <headerFooter>
    <oddHeader>&amp;R&amp;"Arial,Regular "&amp;12Příloha č. 3</oddHeader>
    <oddFooter>&amp;C&amp;"Tahoma,Regular "&amp;10&amp;P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2"/>
  </sheetPr>
  <dimension ref="A1:BHH890"/>
  <sheetViews>
    <sheetView tabSelected="1" zoomScaleNormal="100" zoomScaleSheetLayoutView="80" workbookViewId="0">
      <pane ySplit="1245" topLeftCell="A2"/>
      <selection activeCell="I226" sqref="I226"/>
      <selection pane="bottomLeft" activeCell="A4" sqref="A4"/>
    </sheetView>
  </sheetViews>
  <sheetFormatPr defaultColWidth="9.5703125" defaultRowHeight="12.75" x14ac:dyDescent="0.2"/>
  <cols>
    <col min="1" max="1" width="11.85546875" style="1" customWidth="1"/>
    <col min="2" max="2" width="91.85546875" style="1" customWidth="1"/>
    <col min="3" max="4" width="26.85546875" style="1" customWidth="1"/>
    <col min="5" max="5" width="26.7109375" style="1" customWidth="1"/>
    <col min="6" max="6" width="22" style="1" hidden="1" customWidth="1"/>
    <col min="7" max="8" width="10.5703125" style="1" customWidth="1"/>
    <col min="9" max="9" width="12.140625" style="12" customWidth="1"/>
    <col min="10" max="10" width="19.140625" style="1" customWidth="1"/>
    <col min="11" max="16384" width="9.5703125" style="1"/>
  </cols>
  <sheetData>
    <row r="1" spans="1:10" s="12" customFormat="1" ht="49.5" customHeight="1" thickBot="1" x14ac:dyDescent="0.25">
      <c r="A1" s="770" t="s">
        <v>1732</v>
      </c>
      <c r="B1" s="1491" t="s">
        <v>2095</v>
      </c>
      <c r="C1" s="932" t="s">
        <v>1954</v>
      </c>
      <c r="D1" s="932" t="s">
        <v>1959</v>
      </c>
      <c r="E1" s="1223" t="s">
        <v>1955</v>
      </c>
      <c r="F1" s="1222" t="s">
        <v>1958</v>
      </c>
      <c r="G1" s="1223" t="s">
        <v>1952</v>
      </c>
      <c r="H1" s="1223" t="s">
        <v>1953</v>
      </c>
      <c r="I1" s="1223" t="s">
        <v>1960</v>
      </c>
      <c r="J1" s="1235" t="s">
        <v>1961</v>
      </c>
    </row>
    <row r="2" spans="1:10" s="12" customFormat="1" ht="20.25" x14ac:dyDescent="0.3">
      <c r="A2" s="1378"/>
      <c r="B2" s="1379" t="s">
        <v>56</v>
      </c>
      <c r="C2" s="1380"/>
      <c r="D2" s="1380"/>
      <c r="E2" s="1224"/>
      <c r="F2" s="1225"/>
      <c r="G2" s="824"/>
      <c r="H2" s="1226"/>
      <c r="I2" s="1227"/>
    </row>
    <row r="3" spans="1:10" s="107" customFormat="1" ht="18" x14ac:dyDescent="0.25">
      <c r="A3" s="1381"/>
      <c r="B3" s="1382" t="s">
        <v>57</v>
      </c>
      <c r="C3" s="1395">
        <f>C32</f>
        <v>545682000</v>
      </c>
      <c r="D3" s="1395">
        <f>D32</f>
        <v>565149250</v>
      </c>
      <c r="E3" s="1395">
        <f t="shared" ref="E3:I3" si="0">E32</f>
        <v>297417157.41000003</v>
      </c>
      <c r="F3" s="1395"/>
      <c r="G3" s="1395">
        <f t="shared" si="0"/>
        <v>54.503750794418735</v>
      </c>
      <c r="H3" s="1395">
        <f t="shared" si="0"/>
        <v>52.626303124351672</v>
      </c>
      <c r="I3" s="1395">
        <f t="shared" si="0"/>
        <v>109.24957552584948</v>
      </c>
      <c r="J3" s="12"/>
    </row>
    <row r="4" spans="1:10" s="116" customFormat="1" ht="18.75" customHeight="1" x14ac:dyDescent="0.25">
      <c r="A4" s="1383"/>
      <c r="B4" s="1384" t="s">
        <v>10</v>
      </c>
      <c r="C4" s="1393">
        <f>C66</f>
        <v>163957324.72000003</v>
      </c>
      <c r="D4" s="1393">
        <f>D66</f>
        <v>189794148.43000001</v>
      </c>
      <c r="E4" s="1393">
        <f t="shared" ref="E4:I4" si="1">E66</f>
        <v>203617804.81</v>
      </c>
      <c r="F4" s="1393"/>
      <c r="G4" s="1393">
        <f t="shared" si="1"/>
        <v>124.18951404442015</v>
      </c>
      <c r="H4" s="1393">
        <f t="shared" si="1"/>
        <v>107.2834997782339</v>
      </c>
      <c r="I4" s="1393">
        <f t="shared" si="1"/>
        <v>239.96718764646877</v>
      </c>
      <c r="J4" s="1"/>
    </row>
    <row r="5" spans="1:10" s="116" customFormat="1" ht="18.75" customHeight="1" x14ac:dyDescent="0.25">
      <c r="A5" s="1385"/>
      <c r="B5" s="1384" t="s">
        <v>11</v>
      </c>
      <c r="C5" s="1393">
        <f>C165</f>
        <v>72976820.010000005</v>
      </c>
      <c r="D5" s="1393">
        <f>D165</f>
        <v>71051552</v>
      </c>
      <c r="E5" s="1393">
        <f t="shared" ref="E5:I5" si="2">E165</f>
        <v>3001467</v>
      </c>
      <c r="F5" s="1393"/>
      <c r="G5" s="1393">
        <f t="shared" si="2"/>
        <v>4.1129046176425739</v>
      </c>
      <c r="H5" s="1393">
        <f t="shared" si="2"/>
        <v>4.2243510739920218</v>
      </c>
      <c r="I5" s="1393">
        <f t="shared" si="2"/>
        <v>84.922924136526106</v>
      </c>
      <c r="J5" s="1"/>
    </row>
    <row r="6" spans="1:10" s="116" customFormat="1" ht="18.75" customHeight="1" x14ac:dyDescent="0.25">
      <c r="A6" s="1385"/>
      <c r="B6" s="1384" t="s">
        <v>196</v>
      </c>
      <c r="C6" s="1394">
        <f>C185</f>
        <v>56420206.439999998</v>
      </c>
      <c r="D6" s="1394">
        <f>D185</f>
        <v>85639315.75999999</v>
      </c>
      <c r="E6" s="1394">
        <f t="shared" ref="E6:I6" si="3">E185</f>
        <v>62714416.380000003</v>
      </c>
      <c r="F6" s="1394"/>
      <c r="G6" s="1394">
        <f t="shared" si="3"/>
        <v>111.15594985759859</v>
      </c>
      <c r="H6" s="1394">
        <f t="shared" si="3"/>
        <v>73.230870451784199</v>
      </c>
      <c r="I6" s="1394">
        <f t="shared" si="3"/>
        <v>94.923914068078346</v>
      </c>
      <c r="J6" s="1"/>
    </row>
    <row r="7" spans="1:10" s="116" customFormat="1" ht="20.25" x14ac:dyDescent="0.3">
      <c r="A7" s="1386"/>
      <c r="B7" s="1387" t="s">
        <v>13</v>
      </c>
      <c r="C7" s="1461">
        <f>C232</f>
        <v>839036351.17000008</v>
      </c>
      <c r="D7" s="1461">
        <f>D232</f>
        <v>911634266.19000006</v>
      </c>
      <c r="E7" s="1461">
        <f t="shared" ref="E7:I7" si="4">E232</f>
        <v>566750845.60000002</v>
      </c>
      <c r="F7" s="1461"/>
      <c r="G7" s="1461">
        <f t="shared" si="4"/>
        <v>67.547829698878999</v>
      </c>
      <c r="H7" s="1461">
        <f t="shared" si="4"/>
        <v>62.168664191247011</v>
      </c>
      <c r="I7" s="1461">
        <f t="shared" si="4"/>
        <v>132.82458367466842</v>
      </c>
      <c r="J7" s="1"/>
    </row>
    <row r="8" spans="1:10" s="116" customFormat="1" ht="18.75" thickBot="1" x14ac:dyDescent="0.3">
      <c r="A8" s="1388"/>
      <c r="B8" s="1389" t="s">
        <v>14</v>
      </c>
      <c r="C8" s="1460">
        <f>C234</f>
        <v>173504211.83249995</v>
      </c>
      <c r="D8" s="1460">
        <f>D234</f>
        <v>173504211.83249995</v>
      </c>
      <c r="E8" s="1460">
        <f t="shared" ref="E8:I8" si="5">E234</f>
        <v>-167712452.99000001</v>
      </c>
      <c r="F8" s="1460"/>
      <c r="G8" s="1460">
        <f t="shared" si="5"/>
        <v>-96.661891500310503</v>
      </c>
      <c r="H8" s="1460">
        <f t="shared" si="5"/>
        <v>-96.661891500310503</v>
      </c>
      <c r="I8" s="1460">
        <f t="shared" si="5"/>
        <v>208.91654667245518</v>
      </c>
      <c r="J8" s="1"/>
    </row>
    <row r="9" spans="1:10" s="283" customFormat="1" ht="24" customHeight="1" thickBot="1" x14ac:dyDescent="0.45">
      <c r="A9" s="729"/>
      <c r="B9" s="736" t="s">
        <v>15</v>
      </c>
      <c r="C9" s="1462">
        <f>C243</f>
        <v>1012540563.0025001</v>
      </c>
      <c r="D9" s="1462">
        <f>D243</f>
        <v>1085138478.0225</v>
      </c>
      <c r="E9" s="1462">
        <f t="shared" ref="E9:I9" si="6">E243</f>
        <v>399038392.61000001</v>
      </c>
      <c r="F9" s="1462"/>
      <c r="G9" s="1462">
        <f t="shared" si="6"/>
        <v>39.409620433054663</v>
      </c>
      <c r="H9" s="1462">
        <f t="shared" si="6"/>
        <v>36.77303871273525</v>
      </c>
      <c r="I9" s="1462">
        <f t="shared" si="6"/>
        <v>106.01051353184567</v>
      </c>
    </row>
    <row r="10" spans="1:10" s="116" customFormat="1" ht="20.25" x14ac:dyDescent="0.3">
      <c r="A10" s="1390"/>
      <c r="B10" s="1379" t="s">
        <v>257</v>
      </c>
      <c r="C10" s="1466"/>
      <c r="D10" s="1466"/>
      <c r="E10" s="1578"/>
      <c r="F10" s="1578"/>
      <c r="G10" s="1579"/>
      <c r="H10" s="1579"/>
      <c r="I10" s="1579"/>
      <c r="J10" s="1"/>
    </row>
    <row r="11" spans="1:10" s="1465" customFormat="1" ht="15" x14ac:dyDescent="0.2">
      <c r="A11" s="1463"/>
      <c r="B11" s="1464" t="s">
        <v>17</v>
      </c>
      <c r="C11" s="1468">
        <f>C30-C12</f>
        <v>732444521</v>
      </c>
      <c r="D11" s="1468">
        <f>D30-D12</f>
        <v>779176980.78999996</v>
      </c>
      <c r="E11" s="1468">
        <f>E30-E12</f>
        <v>361323057.18000001</v>
      </c>
      <c r="F11" s="1580"/>
      <c r="G11" s="1580">
        <f>E11/C11*100</f>
        <v>49.331116121489835</v>
      </c>
      <c r="H11" s="1580">
        <f>E11/D11*100</f>
        <v>46.372398837252362</v>
      </c>
      <c r="I11" s="1580">
        <f>E11/J11*100</f>
        <v>102.35721694260845</v>
      </c>
      <c r="J11" s="1625">
        <v>353002033.44</v>
      </c>
    </row>
    <row r="12" spans="1:10" s="1465" customFormat="1" ht="15" x14ac:dyDescent="0.2">
      <c r="A12" s="1463"/>
      <c r="B12" s="1464" t="s">
        <v>18</v>
      </c>
      <c r="C12" s="1467">
        <v>280096042</v>
      </c>
      <c r="D12" s="1467">
        <v>305961497.23000002</v>
      </c>
      <c r="E12" s="1231">
        <v>37715335.43</v>
      </c>
      <c r="F12" s="1231"/>
      <c r="G12" s="1580">
        <f>E12/C12*100</f>
        <v>13.465144012995371</v>
      </c>
      <c r="H12" s="1580">
        <f>E12/D12*100</f>
        <v>12.326824051866991</v>
      </c>
      <c r="I12" s="1580">
        <f>E12/J12*100</f>
        <v>161.09440637698378</v>
      </c>
      <c r="J12" s="1625">
        <v>23411946</v>
      </c>
    </row>
    <row r="13" spans="1:10" s="1470" customFormat="1" ht="18" x14ac:dyDescent="0.25">
      <c r="A13" s="1469"/>
      <c r="B13" s="1384" t="s">
        <v>258</v>
      </c>
      <c r="C13" s="1391">
        <f>C245</f>
        <v>90523182</v>
      </c>
      <c r="D13" s="1391">
        <f>D245</f>
        <v>90564543</v>
      </c>
      <c r="E13" s="1391">
        <f t="shared" ref="E13:I13" si="7">E245</f>
        <v>28384340.98</v>
      </c>
      <c r="F13" s="1391"/>
      <c r="G13" s="1391">
        <f t="shared" si="7"/>
        <v>31.355880728982772</v>
      </c>
      <c r="H13" s="1391">
        <f t="shared" si="7"/>
        <v>31.341560438283228</v>
      </c>
      <c r="I13" s="1391">
        <f t="shared" si="7"/>
        <v>120.49887730816025</v>
      </c>
    </row>
    <row r="14" spans="1:10" s="1470" customFormat="1" ht="20.25" customHeight="1" x14ac:dyDescent="0.25">
      <c r="A14" s="1469"/>
      <c r="B14" s="1384" t="s">
        <v>1044</v>
      </c>
      <c r="C14" s="1391">
        <f>C350</f>
        <v>268131950</v>
      </c>
      <c r="D14" s="1391">
        <f>D350</f>
        <v>267381950</v>
      </c>
      <c r="E14" s="1391">
        <f t="shared" ref="E14:I14" si="8">E350</f>
        <v>24866502.440000001</v>
      </c>
      <c r="F14" s="1391"/>
      <c r="G14" s="1391">
        <f t="shared" si="8"/>
        <v>9.2739796357726121</v>
      </c>
      <c r="H14" s="1391">
        <f t="shared" si="8"/>
        <v>9.2999929277200657</v>
      </c>
      <c r="I14" s="1391">
        <f t="shared" si="8"/>
        <v>210.90785694347883</v>
      </c>
    </row>
    <row r="15" spans="1:10" s="1470" customFormat="1" ht="18" x14ac:dyDescent="0.25">
      <c r="A15" s="1471"/>
      <c r="B15" s="1472" t="s">
        <v>31</v>
      </c>
      <c r="C15" s="1392">
        <f>C542</f>
        <v>15000</v>
      </c>
      <c r="D15" s="1392">
        <f>D542</f>
        <v>15000</v>
      </c>
      <c r="E15" s="1392">
        <f t="shared" ref="E15:I15" si="9">E542</f>
        <v>0</v>
      </c>
      <c r="F15" s="1392"/>
      <c r="G15" s="1392">
        <f t="shared" si="9"/>
        <v>0</v>
      </c>
      <c r="H15" s="1392">
        <f t="shared" si="9"/>
        <v>0</v>
      </c>
      <c r="I15" s="1392">
        <f t="shared" si="9"/>
        <v>0</v>
      </c>
    </row>
    <row r="16" spans="1:10" s="1473" customFormat="1" ht="18" x14ac:dyDescent="0.25">
      <c r="A16" s="1384"/>
      <c r="B16" s="1384" t="s">
        <v>1098</v>
      </c>
      <c r="C16" s="1392">
        <f>C545</f>
        <v>15625044</v>
      </c>
      <c r="D16" s="1392">
        <f>D545</f>
        <v>16236396.609999999</v>
      </c>
      <c r="E16" s="1392">
        <f t="shared" ref="E16:I16" si="10">E545</f>
        <v>5723771.7400000002</v>
      </c>
      <c r="F16" s="1392"/>
      <c r="G16" s="1392">
        <f t="shared" si="10"/>
        <v>36.632035980186686</v>
      </c>
      <c r="H16" s="1392">
        <f t="shared" si="10"/>
        <v>35.252721878416843</v>
      </c>
      <c r="I16" s="1392">
        <f t="shared" si="10"/>
        <v>113.60996025769472</v>
      </c>
      <c r="J16" s="1610"/>
    </row>
    <row r="17" spans="1:248" s="1474" customFormat="1" ht="18" x14ac:dyDescent="0.25">
      <c r="A17" s="1471"/>
      <c r="B17" s="1472" t="s">
        <v>33</v>
      </c>
      <c r="C17" s="1392">
        <f>C551</f>
        <v>11266280</v>
      </c>
      <c r="D17" s="1392">
        <f>D551</f>
        <v>11266280</v>
      </c>
      <c r="E17" s="1392">
        <f t="shared" ref="E17:I17" si="11">E551</f>
        <v>5520449.7400000002</v>
      </c>
      <c r="F17" s="1392"/>
      <c r="G17" s="1392">
        <f t="shared" si="11"/>
        <v>48.999756263824437</v>
      </c>
      <c r="H17" s="1392">
        <f t="shared" si="11"/>
        <v>48.999756263824437</v>
      </c>
      <c r="I17" s="1392">
        <f t="shared" si="11"/>
        <v>105.66471240070632</v>
      </c>
      <c r="J17" s="1470"/>
    </row>
    <row r="18" spans="1:248" s="1474" customFormat="1" ht="18" x14ac:dyDescent="0.25">
      <c r="A18" s="1475"/>
      <c r="B18" s="1384" t="s">
        <v>34</v>
      </c>
      <c r="C18" s="1393">
        <f>C560</f>
        <v>162000</v>
      </c>
      <c r="D18" s="1393">
        <f>D560</f>
        <v>162000</v>
      </c>
      <c r="E18" s="1393">
        <f t="shared" ref="E18:I18" si="12">E560</f>
        <v>6830.06</v>
      </c>
      <c r="F18" s="1393"/>
      <c r="G18" s="1393">
        <f t="shared" si="12"/>
        <v>4.2160864197530863</v>
      </c>
      <c r="H18" s="1393">
        <f t="shared" si="12"/>
        <v>4.2160864197530863</v>
      </c>
      <c r="I18" s="1393">
        <f t="shared" si="12"/>
        <v>13.849582285667939</v>
      </c>
      <c r="J18" s="1470"/>
    </row>
    <row r="19" spans="1:248" s="1474" customFormat="1" ht="18" x14ac:dyDescent="0.25">
      <c r="A19" s="1471"/>
      <c r="B19" s="1384" t="s">
        <v>630</v>
      </c>
      <c r="C19" s="1393">
        <f>C564</f>
        <v>1000000</v>
      </c>
      <c r="D19" s="1393">
        <f>D564</f>
        <v>1224000</v>
      </c>
      <c r="E19" s="1393">
        <f t="shared" ref="E19:I19" si="13">E564</f>
        <v>355497.35</v>
      </c>
      <c r="F19" s="1393"/>
      <c r="G19" s="1393">
        <f t="shared" si="13"/>
        <v>35.549734999999998</v>
      </c>
      <c r="H19" s="1393">
        <f t="shared" si="13"/>
        <v>29.043901143790844</v>
      </c>
      <c r="I19" s="1393">
        <f t="shared" si="13"/>
        <v>35.951942321449287</v>
      </c>
      <c r="J19" s="1610"/>
      <c r="K19" s="1473"/>
      <c r="L19" s="1473"/>
      <c r="M19" s="1473"/>
      <c r="N19" s="1473"/>
      <c r="O19" s="1473"/>
      <c r="P19" s="1473"/>
      <c r="Q19" s="1473"/>
      <c r="R19" s="1473"/>
      <c r="S19" s="1473"/>
      <c r="T19" s="1473"/>
      <c r="U19" s="1473"/>
      <c r="V19" s="1473"/>
      <c r="W19" s="1473"/>
      <c r="X19" s="1473"/>
      <c r="Y19" s="1473"/>
      <c r="Z19" s="1473"/>
      <c r="AA19" s="1473"/>
      <c r="AB19" s="1473"/>
      <c r="AC19" s="1473"/>
      <c r="AD19" s="1473"/>
      <c r="AE19" s="1473"/>
      <c r="AF19" s="1473"/>
      <c r="AG19" s="1473"/>
      <c r="AH19" s="1473"/>
      <c r="AI19" s="1473"/>
      <c r="AJ19" s="1473"/>
      <c r="AK19" s="1473"/>
      <c r="AL19" s="1473"/>
      <c r="AM19" s="1473"/>
      <c r="AN19" s="1473"/>
      <c r="AO19" s="1473"/>
      <c r="AP19" s="1473"/>
      <c r="AQ19" s="1473"/>
      <c r="AR19" s="1473"/>
      <c r="AS19" s="1473"/>
      <c r="AT19" s="1473"/>
      <c r="AU19" s="1473"/>
    </row>
    <row r="20" spans="1:248" s="1478" customFormat="1" ht="18" x14ac:dyDescent="0.25">
      <c r="A20" s="1476"/>
      <c r="B20" s="1477" t="s">
        <v>36</v>
      </c>
      <c r="C20" s="1394">
        <f>C568</f>
        <v>112714300</v>
      </c>
      <c r="D20" s="1394">
        <f>D568</f>
        <v>131296914.09999999</v>
      </c>
      <c r="E20" s="1394">
        <f t="shared" ref="E20:I20" si="14">E568</f>
        <v>73172442.230000004</v>
      </c>
      <c r="F20" s="1394"/>
      <c r="G20" s="1394">
        <f t="shared" si="14"/>
        <v>64.918508325917827</v>
      </c>
      <c r="H20" s="1394">
        <f t="shared" si="14"/>
        <v>55.730511818632309</v>
      </c>
      <c r="I20" s="1394">
        <f t="shared" si="14"/>
        <v>105.29251333453517</v>
      </c>
      <c r="J20" s="1611"/>
    </row>
    <row r="21" spans="1:248" s="1470" customFormat="1" ht="21" customHeight="1" x14ac:dyDescent="0.25">
      <c r="A21" s="1381"/>
      <c r="B21" s="1384" t="s">
        <v>716</v>
      </c>
      <c r="C21" s="1392">
        <f>C653</f>
        <v>27924400</v>
      </c>
      <c r="D21" s="1392">
        <f>D653</f>
        <v>27924400</v>
      </c>
      <c r="E21" s="1392">
        <f t="shared" ref="E21:I21" si="15">E653</f>
        <v>12791948.49</v>
      </c>
      <c r="F21" s="1392"/>
      <c r="G21" s="1392">
        <f t="shared" si="15"/>
        <v>45.809215202475258</v>
      </c>
      <c r="H21" s="1392">
        <f t="shared" si="15"/>
        <v>45.809215202475258</v>
      </c>
      <c r="I21" s="1392">
        <f t="shared" si="15"/>
        <v>96.257871315575358</v>
      </c>
    </row>
    <row r="22" spans="1:248" s="1470" customFormat="1" ht="18" x14ac:dyDescent="0.25">
      <c r="A22" s="1381"/>
      <c r="B22" s="1384" t="s">
        <v>719</v>
      </c>
      <c r="C22" s="1393">
        <f>C657</f>
        <v>35630624</v>
      </c>
      <c r="D22" s="1393">
        <f>D657</f>
        <v>35630624</v>
      </c>
      <c r="E22" s="1393">
        <f t="shared" ref="E22:I22" si="16">E657</f>
        <v>16644897.779999999</v>
      </c>
      <c r="F22" s="1393"/>
      <c r="G22" s="1393">
        <f t="shared" si="16"/>
        <v>46.71514531993602</v>
      </c>
      <c r="H22" s="1393">
        <f t="shared" si="16"/>
        <v>46.71514531993602</v>
      </c>
      <c r="I22" s="1393">
        <f t="shared" si="16"/>
        <v>99.786153213539365</v>
      </c>
    </row>
    <row r="23" spans="1:248" s="1470" customFormat="1" ht="18" x14ac:dyDescent="0.25">
      <c r="A23" s="1381"/>
      <c r="B23" s="1384" t="s">
        <v>735</v>
      </c>
      <c r="C23" s="1395">
        <f>C674</f>
        <v>171743160</v>
      </c>
      <c r="D23" s="1395">
        <f>D674</f>
        <v>172842003.99000001</v>
      </c>
      <c r="E23" s="1395">
        <f t="shared" ref="E23:I23" si="17">E674</f>
        <v>75877777.680000007</v>
      </c>
      <c r="F23" s="1395"/>
      <c r="G23" s="1395">
        <f t="shared" si="17"/>
        <v>44.180960499387581</v>
      </c>
      <c r="H23" s="1395">
        <f t="shared" si="17"/>
        <v>43.900079800272394</v>
      </c>
      <c r="I23" s="1395">
        <f t="shared" si="17"/>
        <v>100.98555029636901</v>
      </c>
    </row>
    <row r="24" spans="1:248" s="1470" customFormat="1" ht="18" x14ac:dyDescent="0.25">
      <c r="A24" s="1381"/>
      <c r="B24" s="1384" t="s">
        <v>43</v>
      </c>
      <c r="C24" s="1395">
        <f>C683</f>
        <v>17006123</v>
      </c>
      <c r="D24" s="1395">
        <f>D683</f>
        <v>17065123</v>
      </c>
      <c r="E24" s="1395">
        <f t="shared" ref="E24:I24" si="18">E683</f>
        <v>11539056.880000001</v>
      </c>
      <c r="F24" s="1395"/>
      <c r="G24" s="1395">
        <f t="shared" si="18"/>
        <v>67.852366350637368</v>
      </c>
      <c r="H24" s="1395">
        <f t="shared" si="18"/>
        <v>67.617777381387768</v>
      </c>
      <c r="I24" s="1395">
        <f t="shared" si="18"/>
        <v>91.451387042864724</v>
      </c>
    </row>
    <row r="25" spans="1:248" s="1470" customFormat="1" ht="18" x14ac:dyDescent="0.25">
      <c r="A25" s="1476"/>
      <c r="B25" s="1479" t="s">
        <v>777</v>
      </c>
      <c r="C25" s="1392">
        <f>C714</f>
        <v>19471500</v>
      </c>
      <c r="D25" s="1392">
        <f>D714</f>
        <v>24044500</v>
      </c>
      <c r="E25" s="1392">
        <f t="shared" ref="E25:I25" si="19">E714</f>
        <v>6442331.1100000003</v>
      </c>
      <c r="F25" s="1392"/>
      <c r="G25" s="1392">
        <f t="shared" si="19"/>
        <v>33.085951827029248</v>
      </c>
      <c r="H25" s="1392">
        <f t="shared" si="19"/>
        <v>26.793366923828739</v>
      </c>
      <c r="I25" s="1392">
        <f t="shared" si="19"/>
        <v>96.116022691131391</v>
      </c>
    </row>
    <row r="26" spans="1:248" s="1470" customFormat="1" ht="18" x14ac:dyDescent="0.25">
      <c r="A26" s="1381"/>
      <c r="B26" s="1384" t="s">
        <v>1956</v>
      </c>
      <c r="C26" s="1392">
        <f>C721</f>
        <v>67229000</v>
      </c>
      <c r="D26" s="1392">
        <f>D721</f>
        <v>70566434</v>
      </c>
      <c r="E26" s="1392">
        <f t="shared" ref="E26:I26" si="20">E721</f>
        <v>32162110.5</v>
      </c>
      <c r="F26" s="1392"/>
      <c r="G26" s="1392">
        <f t="shared" si="20"/>
        <v>47.839638400095197</v>
      </c>
      <c r="H26" s="1392">
        <f t="shared" si="20"/>
        <v>45.577066427928045</v>
      </c>
      <c r="I26" s="1392">
        <f t="shared" si="20"/>
        <v>86.387014401900302</v>
      </c>
    </row>
    <row r="27" spans="1:248" s="1470" customFormat="1" ht="18" x14ac:dyDescent="0.25">
      <c r="A27" s="1396"/>
      <c r="B27" s="1472" t="s">
        <v>803</v>
      </c>
      <c r="C27" s="1480">
        <f>C745</f>
        <v>136758000</v>
      </c>
      <c r="D27" s="1480">
        <f>D745</f>
        <v>136758000</v>
      </c>
      <c r="E27" s="1480">
        <f t="shared" ref="E27:I27" si="21">E745</f>
        <v>54879283.859999999</v>
      </c>
      <c r="F27" s="1480"/>
      <c r="G27" s="1480">
        <f t="shared" si="21"/>
        <v>40.128755802219978</v>
      </c>
      <c r="H27" s="1480">
        <f t="shared" si="21"/>
        <v>40.128755802219978</v>
      </c>
      <c r="I27" s="1480">
        <f t="shared" si="21"/>
        <v>100.65212094639044</v>
      </c>
      <c r="J27" s="1481"/>
      <c r="K27" s="1481"/>
      <c r="L27" s="1481"/>
      <c r="M27" s="1481"/>
      <c r="N27" s="1481"/>
      <c r="O27" s="1481"/>
      <c r="P27" s="1481"/>
      <c r="Q27" s="1481"/>
      <c r="R27" s="1481"/>
      <c r="S27" s="1481"/>
      <c r="T27" s="1481"/>
      <c r="U27" s="1481"/>
      <c r="V27" s="1481"/>
      <c r="W27" s="1481"/>
      <c r="X27" s="1481"/>
      <c r="Y27" s="1481"/>
      <c r="Z27" s="1481"/>
      <c r="AA27" s="1481"/>
      <c r="AB27" s="1481"/>
      <c r="AC27" s="1481"/>
      <c r="AD27" s="1481"/>
      <c r="AE27" s="1481"/>
      <c r="AF27" s="1481"/>
      <c r="AG27" s="1481"/>
      <c r="AH27" s="1481"/>
      <c r="AI27" s="1481"/>
      <c r="AJ27" s="1481"/>
      <c r="AK27" s="1481"/>
      <c r="AL27" s="1481"/>
      <c r="AM27" s="1481"/>
      <c r="AN27" s="1481"/>
      <c r="AO27" s="1481"/>
      <c r="AP27" s="1481"/>
      <c r="AQ27" s="1481"/>
      <c r="AR27" s="1481"/>
      <c r="AS27" s="1481"/>
      <c r="AT27" s="1481"/>
      <c r="AU27" s="1481"/>
      <c r="AV27" s="1481"/>
      <c r="AW27" s="1481"/>
      <c r="AX27" s="1481"/>
      <c r="AY27" s="1481"/>
      <c r="AZ27" s="1481"/>
      <c r="BA27" s="1481"/>
      <c r="BB27" s="1481"/>
      <c r="BC27" s="1481"/>
      <c r="BD27" s="1481"/>
      <c r="BE27" s="1481"/>
      <c r="BF27" s="1481"/>
      <c r="BG27" s="1481"/>
      <c r="BH27" s="1481"/>
      <c r="BI27" s="1481"/>
      <c r="BJ27" s="1481"/>
      <c r="BK27" s="1481"/>
      <c r="BL27" s="1481"/>
      <c r="BM27" s="1481"/>
      <c r="BN27" s="1481"/>
      <c r="BO27" s="1481"/>
      <c r="BP27" s="1481"/>
      <c r="BQ27" s="1481"/>
      <c r="BR27" s="1481"/>
      <c r="BS27" s="1481"/>
      <c r="BT27" s="1481"/>
      <c r="BU27" s="1481"/>
      <c r="BV27" s="1481"/>
      <c r="BW27" s="1481"/>
      <c r="BX27" s="1481"/>
      <c r="BY27" s="1481"/>
      <c r="BZ27" s="1481"/>
      <c r="CA27" s="1481"/>
      <c r="CB27" s="1481"/>
      <c r="CC27" s="1481"/>
      <c r="CD27" s="1481"/>
      <c r="CE27" s="1481"/>
      <c r="CF27" s="1481"/>
      <c r="CG27" s="1481"/>
      <c r="CH27" s="1481"/>
      <c r="CI27" s="1481"/>
      <c r="CJ27" s="1481"/>
      <c r="CK27" s="1481"/>
      <c r="CL27" s="1481"/>
      <c r="CM27" s="1481"/>
      <c r="CN27" s="1481"/>
      <c r="CO27" s="1481"/>
      <c r="CP27" s="1481"/>
      <c r="CQ27" s="1481"/>
      <c r="CR27" s="1481"/>
      <c r="CS27" s="1481"/>
      <c r="CT27" s="1481"/>
      <c r="CU27" s="1481"/>
      <c r="CV27" s="1481"/>
      <c r="CW27" s="1481"/>
      <c r="CX27" s="1481"/>
      <c r="CY27" s="1481"/>
      <c r="CZ27" s="1481"/>
      <c r="DA27" s="1481"/>
      <c r="DB27" s="1481"/>
      <c r="DC27" s="1481"/>
      <c r="DD27" s="1481"/>
      <c r="DE27" s="1481"/>
      <c r="DF27" s="1481"/>
      <c r="DG27" s="1481"/>
      <c r="DH27" s="1481"/>
      <c r="DI27" s="1481"/>
      <c r="DJ27" s="1481"/>
      <c r="DK27" s="1481"/>
      <c r="DL27" s="1481"/>
      <c r="DM27" s="1481"/>
      <c r="DN27" s="1481"/>
      <c r="DO27" s="1481"/>
      <c r="DP27" s="1481"/>
      <c r="DQ27" s="1481"/>
      <c r="DR27" s="1481"/>
      <c r="DS27" s="1481"/>
      <c r="DT27" s="1481"/>
      <c r="DU27" s="1481"/>
      <c r="DV27" s="1481"/>
      <c r="DW27" s="1481"/>
      <c r="DX27" s="1481"/>
      <c r="DY27" s="1481"/>
      <c r="DZ27" s="1481"/>
      <c r="EA27" s="1481"/>
      <c r="EB27" s="1481"/>
      <c r="EC27" s="1481"/>
      <c r="ED27" s="1481"/>
      <c r="EE27" s="1481"/>
      <c r="EF27" s="1481"/>
      <c r="EG27" s="1481"/>
      <c r="EH27" s="1481"/>
      <c r="EI27" s="1481"/>
      <c r="EJ27" s="1481"/>
      <c r="EK27" s="1481"/>
      <c r="EL27" s="1481"/>
      <c r="EM27" s="1481"/>
      <c r="EN27" s="1481"/>
      <c r="EO27" s="1481"/>
      <c r="EP27" s="1481"/>
      <c r="EQ27" s="1481"/>
      <c r="ER27" s="1481"/>
      <c r="ES27" s="1481"/>
      <c r="ET27" s="1481"/>
      <c r="EU27" s="1481"/>
      <c r="EV27" s="1481"/>
      <c r="EW27" s="1481"/>
      <c r="EX27" s="1481"/>
      <c r="EY27" s="1481"/>
      <c r="EZ27" s="1481"/>
      <c r="FA27" s="1481"/>
      <c r="FB27" s="1481"/>
      <c r="FC27" s="1481"/>
      <c r="FD27" s="1481"/>
      <c r="FE27" s="1481"/>
      <c r="FF27" s="1481"/>
      <c r="FG27" s="1481"/>
      <c r="FH27" s="1481"/>
      <c r="FI27" s="1481"/>
      <c r="FJ27" s="1481"/>
      <c r="FK27" s="1481"/>
      <c r="FL27" s="1481"/>
      <c r="FM27" s="1481"/>
      <c r="FN27" s="1481"/>
      <c r="FO27" s="1481"/>
      <c r="FP27" s="1481"/>
      <c r="FQ27" s="1481"/>
      <c r="FR27" s="1481"/>
      <c r="FS27" s="1481"/>
      <c r="FT27" s="1481"/>
      <c r="FU27" s="1481"/>
      <c r="FV27" s="1481"/>
      <c r="FW27" s="1481"/>
      <c r="FX27" s="1481"/>
      <c r="FY27" s="1481"/>
      <c r="FZ27" s="1481"/>
      <c r="GA27" s="1481"/>
      <c r="GB27" s="1481"/>
      <c r="GC27" s="1481"/>
      <c r="GD27" s="1481"/>
      <c r="GE27" s="1481"/>
      <c r="GF27" s="1481"/>
      <c r="GG27" s="1481"/>
      <c r="GH27" s="1481"/>
      <c r="GI27" s="1481"/>
      <c r="GJ27" s="1481"/>
      <c r="GK27" s="1481"/>
      <c r="GL27" s="1481"/>
      <c r="GM27" s="1481"/>
      <c r="GN27" s="1481"/>
      <c r="GO27" s="1481"/>
      <c r="GP27" s="1481"/>
      <c r="GQ27" s="1481"/>
      <c r="GR27" s="1481"/>
      <c r="GS27" s="1481"/>
      <c r="GT27" s="1481"/>
      <c r="GU27" s="1481"/>
      <c r="GV27" s="1481"/>
      <c r="GW27" s="1481"/>
      <c r="GX27" s="1481"/>
      <c r="GY27" s="1481"/>
      <c r="GZ27" s="1481"/>
      <c r="HA27" s="1481"/>
      <c r="HB27" s="1481"/>
      <c r="HC27" s="1481"/>
      <c r="HD27" s="1481"/>
      <c r="HE27" s="1481"/>
      <c r="HF27" s="1481"/>
      <c r="HG27" s="1481"/>
      <c r="HH27" s="1481"/>
      <c r="HI27" s="1481"/>
      <c r="HJ27" s="1481"/>
      <c r="HK27" s="1481"/>
      <c r="HL27" s="1481"/>
      <c r="HM27" s="1481"/>
      <c r="HN27" s="1481"/>
      <c r="HO27" s="1481"/>
      <c r="HP27" s="1481"/>
      <c r="HQ27" s="1481"/>
      <c r="HR27" s="1481"/>
      <c r="HS27" s="1481"/>
      <c r="HT27" s="1481"/>
      <c r="HU27" s="1481"/>
      <c r="HV27" s="1481"/>
      <c r="HW27" s="1481"/>
      <c r="HX27" s="1481"/>
      <c r="HY27" s="1481"/>
      <c r="HZ27" s="1481"/>
      <c r="IA27" s="1481"/>
      <c r="IB27" s="1481"/>
      <c r="IC27" s="1481"/>
      <c r="ID27" s="1481"/>
      <c r="IE27" s="1481"/>
      <c r="IF27" s="1481"/>
      <c r="IG27" s="1481"/>
      <c r="IH27" s="1481"/>
      <c r="II27" s="1481"/>
      <c r="IJ27" s="1481"/>
      <c r="IK27" s="1481"/>
      <c r="IL27" s="1481"/>
      <c r="IM27" s="1481"/>
      <c r="IN27" s="1481"/>
    </row>
    <row r="28" spans="1:248" s="1483" customFormat="1" ht="18" x14ac:dyDescent="0.25">
      <c r="A28" s="1384"/>
      <c r="B28" s="1482" t="s">
        <v>52</v>
      </c>
      <c r="C28" s="1392">
        <f>C854</f>
        <v>350000</v>
      </c>
      <c r="D28" s="1392">
        <f>D854</f>
        <v>350000</v>
      </c>
      <c r="E28" s="1392">
        <f t="shared" ref="E28:I28" si="22">E854</f>
        <v>18150</v>
      </c>
      <c r="F28" s="1392"/>
      <c r="G28" s="1392">
        <f t="shared" si="22"/>
        <v>5.1857142857142859</v>
      </c>
      <c r="H28" s="1392">
        <f t="shared" si="22"/>
        <v>5.1857142857142859</v>
      </c>
      <c r="I28" s="1392">
        <f t="shared" si="22"/>
        <v>11.778066190785204</v>
      </c>
      <c r="IH28" s="1474"/>
      <c r="II28" s="1474"/>
      <c r="IJ28" s="1474"/>
      <c r="IK28" s="1474"/>
      <c r="IL28" s="1474"/>
      <c r="IM28" s="1474"/>
      <c r="IN28" s="1474"/>
    </row>
    <row r="29" spans="1:248" s="1474" customFormat="1" ht="18.75" thickBot="1" x14ac:dyDescent="0.3">
      <c r="A29" s="1389"/>
      <c r="B29" s="1484" t="s">
        <v>54</v>
      </c>
      <c r="C29" s="1485">
        <f>C862</f>
        <v>36990000</v>
      </c>
      <c r="D29" s="1485">
        <f>D862</f>
        <v>81810309.319999993</v>
      </c>
      <c r="E29" s="1485">
        <f t="shared" ref="E29:I29" si="23">E862</f>
        <v>50399587.770000003</v>
      </c>
      <c r="F29" s="1485"/>
      <c r="G29" s="1485">
        <f t="shared" si="23"/>
        <v>136.25192692619629</v>
      </c>
      <c r="H29" s="1485">
        <f t="shared" si="23"/>
        <v>61.605423801617285</v>
      </c>
      <c r="I29" s="1485">
        <f t="shared" si="23"/>
        <v>114.03636222103411</v>
      </c>
      <c r="J29" s="1470"/>
    </row>
    <row r="30" spans="1:248" s="116" customFormat="1" ht="24" thickBot="1" x14ac:dyDescent="0.4">
      <c r="A30" s="734"/>
      <c r="B30" s="734" t="s">
        <v>55</v>
      </c>
      <c r="C30" s="715">
        <f>C882</f>
        <v>1012540563</v>
      </c>
      <c r="D30" s="715">
        <f>D882</f>
        <v>1085138478.02</v>
      </c>
      <c r="E30" s="1232">
        <f>E882</f>
        <v>399038392.61000001</v>
      </c>
      <c r="F30" s="1233"/>
      <c r="G30" s="1232">
        <f>G882</f>
        <v>39.409620433151971</v>
      </c>
      <c r="H30" s="1232">
        <f>H882</f>
        <v>36.773038712819975</v>
      </c>
      <c r="I30" s="1232">
        <f>I882</f>
        <v>106.01051353184567</v>
      </c>
      <c r="J30" s="1"/>
    </row>
    <row r="31" spans="1:248" s="12" customFormat="1" ht="22.5" customHeight="1" thickBot="1" x14ac:dyDescent="0.35">
      <c r="A31" s="771"/>
      <c r="B31" s="783" t="s">
        <v>56</v>
      </c>
      <c r="C31" s="860"/>
      <c r="D31" s="860"/>
      <c r="E31" s="1234"/>
      <c r="F31" s="1235"/>
      <c r="G31" s="1234"/>
      <c r="H31" s="1234"/>
      <c r="I31" s="1236"/>
    </row>
    <row r="32" spans="1:248" s="107" customFormat="1" ht="18.75" thickBot="1" x14ac:dyDescent="0.3">
      <c r="A32" s="822"/>
      <c r="B32" s="784" t="s">
        <v>57</v>
      </c>
      <c r="C32" s="962">
        <f t="shared" ref="C32:D32" si="24">SUM(C33:C44,C48:C53,C60:C64)</f>
        <v>545682000</v>
      </c>
      <c r="D32" s="962">
        <f t="shared" si="24"/>
        <v>565149250</v>
      </c>
      <c r="E32" s="1609">
        <v>297417157.41000003</v>
      </c>
      <c r="F32" s="1623">
        <f>SUM(E33:E44,E48:E53,E60:E64)</f>
        <v>297417157.40999997</v>
      </c>
      <c r="G32" s="1609">
        <f>E32/C32*100</f>
        <v>54.503750794418735</v>
      </c>
      <c r="H32" s="1609">
        <f>E32/D32*100</f>
        <v>52.626303124351672</v>
      </c>
      <c r="I32" s="1624">
        <f>E32/J32*100</f>
        <v>109.24957552584948</v>
      </c>
      <c r="J32" s="1179">
        <v>272236442.08999997</v>
      </c>
    </row>
    <row r="33" spans="1:10" s="107" customFormat="1" ht="12.75" customHeight="1" x14ac:dyDescent="0.2">
      <c r="A33" s="823">
        <v>1111</v>
      </c>
      <c r="B33" s="785" t="s">
        <v>1322</v>
      </c>
      <c r="C33" s="963">
        <v>76180000</v>
      </c>
      <c r="D33" s="963">
        <v>76180000</v>
      </c>
      <c r="E33" s="824">
        <v>36440982.93</v>
      </c>
      <c r="F33" s="1226"/>
      <c r="G33" s="1240">
        <f>E33/C33*100</f>
        <v>47.835367458650566</v>
      </c>
      <c r="H33" s="1241">
        <f>E33/D33*100</f>
        <v>47.835367458650566</v>
      </c>
      <c r="I33" s="1242">
        <f>E33/J33*100</f>
        <v>107.56648489081277</v>
      </c>
      <c r="J33" s="1179">
        <v>33877636.670000002</v>
      </c>
    </row>
    <row r="34" spans="1:10" s="116" customFormat="1" ht="12.75" customHeight="1" x14ac:dyDescent="0.2">
      <c r="A34" s="725">
        <v>1111</v>
      </c>
      <c r="B34" s="760" t="s">
        <v>1217</v>
      </c>
      <c r="C34" s="964">
        <v>7440000</v>
      </c>
      <c r="D34" s="964">
        <v>7440000</v>
      </c>
      <c r="E34" s="825">
        <v>3547633.11</v>
      </c>
      <c r="F34" s="1243"/>
      <c r="G34" s="825">
        <f>E34/C34*100</f>
        <v>47.683240725806449</v>
      </c>
      <c r="H34" s="1244">
        <f>E34/D34*100</f>
        <v>47.683240725806449</v>
      </c>
      <c r="I34" s="1245">
        <f>E34/J34*100</f>
        <v>117.59334017679348</v>
      </c>
      <c r="J34" s="1520">
        <v>3016865.67</v>
      </c>
    </row>
    <row r="35" spans="1:10" s="116" customFormat="1" ht="12.75" customHeight="1" x14ac:dyDescent="0.2">
      <c r="A35" s="725">
        <v>1112</v>
      </c>
      <c r="B35" s="760" t="s">
        <v>1216</v>
      </c>
      <c r="C35" s="964">
        <v>5470000</v>
      </c>
      <c r="D35" s="964">
        <v>5470000</v>
      </c>
      <c r="E35" s="826">
        <v>1107346.28</v>
      </c>
      <c r="F35" s="1246"/>
      <c r="G35" s="825">
        <f t="shared" ref="G35:G54" si="25">E35/C35*100</f>
        <v>20.243990493601462</v>
      </c>
      <c r="H35" s="1244">
        <f t="shared" ref="H35:H54" si="26">E35/D35*100</f>
        <v>20.243990493601462</v>
      </c>
      <c r="I35" s="1245">
        <f t="shared" ref="I35:I59" si="27">E35/J35*100</f>
        <v>98.250606299266039</v>
      </c>
      <c r="J35" s="1499">
        <v>1127063.05</v>
      </c>
    </row>
    <row r="36" spans="1:10" s="116" customFormat="1" ht="12.75" customHeight="1" x14ac:dyDescent="0.2">
      <c r="A36" s="725">
        <v>1113</v>
      </c>
      <c r="B36" s="760" t="s">
        <v>1218</v>
      </c>
      <c r="C36" s="964">
        <v>14850000</v>
      </c>
      <c r="D36" s="964">
        <v>14850000</v>
      </c>
      <c r="E36" s="826">
        <v>8200204.9000000004</v>
      </c>
      <c r="F36" s="1246"/>
      <c r="G36" s="825">
        <f t="shared" si="25"/>
        <v>55.220235016835019</v>
      </c>
      <c r="H36" s="1244">
        <f t="shared" si="26"/>
        <v>55.220235016835019</v>
      </c>
      <c r="I36" s="1245">
        <f t="shared" si="27"/>
        <v>104.69425820258793</v>
      </c>
      <c r="J36" s="1499">
        <v>7832525.9100000001</v>
      </c>
    </row>
    <row r="37" spans="1:10" s="116" customFormat="1" ht="12.75" customHeight="1" x14ac:dyDescent="0.2">
      <c r="A37" s="725">
        <v>1121</v>
      </c>
      <c r="B37" s="760" t="s">
        <v>1219</v>
      </c>
      <c r="C37" s="964">
        <f>119931345-1345</f>
        <v>119930000</v>
      </c>
      <c r="D37" s="964">
        <f>119931345-1345</f>
        <v>119930000</v>
      </c>
      <c r="E37" s="826">
        <v>45151912.600000001</v>
      </c>
      <c r="F37" s="1246"/>
      <c r="G37" s="825">
        <f t="shared" si="25"/>
        <v>37.648555490702911</v>
      </c>
      <c r="H37" s="1244">
        <f t="shared" si="26"/>
        <v>37.648555490702911</v>
      </c>
      <c r="I37" s="1245">
        <f t="shared" si="27"/>
        <v>97.599450829445871</v>
      </c>
      <c r="J37" s="1520">
        <v>46262465.840000004</v>
      </c>
    </row>
    <row r="38" spans="1:10" s="116" customFormat="1" ht="25.5" customHeight="1" x14ac:dyDescent="0.2">
      <c r="A38" s="725">
        <v>1122</v>
      </c>
      <c r="B38" s="723" t="s">
        <v>1221</v>
      </c>
      <c r="C38" s="701">
        <v>30000000</v>
      </c>
      <c r="D38" s="701">
        <f>30000000+16435050</f>
        <v>46435050</v>
      </c>
      <c r="E38" s="701">
        <v>46435050</v>
      </c>
      <c r="F38" s="707"/>
      <c r="G38" s="825">
        <f t="shared" si="25"/>
        <v>154.7835</v>
      </c>
      <c r="H38" s="1244">
        <f t="shared" si="26"/>
        <v>100</v>
      </c>
      <c r="I38" s="1247">
        <f t="shared" si="27"/>
        <v>155.04345619488674</v>
      </c>
      <c r="J38" s="1520">
        <v>29949700</v>
      </c>
    </row>
    <row r="39" spans="1:10" s="116" customFormat="1" ht="12.75" customHeight="1" x14ac:dyDescent="0.2">
      <c r="A39" s="725">
        <v>1211</v>
      </c>
      <c r="B39" s="760" t="s">
        <v>1220</v>
      </c>
      <c r="C39" s="826">
        <v>233630000</v>
      </c>
      <c r="D39" s="826">
        <v>233630000</v>
      </c>
      <c r="E39" s="826">
        <v>109432940.09</v>
      </c>
      <c r="F39" s="1246"/>
      <c r="G39" s="825">
        <f t="shared" si="25"/>
        <v>46.840277400162648</v>
      </c>
      <c r="H39" s="1244">
        <f t="shared" si="26"/>
        <v>46.840277400162648</v>
      </c>
      <c r="I39" s="1245">
        <f t="shared" si="27"/>
        <v>98.421137222765253</v>
      </c>
      <c r="J39" s="1520">
        <v>111188453.19</v>
      </c>
    </row>
    <row r="40" spans="1:10" s="116" customFormat="1" ht="25.5" x14ac:dyDescent="0.2">
      <c r="A40" s="725">
        <v>1334</v>
      </c>
      <c r="B40" s="723" t="s">
        <v>1222</v>
      </c>
      <c r="C40" s="870">
        <v>50000</v>
      </c>
      <c r="D40" s="870">
        <v>50000</v>
      </c>
      <c r="E40" s="1218">
        <v>21778.7</v>
      </c>
      <c r="F40" s="1163"/>
      <c r="G40" s="825">
        <f t="shared" si="25"/>
        <v>43.557400000000001</v>
      </c>
      <c r="H40" s="1244">
        <f t="shared" si="26"/>
        <v>43.557400000000001</v>
      </c>
      <c r="I40" s="1247">
        <f t="shared" si="27"/>
        <v>55.513865275253558</v>
      </c>
      <c r="J40" s="1617">
        <v>39231.1</v>
      </c>
    </row>
    <row r="41" spans="1:10" s="116" customFormat="1" x14ac:dyDescent="0.2">
      <c r="A41" s="725">
        <v>1335</v>
      </c>
      <c r="B41" s="760" t="s">
        <v>1223</v>
      </c>
      <c r="C41" s="870">
        <v>2000</v>
      </c>
      <c r="D41" s="870">
        <v>2000</v>
      </c>
      <c r="E41" s="1218">
        <v>2133.88</v>
      </c>
      <c r="F41" s="1163"/>
      <c r="G41" s="825">
        <f t="shared" si="25"/>
        <v>106.694</v>
      </c>
      <c r="H41" s="1244">
        <f t="shared" si="26"/>
        <v>106.694</v>
      </c>
      <c r="I41" s="1245">
        <f t="shared" si="27"/>
        <v>120.01304807540889</v>
      </c>
      <c r="J41" s="1520">
        <v>1778.04</v>
      </c>
    </row>
    <row r="42" spans="1:10" s="116" customFormat="1" x14ac:dyDescent="0.2">
      <c r="A42" s="725">
        <v>1336</v>
      </c>
      <c r="B42" s="760" t="s">
        <v>1224</v>
      </c>
      <c r="C42" s="870">
        <v>0</v>
      </c>
      <c r="D42" s="870">
        <f>32200</f>
        <v>32200</v>
      </c>
      <c r="E42" s="1218">
        <v>32200</v>
      </c>
      <c r="F42" s="1163"/>
      <c r="G42" s="825">
        <v>0</v>
      </c>
      <c r="H42" s="1244">
        <f t="shared" si="26"/>
        <v>100</v>
      </c>
      <c r="I42" s="1245">
        <f t="shared" si="27"/>
        <v>383.33333333333337</v>
      </c>
      <c r="J42" s="1520">
        <v>8400</v>
      </c>
    </row>
    <row r="43" spans="1:10" s="116" customFormat="1" x14ac:dyDescent="0.2">
      <c r="A43" s="725">
        <v>1341</v>
      </c>
      <c r="B43" s="760" t="s">
        <v>1734</v>
      </c>
      <c r="C43" s="870">
        <v>600000</v>
      </c>
      <c r="D43" s="870">
        <v>600000</v>
      </c>
      <c r="E43" s="1218">
        <v>515336.37</v>
      </c>
      <c r="F43" s="1163"/>
      <c r="G43" s="825">
        <f t="shared" si="25"/>
        <v>85.889395000000007</v>
      </c>
      <c r="H43" s="1244">
        <f t="shared" si="26"/>
        <v>85.889395000000007</v>
      </c>
      <c r="I43" s="1245">
        <f t="shared" si="27"/>
        <v>94.371936276024641</v>
      </c>
      <c r="J43" s="1520">
        <v>546069.51</v>
      </c>
    </row>
    <row r="44" spans="1:10" s="116" customFormat="1" x14ac:dyDescent="0.2">
      <c r="A44" s="725">
        <v>1343</v>
      </c>
      <c r="B44" s="760" t="s">
        <v>1225</v>
      </c>
      <c r="C44" s="717">
        <f t="shared" ref="C44:D44" si="28">SUM(C45:C47)</f>
        <v>425000</v>
      </c>
      <c r="D44" s="717">
        <f t="shared" si="28"/>
        <v>425000</v>
      </c>
      <c r="E44" s="717">
        <v>185634</v>
      </c>
      <c r="F44" s="759">
        <f>SUM(E45:E47)</f>
        <v>185634</v>
      </c>
      <c r="G44" s="825">
        <f t="shared" si="25"/>
        <v>43.678588235294121</v>
      </c>
      <c r="H44" s="1244">
        <f t="shared" si="26"/>
        <v>43.678588235294121</v>
      </c>
      <c r="I44" s="1245">
        <f t="shared" si="27"/>
        <v>63.604436419205292</v>
      </c>
      <c r="J44" s="1520">
        <v>291857</v>
      </c>
    </row>
    <row r="45" spans="1:10" x14ac:dyDescent="0.2">
      <c r="A45" s="827"/>
      <c r="B45" s="761" t="s">
        <v>1226</v>
      </c>
      <c r="C45" s="871">
        <v>250000</v>
      </c>
      <c r="D45" s="871">
        <v>250000</v>
      </c>
      <c r="E45" s="1163">
        <v>137758</v>
      </c>
      <c r="F45" s="1163"/>
      <c r="G45" s="1243">
        <f t="shared" si="25"/>
        <v>55.103199999999994</v>
      </c>
      <c r="H45" s="1248">
        <f t="shared" si="26"/>
        <v>55.103199999999994</v>
      </c>
      <c r="I45" s="1249">
        <f t="shared" si="27"/>
        <v>65.134730043452151</v>
      </c>
      <c r="J45" s="1520">
        <v>211497</v>
      </c>
    </row>
    <row r="46" spans="1:10" x14ac:dyDescent="0.2">
      <c r="A46" s="727"/>
      <c r="B46" s="761" t="s">
        <v>1402</v>
      </c>
      <c r="C46" s="871">
        <v>90000</v>
      </c>
      <c r="D46" s="871">
        <v>90000</v>
      </c>
      <c r="E46" s="1163">
        <v>18502</v>
      </c>
      <c r="F46" s="1163"/>
      <c r="G46" s="1243">
        <f t="shared" si="25"/>
        <v>20.557777777777776</v>
      </c>
      <c r="H46" s="1248">
        <f t="shared" si="26"/>
        <v>20.557777777777776</v>
      </c>
      <c r="I46" s="1249">
        <f t="shared" si="27"/>
        <v>467.22222222222223</v>
      </c>
      <c r="J46" s="1520">
        <v>3960</v>
      </c>
    </row>
    <row r="47" spans="1:10" x14ac:dyDescent="0.2">
      <c r="A47" s="727"/>
      <c r="B47" s="761" t="s">
        <v>1403</v>
      </c>
      <c r="C47" s="871">
        <v>85000</v>
      </c>
      <c r="D47" s="871">
        <v>85000</v>
      </c>
      <c r="E47" s="1163">
        <v>29374</v>
      </c>
      <c r="F47" s="1163"/>
      <c r="G47" s="1243">
        <f t="shared" si="25"/>
        <v>34.557647058823534</v>
      </c>
      <c r="H47" s="1248">
        <f t="shared" si="26"/>
        <v>34.557647058823534</v>
      </c>
      <c r="I47" s="1249">
        <f t="shared" si="27"/>
        <v>38.447643979057595</v>
      </c>
      <c r="J47" s="1520">
        <v>76400</v>
      </c>
    </row>
    <row r="48" spans="1:10" ht="25.5" x14ac:dyDescent="0.2">
      <c r="A48" s="828">
        <v>1345</v>
      </c>
      <c r="B48" s="722" t="s">
        <v>1735</v>
      </c>
      <c r="C48" s="870">
        <v>17500000</v>
      </c>
      <c r="D48" s="870">
        <v>17500000</v>
      </c>
      <c r="E48" s="1218">
        <v>14788057.289999999</v>
      </c>
      <c r="F48" s="1163"/>
      <c r="G48" s="825">
        <f t="shared" si="25"/>
        <v>84.503184514285707</v>
      </c>
      <c r="H48" s="1244">
        <f t="shared" si="26"/>
        <v>84.503184514285707</v>
      </c>
      <c r="I48" s="1247">
        <f t="shared" si="27"/>
        <v>133.50032325270021</v>
      </c>
      <c r="J48" s="1617">
        <v>11077169.65</v>
      </c>
    </row>
    <row r="49" spans="1:1568" s="107" customFormat="1" ht="24.75" x14ac:dyDescent="0.2">
      <c r="A49" s="725">
        <v>1346</v>
      </c>
      <c r="B49" s="723" t="s">
        <v>1227</v>
      </c>
      <c r="C49" s="870">
        <v>180000</v>
      </c>
      <c r="D49" s="870">
        <v>180000</v>
      </c>
      <c r="E49" s="1218">
        <v>150600</v>
      </c>
      <c r="F49" s="1163"/>
      <c r="G49" s="825">
        <f t="shared" si="25"/>
        <v>83.666666666666671</v>
      </c>
      <c r="H49" s="1244">
        <f t="shared" si="26"/>
        <v>83.666666666666671</v>
      </c>
      <c r="I49" s="1247">
        <f t="shared" si="27"/>
        <v>85.132843414358391</v>
      </c>
      <c r="J49" s="1612">
        <v>176900</v>
      </c>
    </row>
    <row r="50" spans="1:1568" s="107" customFormat="1" x14ac:dyDescent="0.2">
      <c r="A50" s="725">
        <v>1353</v>
      </c>
      <c r="B50" s="760" t="s">
        <v>1228</v>
      </c>
      <c r="C50" s="940">
        <v>750000</v>
      </c>
      <c r="D50" s="940">
        <v>750000</v>
      </c>
      <c r="E50" s="1218">
        <v>538600</v>
      </c>
      <c r="F50" s="1163"/>
      <c r="G50" s="825">
        <f t="shared" si="25"/>
        <v>71.813333333333333</v>
      </c>
      <c r="H50" s="1244">
        <f t="shared" si="26"/>
        <v>71.813333333333333</v>
      </c>
      <c r="I50" s="1245">
        <f t="shared" si="27"/>
        <v>135.66750629722921</v>
      </c>
      <c r="J50" s="1179">
        <v>397000</v>
      </c>
    </row>
    <row r="51" spans="1:1568" s="116" customFormat="1" ht="12.75" customHeight="1" x14ac:dyDescent="0.2">
      <c r="A51" s="725">
        <v>1356</v>
      </c>
      <c r="B51" s="760" t="s">
        <v>1229</v>
      </c>
      <c r="C51" s="701">
        <v>250000</v>
      </c>
      <c r="D51" s="701">
        <v>250000</v>
      </c>
      <c r="E51" s="1218">
        <v>242547.84</v>
      </c>
      <c r="F51" s="707"/>
      <c r="G51" s="825">
        <f t="shared" si="25"/>
        <v>97.019135999999989</v>
      </c>
      <c r="H51" s="1244">
        <f t="shared" si="26"/>
        <v>97.019135999999989</v>
      </c>
      <c r="I51" s="1245">
        <f t="shared" si="27"/>
        <v>100</v>
      </c>
      <c r="J51" s="1520">
        <v>242547.84</v>
      </c>
    </row>
    <row r="52" spans="1:1568" s="116" customFormat="1" ht="12.75" customHeight="1" x14ac:dyDescent="0.2">
      <c r="A52" s="725">
        <v>1359</v>
      </c>
      <c r="B52" s="760" t="s">
        <v>1747</v>
      </c>
      <c r="C52" s="701">
        <v>0</v>
      </c>
      <c r="D52" s="701">
        <v>0</v>
      </c>
      <c r="E52" s="701">
        <v>6000</v>
      </c>
      <c r="F52" s="707"/>
      <c r="G52" s="825">
        <v>0</v>
      </c>
      <c r="H52" s="1244">
        <v>0</v>
      </c>
      <c r="I52" s="1245">
        <f t="shared" si="27"/>
        <v>66.666666666666657</v>
      </c>
      <c r="J52" s="1520">
        <v>9000</v>
      </c>
    </row>
    <row r="53" spans="1:1568" s="116" customFormat="1" ht="12.75" customHeight="1" x14ac:dyDescent="0.2">
      <c r="A53" s="725">
        <v>1361</v>
      </c>
      <c r="B53" s="760" t="s">
        <v>1231</v>
      </c>
      <c r="C53" s="717">
        <f t="shared" ref="C53:D53" si="29">SUM(C54:C59)</f>
        <v>8825000</v>
      </c>
      <c r="D53" s="717">
        <f t="shared" si="29"/>
        <v>8825000</v>
      </c>
      <c r="E53" s="701">
        <v>6152465</v>
      </c>
      <c r="F53" s="759">
        <f>SUM(E54:E59)</f>
        <v>6152465</v>
      </c>
      <c r="G53" s="825">
        <f t="shared" si="25"/>
        <v>69.716317280453254</v>
      </c>
      <c r="H53" s="1244">
        <f t="shared" si="26"/>
        <v>69.716317280453254</v>
      </c>
      <c r="I53" s="1245">
        <f t="shared" si="27"/>
        <v>103.20036164363341</v>
      </c>
      <c r="J53" s="1520">
        <v>5961670</v>
      </c>
    </row>
    <row r="54" spans="1:1568" s="12" customFormat="1" ht="12.75" customHeight="1" x14ac:dyDescent="0.2">
      <c r="A54" s="727"/>
      <c r="B54" s="761" t="s">
        <v>1230</v>
      </c>
      <c r="C54" s="871">
        <v>5500000</v>
      </c>
      <c r="D54" s="871">
        <v>5500000</v>
      </c>
      <c r="E54" s="759">
        <v>3522120</v>
      </c>
      <c r="F54" s="1163"/>
      <c r="G54" s="1243">
        <f t="shared" si="25"/>
        <v>64.038545454545456</v>
      </c>
      <c r="H54" s="1248">
        <f t="shared" si="26"/>
        <v>64.038545454545456</v>
      </c>
      <c r="I54" s="1258">
        <f t="shared" si="27"/>
        <v>102.57013598379667</v>
      </c>
      <c r="J54" s="1179">
        <v>3433865</v>
      </c>
    </row>
    <row r="55" spans="1:1568" ht="27.75" customHeight="1" x14ac:dyDescent="0.2">
      <c r="A55" s="726"/>
      <c r="B55" s="763" t="s">
        <v>1748</v>
      </c>
      <c r="C55" s="871">
        <v>416000</v>
      </c>
      <c r="D55" s="871">
        <v>416000</v>
      </c>
      <c r="E55" s="1163">
        <v>274260</v>
      </c>
      <c r="F55" s="1163"/>
      <c r="G55" s="1243">
        <f t="shared" ref="G55:G64" si="30">E55/C55*100</f>
        <v>65.927884615384613</v>
      </c>
      <c r="H55" s="1248">
        <f t="shared" ref="H55:H64" si="31">E55/D55*100</f>
        <v>65.927884615384613</v>
      </c>
      <c r="I55" s="1258">
        <f t="shared" si="27"/>
        <v>101.62482630847616</v>
      </c>
      <c r="J55" s="1617">
        <v>269875</v>
      </c>
    </row>
    <row r="56" spans="1:1568" ht="12.75" customHeight="1" x14ac:dyDescent="0.2">
      <c r="A56" s="727"/>
      <c r="B56" s="761" t="s">
        <v>1749</v>
      </c>
      <c r="C56" s="871">
        <v>1000000</v>
      </c>
      <c r="D56" s="871">
        <v>1000000</v>
      </c>
      <c r="E56" s="1163">
        <v>603750</v>
      </c>
      <c r="F56" s="707"/>
      <c r="G56" s="1243">
        <f t="shared" si="30"/>
        <v>60.375</v>
      </c>
      <c r="H56" s="1248">
        <f t="shared" si="31"/>
        <v>60.375</v>
      </c>
      <c r="I56" s="1249">
        <f t="shared" si="27"/>
        <v>92.741935483870961</v>
      </c>
      <c r="J56" s="1179">
        <v>651000</v>
      </c>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c r="IN56" s="12"/>
      <c r="IO56" s="12"/>
      <c r="IP56" s="12"/>
      <c r="IQ56" s="12"/>
      <c r="IR56" s="12"/>
      <c r="IS56" s="12"/>
      <c r="IT56" s="12"/>
      <c r="IU56" s="12"/>
      <c r="IV56" s="12"/>
      <c r="IW56" s="12"/>
      <c r="IX56" s="12"/>
      <c r="IY56" s="12"/>
      <c r="IZ56" s="12"/>
      <c r="JA56" s="12"/>
      <c r="JB56" s="12"/>
      <c r="JC56" s="12"/>
      <c r="JD56" s="12"/>
      <c r="JE56" s="12"/>
      <c r="JF56" s="12"/>
      <c r="JG56" s="12"/>
      <c r="JH56" s="12"/>
      <c r="JI56" s="12"/>
      <c r="JJ56" s="12"/>
      <c r="JK56" s="12"/>
      <c r="JL56" s="12"/>
      <c r="JM56" s="12"/>
      <c r="JN56" s="12"/>
      <c r="JO56" s="12"/>
      <c r="JP56" s="12"/>
      <c r="JQ56" s="12"/>
      <c r="JR56" s="12"/>
      <c r="JS56" s="12"/>
      <c r="JT56" s="12"/>
      <c r="JU56" s="12"/>
      <c r="JV56" s="12"/>
      <c r="JW56" s="12"/>
      <c r="JX56" s="12"/>
      <c r="JY56" s="12"/>
      <c r="JZ56" s="12"/>
      <c r="KA56" s="12"/>
      <c r="KB56" s="12"/>
      <c r="KC56" s="12"/>
      <c r="KD56" s="12"/>
      <c r="KE56" s="12"/>
      <c r="KF56" s="12"/>
      <c r="KG56" s="12"/>
      <c r="KH56" s="12"/>
      <c r="KI56" s="12"/>
      <c r="KJ56" s="12"/>
      <c r="KK56" s="12"/>
      <c r="KL56" s="12"/>
      <c r="KM56" s="12"/>
      <c r="KN56" s="12"/>
      <c r="KO56" s="12"/>
      <c r="KP56" s="12"/>
      <c r="KQ56" s="12"/>
      <c r="KR56" s="12"/>
      <c r="KS56" s="12"/>
      <c r="KT56" s="12"/>
      <c r="KU56" s="12"/>
      <c r="KV56" s="12"/>
      <c r="KW56" s="12"/>
      <c r="KX56" s="12"/>
      <c r="KY56" s="12"/>
      <c r="KZ56" s="12"/>
      <c r="LA56" s="12"/>
      <c r="LB56" s="12"/>
      <c r="LC56" s="12"/>
      <c r="LD56" s="12"/>
      <c r="LE56" s="12"/>
      <c r="LF56" s="12"/>
      <c r="LG56" s="12"/>
      <c r="LH56" s="12"/>
      <c r="LI56" s="12"/>
      <c r="LJ56" s="12"/>
      <c r="LK56" s="12"/>
      <c r="LL56" s="12"/>
      <c r="LM56" s="12"/>
      <c r="LN56" s="12"/>
      <c r="LO56" s="12"/>
      <c r="LP56" s="12"/>
      <c r="LQ56" s="12"/>
      <c r="LR56" s="12"/>
      <c r="LS56" s="12"/>
      <c r="LT56" s="12"/>
      <c r="LU56" s="12"/>
      <c r="LV56" s="12"/>
      <c r="LW56" s="12"/>
      <c r="LX56" s="12"/>
      <c r="LY56" s="12"/>
      <c r="LZ56" s="12"/>
      <c r="MA56" s="12"/>
      <c r="MB56" s="12"/>
      <c r="MC56" s="12"/>
      <c r="MD56" s="12"/>
      <c r="ME56" s="12"/>
      <c r="MF56" s="12"/>
      <c r="MG56" s="12"/>
      <c r="MH56" s="12"/>
      <c r="MI56" s="12"/>
      <c r="MJ56" s="12"/>
      <c r="MK56" s="12"/>
      <c r="ML56" s="12"/>
      <c r="MM56" s="12"/>
      <c r="MN56" s="12"/>
      <c r="MO56" s="12"/>
      <c r="MP56" s="12"/>
      <c r="MQ56" s="12"/>
      <c r="MR56" s="12"/>
      <c r="MS56" s="12"/>
      <c r="MT56" s="12"/>
      <c r="MU56" s="12"/>
      <c r="MV56" s="12"/>
      <c r="MW56" s="12"/>
      <c r="MX56" s="12"/>
      <c r="MY56" s="12"/>
      <c r="MZ56" s="12"/>
      <c r="NA56" s="12"/>
      <c r="NB56" s="12"/>
      <c r="NC56" s="12"/>
      <c r="ND56" s="12"/>
      <c r="NE56" s="12"/>
      <c r="NF56" s="12"/>
      <c r="NG56" s="12"/>
      <c r="NH56" s="12"/>
      <c r="NI56" s="12"/>
      <c r="NJ56" s="12"/>
      <c r="NK56" s="12"/>
      <c r="NL56" s="12"/>
      <c r="NM56" s="12"/>
      <c r="NN56" s="12"/>
      <c r="NO56" s="12"/>
      <c r="NP56" s="12"/>
      <c r="NQ56" s="12"/>
      <c r="NR56" s="12"/>
      <c r="NS56" s="12"/>
      <c r="NT56" s="12"/>
      <c r="NU56" s="12"/>
      <c r="NV56" s="12"/>
      <c r="NW56" s="12"/>
      <c r="NX56" s="12"/>
      <c r="NY56" s="12"/>
      <c r="NZ56" s="12"/>
      <c r="OA56" s="12"/>
      <c r="OB56" s="12"/>
      <c r="OC56" s="12"/>
      <c r="OD56" s="12"/>
      <c r="OE56" s="12"/>
      <c r="OF56" s="12"/>
      <c r="OG56" s="12"/>
      <c r="OH56" s="12"/>
      <c r="OI56" s="12"/>
      <c r="OJ56" s="12"/>
      <c r="OK56" s="12"/>
      <c r="OL56" s="12"/>
      <c r="OM56" s="12"/>
      <c r="ON56" s="12"/>
      <c r="OO56" s="12"/>
      <c r="OP56" s="12"/>
      <c r="OQ56" s="12"/>
      <c r="OR56" s="12"/>
      <c r="OS56" s="12"/>
      <c r="OT56" s="12"/>
      <c r="OU56" s="12"/>
      <c r="OV56" s="12"/>
      <c r="OW56" s="12"/>
      <c r="OX56" s="12"/>
      <c r="OY56" s="12"/>
      <c r="OZ56" s="12"/>
      <c r="PA56" s="12"/>
      <c r="PB56" s="12"/>
      <c r="PC56" s="12"/>
      <c r="PD56" s="12"/>
      <c r="PE56" s="12"/>
      <c r="PF56" s="12"/>
      <c r="PG56" s="12"/>
      <c r="PH56" s="12"/>
      <c r="PI56" s="12"/>
      <c r="PJ56" s="12"/>
      <c r="PK56" s="12"/>
      <c r="PL56" s="12"/>
      <c r="PM56" s="12"/>
      <c r="PN56" s="12"/>
      <c r="PO56" s="12"/>
      <c r="PP56" s="12"/>
      <c r="PQ56" s="12"/>
      <c r="PR56" s="12"/>
      <c r="PS56" s="12"/>
      <c r="PT56" s="12"/>
      <c r="PU56" s="12"/>
      <c r="PV56" s="12"/>
      <c r="PW56" s="12"/>
      <c r="PX56" s="12"/>
      <c r="PY56" s="12"/>
      <c r="PZ56" s="12"/>
      <c r="QA56" s="12"/>
      <c r="QB56" s="12"/>
      <c r="QC56" s="12"/>
      <c r="QD56" s="12"/>
      <c r="QE56" s="12"/>
      <c r="QF56" s="12"/>
      <c r="QG56" s="12"/>
      <c r="QH56" s="12"/>
      <c r="QI56" s="12"/>
      <c r="QJ56" s="12"/>
      <c r="QK56" s="12"/>
      <c r="QL56" s="12"/>
      <c r="QM56" s="12"/>
      <c r="QN56" s="12"/>
      <c r="QO56" s="12"/>
      <c r="QP56" s="12"/>
      <c r="QQ56" s="12"/>
      <c r="QR56" s="12"/>
      <c r="QS56" s="12"/>
      <c r="QT56" s="12"/>
      <c r="QU56" s="12"/>
      <c r="QV56" s="12"/>
      <c r="QW56" s="12"/>
      <c r="QX56" s="12"/>
      <c r="QY56" s="12"/>
      <c r="QZ56" s="12"/>
      <c r="RA56" s="12"/>
      <c r="RB56" s="12"/>
      <c r="RC56" s="12"/>
      <c r="RD56" s="12"/>
      <c r="RE56" s="12"/>
      <c r="RF56" s="12"/>
      <c r="RG56" s="12"/>
      <c r="RH56" s="12"/>
      <c r="RI56" s="12"/>
      <c r="RJ56" s="12"/>
      <c r="RK56" s="12"/>
      <c r="RL56" s="12"/>
      <c r="RM56" s="12"/>
      <c r="RN56" s="12"/>
      <c r="RO56" s="12"/>
      <c r="RP56" s="12"/>
      <c r="RQ56" s="12"/>
      <c r="RR56" s="12"/>
      <c r="RS56" s="12"/>
      <c r="RT56" s="12"/>
      <c r="RU56" s="12"/>
      <c r="RV56" s="12"/>
      <c r="RW56" s="12"/>
      <c r="RX56" s="12"/>
      <c r="RY56" s="12"/>
      <c r="RZ56" s="12"/>
      <c r="SA56" s="12"/>
      <c r="SB56" s="12"/>
      <c r="SC56" s="12"/>
      <c r="SD56" s="12"/>
      <c r="SE56" s="12"/>
      <c r="SF56" s="12"/>
      <c r="SG56" s="12"/>
      <c r="SH56" s="12"/>
      <c r="SI56" s="12"/>
      <c r="SJ56" s="12"/>
      <c r="SK56" s="12"/>
      <c r="SL56" s="12"/>
      <c r="SM56" s="12"/>
      <c r="SN56" s="12"/>
      <c r="SO56" s="12"/>
      <c r="SP56" s="12"/>
      <c r="SQ56" s="12"/>
      <c r="SR56" s="12"/>
      <c r="SS56" s="12"/>
      <c r="ST56" s="12"/>
      <c r="SU56" s="12"/>
      <c r="SV56" s="12"/>
      <c r="SW56" s="12"/>
      <c r="SX56" s="12"/>
      <c r="SY56" s="12"/>
      <c r="SZ56" s="12"/>
      <c r="TA56" s="12"/>
      <c r="TB56" s="12"/>
      <c r="TC56" s="12"/>
      <c r="TD56" s="12"/>
      <c r="TE56" s="12"/>
      <c r="TF56" s="12"/>
      <c r="TG56" s="12"/>
      <c r="TH56" s="12"/>
      <c r="TI56" s="12"/>
      <c r="TJ56" s="12"/>
      <c r="TK56" s="12"/>
      <c r="TL56" s="12"/>
      <c r="TM56" s="12"/>
      <c r="TN56" s="12"/>
      <c r="TO56" s="12"/>
      <c r="TP56" s="12"/>
      <c r="TQ56" s="12"/>
      <c r="TR56" s="12"/>
      <c r="TS56" s="12"/>
      <c r="TT56" s="12"/>
      <c r="TU56" s="12"/>
      <c r="TV56" s="12"/>
      <c r="TW56" s="12"/>
      <c r="TX56" s="12"/>
      <c r="TY56" s="12"/>
      <c r="TZ56" s="12"/>
      <c r="UA56" s="12"/>
      <c r="UB56" s="12"/>
      <c r="UC56" s="12"/>
      <c r="UD56" s="12"/>
      <c r="UE56" s="12"/>
      <c r="UF56" s="12"/>
      <c r="UG56" s="12"/>
      <c r="UH56" s="12"/>
      <c r="UI56" s="12"/>
      <c r="UJ56" s="12"/>
      <c r="UK56" s="12"/>
      <c r="UL56" s="12"/>
      <c r="UM56" s="12"/>
      <c r="UN56" s="12"/>
      <c r="UO56" s="12"/>
      <c r="UP56" s="12"/>
      <c r="UQ56" s="12"/>
      <c r="UR56" s="12"/>
      <c r="US56" s="12"/>
      <c r="UT56" s="12"/>
      <c r="UU56" s="12"/>
      <c r="UV56" s="12"/>
      <c r="UW56" s="12"/>
      <c r="UX56" s="12"/>
      <c r="UY56" s="12"/>
      <c r="UZ56" s="12"/>
      <c r="VA56" s="12"/>
      <c r="VB56" s="12"/>
      <c r="VC56" s="12"/>
      <c r="VD56" s="12"/>
      <c r="VE56" s="12"/>
      <c r="VF56" s="12"/>
      <c r="VG56" s="12"/>
      <c r="VH56" s="12"/>
      <c r="VI56" s="12"/>
      <c r="VJ56" s="12"/>
      <c r="VK56" s="12"/>
      <c r="VL56" s="12"/>
      <c r="VM56" s="12"/>
      <c r="VN56" s="12"/>
      <c r="VO56" s="12"/>
      <c r="VP56" s="12"/>
      <c r="VQ56" s="12"/>
      <c r="VR56" s="12"/>
      <c r="VS56" s="12"/>
      <c r="VT56" s="12"/>
      <c r="VU56" s="12"/>
      <c r="VV56" s="12"/>
      <c r="VW56" s="12"/>
      <c r="VX56" s="12"/>
      <c r="VY56" s="12"/>
      <c r="VZ56" s="12"/>
      <c r="WA56" s="12"/>
      <c r="WB56" s="12"/>
      <c r="WC56" s="12"/>
      <c r="WD56" s="12"/>
      <c r="WE56" s="12"/>
      <c r="WF56" s="12"/>
      <c r="WG56" s="12"/>
      <c r="WH56" s="12"/>
      <c r="WI56" s="12"/>
      <c r="WJ56" s="12"/>
      <c r="WK56" s="12"/>
      <c r="WL56" s="12"/>
      <c r="WM56" s="12"/>
      <c r="WN56" s="12"/>
      <c r="WO56" s="12"/>
      <c r="WP56" s="12"/>
      <c r="WQ56" s="12"/>
      <c r="WR56" s="12"/>
      <c r="WS56" s="12"/>
      <c r="WT56" s="12"/>
      <c r="WU56" s="12"/>
      <c r="WV56" s="12"/>
      <c r="WW56" s="12"/>
      <c r="WX56" s="12"/>
      <c r="WY56" s="12"/>
      <c r="WZ56" s="12"/>
      <c r="XA56" s="12"/>
      <c r="XB56" s="12"/>
      <c r="XC56" s="12"/>
      <c r="XD56" s="12"/>
      <c r="XE56" s="12"/>
      <c r="XF56" s="12"/>
      <c r="XG56" s="12"/>
      <c r="XH56" s="12"/>
      <c r="XI56" s="12"/>
      <c r="XJ56" s="12"/>
      <c r="XK56" s="12"/>
      <c r="XL56" s="12"/>
      <c r="XM56" s="12"/>
      <c r="XN56" s="12"/>
      <c r="XO56" s="12"/>
      <c r="XP56" s="12"/>
      <c r="XQ56" s="12"/>
      <c r="XR56" s="12"/>
      <c r="XS56" s="12"/>
      <c r="XT56" s="12"/>
      <c r="XU56" s="12"/>
      <c r="XV56" s="12"/>
      <c r="XW56" s="12"/>
      <c r="XX56" s="12"/>
      <c r="XY56" s="12"/>
      <c r="XZ56" s="12"/>
      <c r="YA56" s="12"/>
      <c r="YB56" s="12"/>
      <c r="YC56" s="12"/>
      <c r="YD56" s="12"/>
      <c r="YE56" s="12"/>
      <c r="YF56" s="12"/>
      <c r="YG56" s="12"/>
      <c r="YH56" s="12"/>
      <c r="YI56" s="12"/>
      <c r="YJ56" s="12"/>
      <c r="YK56" s="12"/>
      <c r="YL56" s="12"/>
      <c r="YM56" s="12"/>
      <c r="YN56" s="12"/>
      <c r="YO56" s="12"/>
      <c r="YP56" s="12"/>
      <c r="YQ56" s="12"/>
      <c r="YR56" s="12"/>
      <c r="YS56" s="12"/>
      <c r="YT56" s="12"/>
      <c r="YU56" s="12"/>
      <c r="YV56" s="12"/>
      <c r="YW56" s="12"/>
      <c r="YX56" s="12"/>
      <c r="YY56" s="12"/>
      <c r="YZ56" s="12"/>
      <c r="ZA56" s="12"/>
      <c r="ZB56" s="12"/>
      <c r="ZC56" s="12"/>
      <c r="ZD56" s="12"/>
      <c r="ZE56" s="12"/>
      <c r="ZF56" s="12"/>
      <c r="ZG56" s="12"/>
      <c r="ZH56" s="12"/>
      <c r="ZI56" s="12"/>
      <c r="ZJ56" s="12"/>
      <c r="ZK56" s="12"/>
      <c r="ZL56" s="12"/>
      <c r="ZM56" s="12"/>
      <c r="ZN56" s="12"/>
      <c r="ZO56" s="12"/>
      <c r="ZP56" s="12"/>
      <c r="ZQ56" s="12"/>
      <c r="ZR56" s="12"/>
      <c r="ZS56" s="12"/>
      <c r="ZT56" s="12"/>
      <c r="ZU56" s="12"/>
      <c r="ZV56" s="12"/>
      <c r="ZW56" s="12"/>
      <c r="ZX56" s="12"/>
      <c r="ZY56" s="12"/>
      <c r="ZZ56" s="12"/>
      <c r="AAA56" s="12"/>
      <c r="AAB56" s="12"/>
      <c r="AAC56" s="12"/>
      <c r="AAD56" s="12"/>
      <c r="AAE56" s="12"/>
      <c r="AAF56" s="12"/>
      <c r="AAG56" s="12"/>
      <c r="AAH56" s="12"/>
      <c r="AAI56" s="12"/>
      <c r="AAJ56" s="12"/>
      <c r="AAK56" s="12"/>
      <c r="AAL56" s="12"/>
      <c r="AAM56" s="12"/>
      <c r="AAN56" s="12"/>
      <c r="AAO56" s="12"/>
      <c r="AAP56" s="12"/>
      <c r="AAQ56" s="12"/>
      <c r="AAR56" s="12"/>
      <c r="AAS56" s="12"/>
      <c r="AAT56" s="12"/>
      <c r="AAU56" s="12"/>
      <c r="AAV56" s="12"/>
      <c r="AAW56" s="12"/>
      <c r="AAX56" s="12"/>
      <c r="AAY56" s="12"/>
      <c r="AAZ56" s="12"/>
      <c r="ABA56" s="12"/>
      <c r="ABB56" s="12"/>
      <c r="ABC56" s="12"/>
      <c r="ABD56" s="12"/>
      <c r="ABE56" s="12"/>
      <c r="ABF56" s="12"/>
      <c r="ABG56" s="12"/>
      <c r="ABH56" s="12"/>
      <c r="ABI56" s="12"/>
      <c r="ABJ56" s="12"/>
      <c r="ABK56" s="12"/>
      <c r="ABL56" s="12"/>
      <c r="ABM56" s="12"/>
      <c r="ABN56" s="12"/>
      <c r="ABO56" s="12"/>
      <c r="ABP56" s="12"/>
      <c r="ABQ56" s="12"/>
      <c r="ABR56" s="12"/>
      <c r="ABS56" s="12"/>
      <c r="ABT56" s="12"/>
      <c r="ABU56" s="12"/>
      <c r="ABV56" s="12"/>
      <c r="ABW56" s="12"/>
      <c r="ABX56" s="12"/>
      <c r="ABY56" s="12"/>
      <c r="ABZ56" s="12"/>
      <c r="ACA56" s="12"/>
      <c r="ACB56" s="12"/>
      <c r="ACC56" s="12"/>
      <c r="ACD56" s="12"/>
      <c r="ACE56" s="12"/>
      <c r="ACF56" s="12"/>
      <c r="ACG56" s="12"/>
      <c r="ACH56" s="12"/>
      <c r="ACI56" s="12"/>
      <c r="ACJ56" s="12"/>
      <c r="ACK56" s="12"/>
      <c r="ACL56" s="12"/>
      <c r="ACM56" s="12"/>
      <c r="ACN56" s="12"/>
      <c r="ACO56" s="12"/>
      <c r="ACP56" s="12"/>
      <c r="ACQ56" s="12"/>
      <c r="ACR56" s="12"/>
      <c r="ACS56" s="12"/>
      <c r="ACT56" s="12"/>
      <c r="ACU56" s="12"/>
      <c r="ACV56" s="12"/>
      <c r="ACW56" s="12"/>
      <c r="ACX56" s="12"/>
      <c r="ACY56" s="12"/>
      <c r="ACZ56" s="12"/>
      <c r="ADA56" s="12"/>
      <c r="ADB56" s="12"/>
      <c r="ADC56" s="12"/>
      <c r="ADD56" s="12"/>
      <c r="ADE56" s="12"/>
      <c r="ADF56" s="12"/>
      <c r="ADG56" s="12"/>
      <c r="ADH56" s="12"/>
      <c r="ADI56" s="12"/>
      <c r="ADJ56" s="12"/>
      <c r="ADK56" s="12"/>
      <c r="ADL56" s="12"/>
      <c r="ADM56" s="12"/>
      <c r="ADN56" s="12"/>
      <c r="ADO56" s="12"/>
      <c r="ADP56" s="12"/>
      <c r="ADQ56" s="12"/>
      <c r="ADR56" s="12"/>
      <c r="ADS56" s="12"/>
      <c r="ADT56" s="12"/>
      <c r="ADU56" s="12"/>
      <c r="ADV56" s="12"/>
      <c r="ADW56" s="12"/>
      <c r="ADX56" s="12"/>
      <c r="ADY56" s="12"/>
      <c r="ADZ56" s="12"/>
      <c r="AEA56" s="12"/>
      <c r="AEB56" s="12"/>
      <c r="AEC56" s="12"/>
      <c r="AED56" s="12"/>
      <c r="AEE56" s="12"/>
      <c r="AEF56" s="12"/>
      <c r="AEG56" s="12"/>
      <c r="AEH56" s="12"/>
      <c r="AEI56" s="12"/>
      <c r="AEJ56" s="12"/>
      <c r="AEK56" s="12"/>
      <c r="AEL56" s="12"/>
      <c r="AEM56" s="12"/>
      <c r="AEN56" s="12"/>
      <c r="AEO56" s="12"/>
      <c r="AEP56" s="12"/>
      <c r="AEQ56" s="12"/>
      <c r="AER56" s="12"/>
      <c r="AES56" s="12"/>
      <c r="AET56" s="12"/>
      <c r="AEU56" s="12"/>
      <c r="AEV56" s="12"/>
      <c r="AEW56" s="12"/>
      <c r="AEX56" s="12"/>
      <c r="AEY56" s="12"/>
      <c r="AEZ56" s="12"/>
      <c r="AFA56" s="12"/>
      <c r="AFB56" s="12"/>
      <c r="AFC56" s="12"/>
      <c r="AFD56" s="12"/>
      <c r="AFE56" s="12"/>
      <c r="AFF56" s="12"/>
      <c r="AFG56" s="12"/>
      <c r="AFH56" s="12"/>
      <c r="AFI56" s="12"/>
      <c r="AFJ56" s="12"/>
      <c r="AFK56" s="12"/>
      <c r="AFL56" s="12"/>
      <c r="AFM56" s="12"/>
      <c r="AFN56" s="12"/>
      <c r="AFO56" s="12"/>
      <c r="AFP56" s="12"/>
      <c r="AFQ56" s="12"/>
      <c r="AFR56" s="12"/>
      <c r="AFS56" s="12"/>
      <c r="AFT56" s="12"/>
      <c r="AFU56" s="12"/>
      <c r="AFV56" s="12"/>
      <c r="AFW56" s="12"/>
      <c r="AFX56" s="12"/>
      <c r="AFY56" s="12"/>
      <c r="AFZ56" s="12"/>
      <c r="AGA56" s="12"/>
      <c r="AGB56" s="12"/>
      <c r="AGC56" s="12"/>
      <c r="AGD56" s="12"/>
      <c r="AGE56" s="12"/>
      <c r="AGF56" s="12"/>
      <c r="AGG56" s="12"/>
      <c r="AGH56" s="12"/>
      <c r="AGI56" s="12"/>
      <c r="AGJ56" s="12"/>
      <c r="AGK56" s="12"/>
      <c r="AGL56" s="12"/>
      <c r="AGM56" s="12"/>
      <c r="AGN56" s="12"/>
      <c r="AGO56" s="12"/>
      <c r="AGP56" s="12"/>
      <c r="AGQ56" s="12"/>
      <c r="AGR56" s="12"/>
      <c r="AGS56" s="12"/>
      <c r="AGT56" s="12"/>
      <c r="AGU56" s="12"/>
      <c r="AGV56" s="12"/>
      <c r="AGW56" s="12"/>
      <c r="AGX56" s="12"/>
      <c r="AGY56" s="12"/>
      <c r="AGZ56" s="12"/>
      <c r="AHA56" s="12"/>
      <c r="AHB56" s="12"/>
      <c r="AHC56" s="12"/>
      <c r="AHD56" s="12"/>
      <c r="AHE56" s="12"/>
      <c r="AHF56" s="12"/>
      <c r="AHG56" s="12"/>
      <c r="AHH56" s="12"/>
      <c r="AHI56" s="12"/>
      <c r="AHJ56" s="12"/>
      <c r="AHK56" s="12"/>
      <c r="AHL56" s="12"/>
      <c r="AHM56" s="12"/>
      <c r="AHN56" s="12"/>
      <c r="AHO56" s="12"/>
      <c r="AHP56" s="12"/>
      <c r="AHQ56" s="12"/>
      <c r="AHR56" s="12"/>
      <c r="AHS56" s="12"/>
      <c r="AHT56" s="12"/>
      <c r="AHU56" s="12"/>
      <c r="AHV56" s="12"/>
      <c r="AHW56" s="12"/>
      <c r="AHX56" s="12"/>
      <c r="AHY56" s="12"/>
      <c r="AHZ56" s="12"/>
      <c r="AIA56" s="12"/>
      <c r="AIB56" s="12"/>
      <c r="AIC56" s="12"/>
      <c r="AID56" s="12"/>
      <c r="AIE56" s="12"/>
      <c r="AIF56" s="12"/>
      <c r="AIG56" s="12"/>
      <c r="AIH56" s="12"/>
      <c r="AII56" s="12"/>
      <c r="AIJ56" s="12"/>
      <c r="AIK56" s="12"/>
      <c r="AIL56" s="12"/>
      <c r="AIM56" s="12"/>
      <c r="AIN56" s="12"/>
      <c r="AIO56" s="12"/>
      <c r="AIP56" s="12"/>
      <c r="AIQ56" s="12"/>
      <c r="AIR56" s="12"/>
      <c r="AIS56" s="12"/>
      <c r="AIT56" s="12"/>
      <c r="AIU56" s="12"/>
      <c r="AIV56" s="12"/>
      <c r="AIW56" s="12"/>
      <c r="AIX56" s="12"/>
      <c r="AIY56" s="12"/>
      <c r="AIZ56" s="12"/>
      <c r="AJA56" s="12"/>
      <c r="AJB56" s="12"/>
      <c r="AJC56" s="12"/>
      <c r="AJD56" s="12"/>
      <c r="AJE56" s="12"/>
      <c r="AJF56" s="12"/>
      <c r="AJG56" s="12"/>
      <c r="AJH56" s="12"/>
      <c r="AJI56" s="12"/>
      <c r="AJJ56" s="12"/>
      <c r="AJK56" s="12"/>
      <c r="AJL56" s="12"/>
      <c r="AJM56" s="12"/>
      <c r="AJN56" s="12"/>
      <c r="AJO56" s="12"/>
      <c r="AJP56" s="12"/>
      <c r="AJQ56" s="12"/>
      <c r="AJR56" s="12"/>
      <c r="AJS56" s="12"/>
      <c r="AJT56" s="12"/>
      <c r="AJU56" s="12"/>
      <c r="AJV56" s="12"/>
      <c r="AJW56" s="12"/>
      <c r="AJX56" s="12"/>
      <c r="AJY56" s="12"/>
      <c r="AJZ56" s="12"/>
      <c r="AKA56" s="12"/>
      <c r="AKB56" s="12"/>
      <c r="AKC56" s="12"/>
      <c r="AKD56" s="12"/>
      <c r="AKE56" s="12"/>
      <c r="AKF56" s="12"/>
      <c r="AKG56" s="12"/>
      <c r="AKH56" s="12"/>
      <c r="AKI56" s="12"/>
      <c r="AKJ56" s="12"/>
      <c r="AKK56" s="12"/>
      <c r="AKL56" s="12"/>
      <c r="AKM56" s="12"/>
      <c r="AKN56" s="12"/>
      <c r="AKO56" s="12"/>
      <c r="AKP56" s="12"/>
      <c r="AKQ56" s="12"/>
      <c r="AKR56" s="12"/>
      <c r="AKS56" s="12"/>
      <c r="AKT56" s="12"/>
      <c r="AKU56" s="12"/>
      <c r="AKV56" s="12"/>
      <c r="AKW56" s="12"/>
      <c r="AKX56" s="12"/>
      <c r="AKY56" s="12"/>
      <c r="AKZ56" s="12"/>
      <c r="ALA56" s="12"/>
      <c r="ALB56" s="12"/>
      <c r="ALC56" s="12"/>
      <c r="ALD56" s="12"/>
      <c r="ALE56" s="12"/>
      <c r="ALF56" s="12"/>
      <c r="ALG56" s="12"/>
      <c r="ALH56" s="12"/>
      <c r="ALI56" s="12"/>
      <c r="ALJ56" s="12"/>
      <c r="ALK56" s="12"/>
      <c r="ALL56" s="12"/>
      <c r="ALM56" s="12"/>
      <c r="ALN56" s="12"/>
      <c r="ALO56" s="12"/>
      <c r="ALP56" s="12"/>
      <c r="ALQ56" s="12"/>
      <c r="ALR56" s="12"/>
      <c r="ALS56" s="12"/>
      <c r="ALT56" s="12"/>
      <c r="ALU56" s="12"/>
      <c r="ALV56" s="12"/>
      <c r="ALW56" s="12"/>
      <c r="ALX56" s="12"/>
      <c r="ALY56" s="12"/>
      <c r="ALZ56" s="12"/>
      <c r="AMA56" s="12"/>
      <c r="AMB56" s="12"/>
      <c r="AMC56" s="12"/>
      <c r="AMD56" s="12"/>
      <c r="AME56" s="12"/>
      <c r="AMF56" s="12"/>
      <c r="AMG56" s="12"/>
      <c r="AMH56" s="12"/>
      <c r="AMI56" s="12"/>
      <c r="AMJ56" s="12"/>
      <c r="AMK56" s="12"/>
      <c r="AML56" s="12"/>
      <c r="AMM56" s="12"/>
      <c r="AMN56" s="12"/>
      <c r="AMO56" s="12"/>
      <c r="AMP56" s="12"/>
      <c r="AMQ56" s="12"/>
      <c r="AMR56" s="12"/>
      <c r="AMS56" s="12"/>
      <c r="AMT56" s="12"/>
      <c r="AMU56" s="12"/>
      <c r="AMV56" s="12"/>
      <c r="AMW56" s="12"/>
      <c r="AMX56" s="12"/>
      <c r="AMY56" s="12"/>
      <c r="AMZ56" s="12"/>
      <c r="ANA56" s="12"/>
      <c r="ANB56" s="12"/>
      <c r="ANC56" s="12"/>
      <c r="AND56" s="12"/>
      <c r="ANE56" s="12"/>
      <c r="ANF56" s="12"/>
      <c r="ANG56" s="12"/>
      <c r="ANH56" s="12"/>
      <c r="ANI56" s="12"/>
      <c r="ANJ56" s="12"/>
      <c r="ANK56" s="12"/>
      <c r="ANL56" s="12"/>
      <c r="ANM56" s="12"/>
      <c r="ANN56" s="12"/>
      <c r="ANO56" s="12"/>
      <c r="ANP56" s="12"/>
      <c r="ANQ56" s="12"/>
      <c r="ANR56" s="12"/>
      <c r="ANS56" s="12"/>
      <c r="ANT56" s="12"/>
      <c r="ANU56" s="12"/>
      <c r="ANV56" s="12"/>
      <c r="ANW56" s="12"/>
      <c r="ANX56" s="12"/>
      <c r="ANY56" s="12"/>
      <c r="ANZ56" s="12"/>
      <c r="AOA56" s="12"/>
      <c r="AOB56" s="12"/>
      <c r="AOC56" s="12"/>
      <c r="AOD56" s="12"/>
      <c r="AOE56" s="12"/>
      <c r="AOF56" s="12"/>
      <c r="AOG56" s="12"/>
      <c r="AOH56" s="12"/>
      <c r="AOI56" s="12"/>
      <c r="AOJ56" s="12"/>
      <c r="AOK56" s="12"/>
      <c r="AOL56" s="12"/>
      <c r="AOM56" s="12"/>
      <c r="AON56" s="12"/>
      <c r="AOO56" s="12"/>
      <c r="AOP56" s="12"/>
      <c r="AOQ56" s="12"/>
      <c r="AOR56" s="12"/>
      <c r="AOS56" s="12"/>
      <c r="AOT56" s="12"/>
      <c r="AOU56" s="12"/>
      <c r="AOV56" s="12"/>
      <c r="AOW56" s="12"/>
      <c r="AOX56" s="12"/>
      <c r="AOY56" s="12"/>
      <c r="AOZ56" s="12"/>
      <c r="APA56" s="12"/>
      <c r="APB56" s="12"/>
      <c r="APC56" s="12"/>
      <c r="APD56" s="12"/>
      <c r="APE56" s="12"/>
      <c r="APF56" s="12"/>
      <c r="APG56" s="12"/>
      <c r="APH56" s="12"/>
      <c r="API56" s="12"/>
      <c r="APJ56" s="12"/>
      <c r="APK56" s="12"/>
      <c r="APL56" s="12"/>
      <c r="APM56" s="12"/>
      <c r="APN56" s="12"/>
      <c r="APO56" s="12"/>
      <c r="APP56" s="12"/>
      <c r="APQ56" s="12"/>
      <c r="APR56" s="12"/>
      <c r="APS56" s="12"/>
      <c r="APT56" s="12"/>
      <c r="APU56" s="12"/>
      <c r="APV56" s="12"/>
      <c r="APW56" s="12"/>
      <c r="APX56" s="12"/>
      <c r="APY56" s="12"/>
      <c r="APZ56" s="12"/>
      <c r="AQA56" s="12"/>
      <c r="AQB56" s="12"/>
      <c r="AQC56" s="12"/>
      <c r="AQD56" s="12"/>
      <c r="AQE56" s="12"/>
      <c r="AQF56" s="12"/>
      <c r="AQG56" s="12"/>
      <c r="AQH56" s="12"/>
      <c r="AQI56" s="12"/>
      <c r="AQJ56" s="12"/>
      <c r="AQK56" s="12"/>
      <c r="AQL56" s="12"/>
      <c r="AQM56" s="12"/>
      <c r="AQN56" s="12"/>
      <c r="AQO56" s="12"/>
      <c r="AQP56" s="12"/>
      <c r="AQQ56" s="12"/>
      <c r="AQR56" s="12"/>
      <c r="AQS56" s="12"/>
      <c r="AQT56" s="12"/>
      <c r="AQU56" s="12"/>
      <c r="AQV56" s="12"/>
      <c r="AQW56" s="12"/>
      <c r="AQX56" s="12"/>
      <c r="AQY56" s="12"/>
      <c r="AQZ56" s="12"/>
      <c r="ARA56" s="12"/>
      <c r="ARB56" s="12"/>
      <c r="ARC56" s="12"/>
      <c r="ARD56" s="12"/>
      <c r="ARE56" s="12"/>
      <c r="ARF56" s="12"/>
      <c r="ARG56" s="12"/>
      <c r="ARH56" s="12"/>
      <c r="ARI56" s="12"/>
      <c r="ARJ56" s="12"/>
      <c r="ARK56" s="12"/>
      <c r="ARL56" s="12"/>
      <c r="ARM56" s="12"/>
      <c r="ARN56" s="12"/>
      <c r="ARO56" s="12"/>
      <c r="ARP56" s="12"/>
      <c r="ARQ56" s="12"/>
      <c r="ARR56" s="12"/>
      <c r="ARS56" s="12"/>
      <c r="ART56" s="12"/>
      <c r="ARU56" s="12"/>
      <c r="ARV56" s="12"/>
      <c r="ARW56" s="12"/>
      <c r="ARX56" s="12"/>
      <c r="ARY56" s="12"/>
      <c r="ARZ56" s="12"/>
      <c r="ASA56" s="12"/>
      <c r="ASB56" s="12"/>
      <c r="ASC56" s="12"/>
      <c r="ASD56" s="12"/>
      <c r="ASE56" s="12"/>
      <c r="ASF56" s="12"/>
      <c r="ASG56" s="12"/>
      <c r="ASH56" s="12"/>
      <c r="ASI56" s="12"/>
      <c r="ASJ56" s="12"/>
      <c r="ASK56" s="12"/>
      <c r="ASL56" s="12"/>
      <c r="ASM56" s="12"/>
      <c r="ASN56" s="12"/>
      <c r="ASO56" s="12"/>
      <c r="ASP56" s="12"/>
      <c r="ASQ56" s="12"/>
      <c r="ASR56" s="12"/>
      <c r="ASS56" s="12"/>
      <c r="AST56" s="12"/>
      <c r="ASU56" s="12"/>
      <c r="ASV56" s="12"/>
      <c r="ASW56" s="12"/>
      <c r="ASX56" s="12"/>
      <c r="ASY56" s="12"/>
      <c r="ASZ56" s="12"/>
      <c r="ATA56" s="12"/>
      <c r="ATB56" s="12"/>
      <c r="ATC56" s="12"/>
      <c r="ATD56" s="12"/>
      <c r="ATE56" s="12"/>
      <c r="ATF56" s="12"/>
      <c r="ATG56" s="12"/>
      <c r="ATH56" s="12"/>
      <c r="ATI56" s="12"/>
      <c r="ATJ56" s="12"/>
      <c r="ATK56" s="12"/>
      <c r="ATL56" s="12"/>
      <c r="ATM56" s="12"/>
      <c r="ATN56" s="12"/>
      <c r="ATO56" s="12"/>
      <c r="ATP56" s="12"/>
      <c r="ATQ56" s="12"/>
      <c r="ATR56" s="12"/>
      <c r="ATS56" s="12"/>
      <c r="ATT56" s="12"/>
      <c r="ATU56" s="12"/>
      <c r="ATV56" s="12"/>
      <c r="ATW56" s="12"/>
      <c r="ATX56" s="12"/>
      <c r="ATY56" s="12"/>
      <c r="ATZ56" s="12"/>
      <c r="AUA56" s="12"/>
      <c r="AUB56" s="12"/>
      <c r="AUC56" s="12"/>
      <c r="AUD56" s="12"/>
      <c r="AUE56" s="12"/>
      <c r="AUF56" s="12"/>
      <c r="AUG56" s="12"/>
      <c r="AUH56" s="12"/>
      <c r="AUI56" s="12"/>
      <c r="AUJ56" s="12"/>
      <c r="AUK56" s="12"/>
      <c r="AUL56" s="12"/>
      <c r="AUM56" s="12"/>
      <c r="AUN56" s="12"/>
      <c r="AUO56" s="12"/>
      <c r="AUP56" s="12"/>
      <c r="AUQ56" s="12"/>
      <c r="AUR56" s="12"/>
      <c r="AUS56" s="12"/>
      <c r="AUT56" s="12"/>
      <c r="AUU56" s="12"/>
      <c r="AUV56" s="12"/>
      <c r="AUW56" s="12"/>
      <c r="AUX56" s="12"/>
      <c r="AUY56" s="12"/>
      <c r="AUZ56" s="12"/>
      <c r="AVA56" s="12"/>
      <c r="AVB56" s="12"/>
      <c r="AVC56" s="12"/>
      <c r="AVD56" s="12"/>
      <c r="AVE56" s="12"/>
      <c r="AVF56" s="12"/>
      <c r="AVG56" s="12"/>
      <c r="AVH56" s="12"/>
      <c r="AVI56" s="12"/>
      <c r="AVJ56" s="12"/>
      <c r="AVK56" s="12"/>
      <c r="AVL56" s="12"/>
      <c r="AVM56" s="12"/>
      <c r="AVN56" s="12"/>
      <c r="AVO56" s="12"/>
      <c r="AVP56" s="12"/>
      <c r="AVQ56" s="12"/>
      <c r="AVR56" s="12"/>
      <c r="AVS56" s="12"/>
      <c r="AVT56" s="12"/>
      <c r="AVU56" s="12"/>
      <c r="AVV56" s="12"/>
      <c r="AVW56" s="12"/>
      <c r="AVX56" s="12"/>
      <c r="AVY56" s="12"/>
      <c r="AVZ56" s="12"/>
      <c r="AWA56" s="12"/>
      <c r="AWB56" s="12"/>
      <c r="AWC56" s="12"/>
      <c r="AWD56" s="12"/>
      <c r="AWE56" s="12"/>
      <c r="AWF56" s="12"/>
      <c r="AWG56" s="12"/>
      <c r="AWH56" s="12"/>
      <c r="AWI56" s="12"/>
      <c r="AWJ56" s="12"/>
      <c r="AWK56" s="12"/>
      <c r="AWL56" s="12"/>
      <c r="AWM56" s="12"/>
      <c r="AWN56" s="12"/>
      <c r="AWO56" s="12"/>
      <c r="AWP56" s="12"/>
      <c r="AWQ56" s="12"/>
      <c r="AWR56" s="12"/>
      <c r="AWS56" s="12"/>
      <c r="AWT56" s="12"/>
      <c r="AWU56" s="12"/>
      <c r="AWV56" s="12"/>
      <c r="AWW56" s="12"/>
      <c r="AWX56" s="12"/>
      <c r="AWY56" s="12"/>
      <c r="AWZ56" s="12"/>
      <c r="AXA56" s="12"/>
      <c r="AXB56" s="12"/>
      <c r="AXC56" s="12"/>
      <c r="AXD56" s="12"/>
      <c r="AXE56" s="12"/>
      <c r="AXF56" s="12"/>
      <c r="AXG56" s="12"/>
      <c r="AXH56" s="12"/>
      <c r="AXI56" s="12"/>
      <c r="AXJ56" s="12"/>
      <c r="AXK56" s="12"/>
      <c r="AXL56" s="12"/>
      <c r="AXM56" s="12"/>
      <c r="AXN56" s="12"/>
      <c r="AXO56" s="12"/>
      <c r="AXP56" s="12"/>
      <c r="AXQ56" s="12"/>
      <c r="AXR56" s="12"/>
      <c r="AXS56" s="12"/>
      <c r="AXT56" s="12"/>
      <c r="AXU56" s="12"/>
      <c r="AXV56" s="12"/>
      <c r="AXW56" s="12"/>
      <c r="AXX56" s="12"/>
      <c r="AXY56" s="12"/>
      <c r="AXZ56" s="12"/>
      <c r="AYA56" s="12"/>
      <c r="AYB56" s="12"/>
      <c r="AYC56" s="12"/>
      <c r="AYD56" s="12"/>
      <c r="AYE56" s="12"/>
      <c r="AYF56" s="12"/>
      <c r="AYG56" s="12"/>
      <c r="AYH56" s="12"/>
      <c r="AYI56" s="12"/>
      <c r="AYJ56" s="12"/>
      <c r="AYK56" s="12"/>
      <c r="AYL56" s="12"/>
      <c r="AYM56" s="12"/>
      <c r="AYN56" s="12"/>
      <c r="AYO56" s="12"/>
      <c r="AYP56" s="12"/>
      <c r="AYQ56" s="12"/>
      <c r="AYR56" s="12"/>
      <c r="AYS56" s="12"/>
      <c r="AYT56" s="12"/>
      <c r="AYU56" s="12"/>
      <c r="AYV56" s="12"/>
      <c r="AYW56" s="12"/>
      <c r="AYX56" s="12"/>
      <c r="AYY56" s="12"/>
      <c r="AYZ56" s="12"/>
      <c r="AZA56" s="12"/>
      <c r="AZB56" s="12"/>
      <c r="AZC56" s="12"/>
      <c r="AZD56" s="12"/>
      <c r="AZE56" s="12"/>
      <c r="AZF56" s="12"/>
      <c r="AZG56" s="12"/>
      <c r="AZH56" s="12"/>
      <c r="AZI56" s="12"/>
      <c r="AZJ56" s="12"/>
      <c r="AZK56" s="12"/>
      <c r="AZL56" s="12"/>
      <c r="AZM56" s="12"/>
      <c r="AZN56" s="12"/>
      <c r="AZO56" s="12"/>
      <c r="AZP56" s="12"/>
      <c r="AZQ56" s="12"/>
      <c r="AZR56" s="12"/>
      <c r="AZS56" s="12"/>
      <c r="AZT56" s="12"/>
      <c r="AZU56" s="12"/>
      <c r="AZV56" s="12"/>
      <c r="AZW56" s="12"/>
      <c r="AZX56" s="12"/>
      <c r="AZY56" s="12"/>
      <c r="AZZ56" s="12"/>
      <c r="BAA56" s="12"/>
      <c r="BAB56" s="12"/>
      <c r="BAC56" s="12"/>
      <c r="BAD56" s="12"/>
      <c r="BAE56" s="12"/>
      <c r="BAF56" s="12"/>
      <c r="BAG56" s="12"/>
      <c r="BAH56" s="12"/>
      <c r="BAI56" s="12"/>
      <c r="BAJ56" s="12"/>
      <c r="BAK56" s="12"/>
      <c r="BAL56" s="12"/>
      <c r="BAM56" s="12"/>
      <c r="BAN56" s="12"/>
      <c r="BAO56" s="12"/>
      <c r="BAP56" s="12"/>
      <c r="BAQ56" s="12"/>
      <c r="BAR56" s="12"/>
      <c r="BAS56" s="12"/>
      <c r="BAT56" s="12"/>
      <c r="BAU56" s="12"/>
      <c r="BAV56" s="12"/>
      <c r="BAW56" s="12"/>
      <c r="BAX56" s="12"/>
      <c r="BAY56" s="12"/>
      <c r="BAZ56" s="12"/>
      <c r="BBA56" s="12"/>
      <c r="BBB56" s="12"/>
      <c r="BBC56" s="12"/>
      <c r="BBD56" s="12"/>
      <c r="BBE56" s="12"/>
      <c r="BBF56" s="12"/>
      <c r="BBG56" s="12"/>
      <c r="BBH56" s="12"/>
      <c r="BBI56" s="12"/>
      <c r="BBJ56" s="12"/>
      <c r="BBK56" s="12"/>
      <c r="BBL56" s="12"/>
      <c r="BBM56" s="12"/>
      <c r="BBN56" s="12"/>
      <c r="BBO56" s="12"/>
      <c r="BBP56" s="12"/>
      <c r="BBQ56" s="12"/>
      <c r="BBR56" s="12"/>
      <c r="BBS56" s="12"/>
      <c r="BBT56" s="12"/>
      <c r="BBU56" s="12"/>
      <c r="BBV56" s="12"/>
      <c r="BBW56" s="12"/>
      <c r="BBX56" s="12"/>
      <c r="BBY56" s="12"/>
      <c r="BBZ56" s="12"/>
      <c r="BCA56" s="12"/>
      <c r="BCB56" s="12"/>
      <c r="BCC56" s="12"/>
      <c r="BCD56" s="12"/>
      <c r="BCE56" s="12"/>
      <c r="BCF56" s="12"/>
      <c r="BCG56" s="12"/>
      <c r="BCH56" s="12"/>
      <c r="BCI56" s="12"/>
      <c r="BCJ56" s="12"/>
      <c r="BCK56" s="12"/>
      <c r="BCL56" s="12"/>
      <c r="BCM56" s="12"/>
      <c r="BCN56" s="12"/>
      <c r="BCO56" s="12"/>
      <c r="BCP56" s="12"/>
      <c r="BCQ56" s="12"/>
      <c r="BCR56" s="12"/>
      <c r="BCS56" s="12"/>
      <c r="BCT56" s="12"/>
      <c r="BCU56" s="12"/>
      <c r="BCV56" s="12"/>
      <c r="BCW56" s="12"/>
      <c r="BCX56" s="12"/>
      <c r="BCY56" s="12"/>
      <c r="BCZ56" s="12"/>
      <c r="BDA56" s="12"/>
      <c r="BDB56" s="12"/>
      <c r="BDC56" s="12"/>
      <c r="BDD56" s="12"/>
      <c r="BDE56" s="12"/>
      <c r="BDF56" s="12"/>
      <c r="BDG56" s="12"/>
      <c r="BDH56" s="12"/>
      <c r="BDI56" s="12"/>
      <c r="BDJ56" s="12"/>
      <c r="BDK56" s="12"/>
      <c r="BDL56" s="12"/>
      <c r="BDM56" s="12"/>
      <c r="BDN56" s="12"/>
      <c r="BDO56" s="12"/>
      <c r="BDP56" s="12"/>
      <c r="BDQ56" s="12"/>
      <c r="BDR56" s="12"/>
      <c r="BDS56" s="12"/>
      <c r="BDT56" s="12"/>
      <c r="BDU56" s="12"/>
      <c r="BDV56" s="12"/>
      <c r="BDW56" s="12"/>
      <c r="BDX56" s="12"/>
      <c r="BDY56" s="12"/>
      <c r="BDZ56" s="12"/>
      <c r="BEA56" s="12"/>
      <c r="BEB56" s="12"/>
      <c r="BEC56" s="12"/>
      <c r="BED56" s="12"/>
      <c r="BEE56" s="12"/>
      <c r="BEF56" s="12"/>
      <c r="BEG56" s="12"/>
      <c r="BEH56" s="12"/>
      <c r="BEI56" s="12"/>
      <c r="BEJ56" s="12"/>
      <c r="BEK56" s="12"/>
      <c r="BEL56" s="12"/>
      <c r="BEM56" s="12"/>
      <c r="BEN56" s="12"/>
      <c r="BEO56" s="12"/>
      <c r="BEP56" s="12"/>
      <c r="BEQ56" s="12"/>
      <c r="BER56" s="12"/>
      <c r="BES56" s="12"/>
      <c r="BET56" s="12"/>
      <c r="BEU56" s="12"/>
      <c r="BEV56" s="12"/>
      <c r="BEW56" s="12"/>
      <c r="BEX56" s="12"/>
      <c r="BEY56" s="12"/>
      <c r="BEZ56" s="12"/>
      <c r="BFA56" s="12"/>
      <c r="BFB56" s="12"/>
      <c r="BFC56" s="12"/>
      <c r="BFD56" s="12"/>
      <c r="BFE56" s="12"/>
      <c r="BFF56" s="12"/>
      <c r="BFG56" s="12"/>
      <c r="BFH56" s="12"/>
      <c r="BFI56" s="12"/>
      <c r="BFJ56" s="12"/>
      <c r="BFK56" s="12"/>
      <c r="BFL56" s="12"/>
      <c r="BFM56" s="12"/>
      <c r="BFN56" s="12"/>
      <c r="BFO56" s="12"/>
      <c r="BFP56" s="12"/>
      <c r="BFQ56" s="12"/>
      <c r="BFR56" s="12"/>
      <c r="BFS56" s="12"/>
      <c r="BFT56" s="12"/>
      <c r="BFU56" s="12"/>
      <c r="BFV56" s="12"/>
      <c r="BFW56" s="12"/>
      <c r="BFX56" s="12"/>
      <c r="BFY56" s="12"/>
      <c r="BFZ56" s="12"/>
      <c r="BGA56" s="12"/>
      <c r="BGB56" s="12"/>
      <c r="BGC56" s="12"/>
      <c r="BGD56" s="12"/>
      <c r="BGE56" s="12"/>
      <c r="BGF56" s="12"/>
      <c r="BGG56" s="12"/>
      <c r="BGH56" s="12"/>
      <c r="BGI56" s="12"/>
      <c r="BGJ56" s="12"/>
      <c r="BGK56" s="12"/>
      <c r="BGL56" s="12"/>
      <c r="BGM56" s="12"/>
      <c r="BGN56" s="12"/>
      <c r="BGO56" s="12"/>
      <c r="BGP56" s="12"/>
      <c r="BGQ56" s="12"/>
      <c r="BGR56" s="12"/>
      <c r="BGS56" s="12"/>
      <c r="BGT56" s="12"/>
      <c r="BGU56" s="12"/>
      <c r="BGV56" s="12"/>
      <c r="BGW56" s="12"/>
      <c r="BGX56" s="12"/>
      <c r="BGY56" s="12"/>
      <c r="BGZ56" s="12"/>
      <c r="BHA56" s="12"/>
      <c r="BHB56" s="12"/>
      <c r="BHC56" s="12"/>
      <c r="BHD56" s="12"/>
      <c r="BHE56" s="12"/>
      <c r="BHF56" s="12"/>
      <c r="BHG56" s="12"/>
      <c r="BHH56" s="12"/>
    </row>
    <row r="57" spans="1:1568" s="146" customFormat="1" ht="24" customHeight="1" x14ac:dyDescent="0.2">
      <c r="A57" s="829"/>
      <c r="B57" s="763" t="s">
        <v>1930</v>
      </c>
      <c r="C57" s="707">
        <v>1719000</v>
      </c>
      <c r="D57" s="707">
        <v>1719000</v>
      </c>
      <c r="E57" s="707">
        <v>1611860</v>
      </c>
      <c r="F57" s="707"/>
      <c r="G57" s="1243">
        <f t="shared" si="30"/>
        <v>93.767306573589295</v>
      </c>
      <c r="H57" s="1248">
        <f t="shared" si="31"/>
        <v>93.767306573589295</v>
      </c>
      <c r="I57" s="1258">
        <f t="shared" si="27"/>
        <v>110.7975089016896</v>
      </c>
      <c r="J57" s="1612">
        <v>1454780</v>
      </c>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c r="IK57" s="12"/>
      <c r="IL57" s="12"/>
      <c r="IM57" s="12"/>
      <c r="IN57" s="12"/>
      <c r="IO57" s="12"/>
      <c r="IP57" s="12"/>
      <c r="IQ57" s="12"/>
      <c r="IR57" s="12"/>
      <c r="IS57" s="12"/>
      <c r="IT57" s="12"/>
      <c r="IU57" s="12"/>
      <c r="IV57" s="12"/>
      <c r="IW57" s="12"/>
      <c r="IX57" s="12"/>
      <c r="IY57" s="12"/>
      <c r="IZ57" s="12"/>
      <c r="JA57" s="12"/>
      <c r="JB57" s="12"/>
      <c r="JC57" s="12"/>
      <c r="JD57" s="12"/>
      <c r="JE57" s="12"/>
      <c r="JF57" s="12"/>
      <c r="JG57" s="12"/>
      <c r="JH57" s="12"/>
      <c r="JI57" s="12"/>
      <c r="JJ57" s="12"/>
      <c r="JK57" s="12"/>
      <c r="JL57" s="12"/>
      <c r="JM57" s="12"/>
      <c r="JN57" s="12"/>
      <c r="JO57" s="12"/>
      <c r="JP57" s="12"/>
      <c r="JQ57" s="12"/>
      <c r="JR57" s="12"/>
      <c r="JS57" s="12"/>
      <c r="JT57" s="12"/>
      <c r="JU57" s="12"/>
      <c r="JV57" s="12"/>
      <c r="JW57" s="12"/>
      <c r="JX57" s="12"/>
      <c r="JY57" s="12"/>
      <c r="JZ57" s="12"/>
      <c r="KA57" s="12"/>
      <c r="KB57" s="12"/>
      <c r="KC57" s="12"/>
      <c r="KD57" s="12"/>
      <c r="KE57" s="12"/>
      <c r="KF57" s="12"/>
      <c r="KG57" s="12"/>
      <c r="KH57" s="12"/>
      <c r="KI57" s="12"/>
      <c r="KJ57" s="12"/>
      <c r="KK57" s="12"/>
      <c r="KL57" s="12"/>
      <c r="KM57" s="12"/>
      <c r="KN57" s="12"/>
      <c r="KO57" s="12"/>
      <c r="KP57" s="12"/>
      <c r="KQ57" s="12"/>
      <c r="KR57" s="12"/>
      <c r="KS57" s="12"/>
      <c r="KT57" s="12"/>
      <c r="KU57" s="12"/>
      <c r="KV57" s="12"/>
      <c r="KW57" s="12"/>
      <c r="KX57" s="12"/>
      <c r="KY57" s="12"/>
      <c r="KZ57" s="12"/>
      <c r="LA57" s="12"/>
      <c r="LB57" s="12"/>
      <c r="LC57" s="12"/>
      <c r="LD57" s="12"/>
      <c r="LE57" s="12"/>
      <c r="LF57" s="12"/>
      <c r="LG57" s="12"/>
      <c r="LH57" s="12"/>
      <c r="LI57" s="12"/>
      <c r="LJ57" s="12"/>
      <c r="LK57" s="12"/>
      <c r="LL57" s="12"/>
      <c r="LM57" s="12"/>
      <c r="LN57" s="12"/>
      <c r="LO57" s="12"/>
      <c r="LP57" s="12"/>
      <c r="LQ57" s="12"/>
      <c r="LR57" s="12"/>
      <c r="LS57" s="12"/>
      <c r="LT57" s="12"/>
      <c r="LU57" s="12"/>
      <c r="LV57" s="12"/>
      <c r="LW57" s="12"/>
      <c r="LX57" s="12"/>
      <c r="LY57" s="12"/>
      <c r="LZ57" s="12"/>
      <c r="MA57" s="12"/>
      <c r="MB57" s="12"/>
      <c r="MC57" s="12"/>
      <c r="MD57" s="12"/>
      <c r="ME57" s="12"/>
      <c r="MF57" s="12"/>
      <c r="MG57" s="12"/>
      <c r="MH57" s="12"/>
      <c r="MI57" s="12"/>
      <c r="MJ57" s="12"/>
      <c r="MK57" s="12"/>
      <c r="ML57" s="12"/>
      <c r="MM57" s="12"/>
      <c r="MN57" s="12"/>
      <c r="MO57" s="12"/>
      <c r="MP57" s="12"/>
      <c r="MQ57" s="12"/>
      <c r="MR57" s="12"/>
      <c r="MS57" s="12"/>
      <c r="MT57" s="12"/>
      <c r="MU57" s="12"/>
      <c r="MV57" s="12"/>
      <c r="MW57" s="12"/>
      <c r="MX57" s="12"/>
      <c r="MY57" s="12"/>
      <c r="MZ57" s="12"/>
      <c r="NA57" s="12"/>
      <c r="NB57" s="12"/>
      <c r="NC57" s="12"/>
      <c r="ND57" s="12"/>
      <c r="NE57" s="12"/>
      <c r="NF57" s="12"/>
      <c r="NG57" s="12"/>
      <c r="NH57" s="12"/>
      <c r="NI57" s="12"/>
      <c r="NJ57" s="12"/>
      <c r="NK57" s="12"/>
      <c r="NL57" s="12"/>
      <c r="NM57" s="12"/>
      <c r="NN57" s="12"/>
      <c r="NO57" s="12"/>
      <c r="NP57" s="12"/>
      <c r="NQ57" s="12"/>
      <c r="NR57" s="12"/>
      <c r="NS57" s="12"/>
      <c r="NT57" s="12"/>
      <c r="NU57" s="12"/>
      <c r="NV57" s="12"/>
      <c r="NW57" s="12"/>
      <c r="NX57" s="12"/>
      <c r="NY57" s="12"/>
      <c r="NZ57" s="12"/>
      <c r="OA57" s="12"/>
      <c r="OB57" s="12"/>
      <c r="OC57" s="12"/>
      <c r="OD57" s="12"/>
      <c r="OE57" s="12"/>
      <c r="OF57" s="12"/>
      <c r="OG57" s="12"/>
      <c r="OH57" s="12"/>
      <c r="OI57" s="12"/>
      <c r="OJ57" s="12"/>
      <c r="OK57" s="12"/>
      <c r="OL57" s="12"/>
      <c r="OM57" s="12"/>
      <c r="ON57" s="12"/>
      <c r="OO57" s="12"/>
      <c r="OP57" s="12"/>
      <c r="OQ57" s="12"/>
      <c r="OR57" s="12"/>
      <c r="OS57" s="12"/>
      <c r="OT57" s="12"/>
      <c r="OU57" s="12"/>
      <c r="OV57" s="12"/>
      <c r="OW57" s="12"/>
      <c r="OX57" s="12"/>
      <c r="OY57" s="12"/>
      <c r="OZ57" s="12"/>
      <c r="PA57" s="12"/>
      <c r="PB57" s="12"/>
      <c r="PC57" s="12"/>
      <c r="PD57" s="12"/>
      <c r="PE57" s="12"/>
      <c r="PF57" s="12"/>
      <c r="PG57" s="12"/>
      <c r="PH57" s="12"/>
      <c r="PI57" s="12"/>
      <c r="PJ57" s="12"/>
      <c r="PK57" s="12"/>
      <c r="PL57" s="12"/>
      <c r="PM57" s="12"/>
      <c r="PN57" s="12"/>
      <c r="PO57" s="12"/>
      <c r="PP57" s="12"/>
      <c r="PQ57" s="12"/>
      <c r="PR57" s="12"/>
      <c r="PS57" s="12"/>
      <c r="PT57" s="12"/>
      <c r="PU57" s="12"/>
      <c r="PV57" s="12"/>
      <c r="PW57" s="12"/>
      <c r="PX57" s="12"/>
      <c r="PY57" s="12"/>
      <c r="PZ57" s="12"/>
      <c r="QA57" s="12"/>
      <c r="QB57" s="12"/>
      <c r="QC57" s="12"/>
      <c r="QD57" s="12"/>
      <c r="QE57" s="12"/>
      <c r="QF57" s="12"/>
      <c r="QG57" s="12"/>
      <c r="QH57" s="12"/>
      <c r="QI57" s="12"/>
      <c r="QJ57" s="12"/>
      <c r="QK57" s="12"/>
      <c r="QL57" s="12"/>
      <c r="QM57" s="12"/>
      <c r="QN57" s="12"/>
      <c r="QO57" s="12"/>
      <c r="QP57" s="12"/>
      <c r="QQ57" s="12"/>
      <c r="QR57" s="12"/>
      <c r="QS57" s="12"/>
      <c r="QT57" s="12"/>
      <c r="QU57" s="12"/>
      <c r="QV57" s="12"/>
      <c r="QW57" s="12"/>
      <c r="QX57" s="12"/>
      <c r="QY57" s="12"/>
      <c r="QZ57" s="12"/>
      <c r="RA57" s="12"/>
      <c r="RB57" s="12"/>
      <c r="RC57" s="12"/>
      <c r="RD57" s="12"/>
      <c r="RE57" s="12"/>
      <c r="RF57" s="12"/>
      <c r="RG57" s="12"/>
      <c r="RH57" s="12"/>
      <c r="RI57" s="12"/>
      <c r="RJ57" s="12"/>
      <c r="RK57" s="12"/>
      <c r="RL57" s="12"/>
      <c r="RM57" s="12"/>
      <c r="RN57" s="12"/>
      <c r="RO57" s="12"/>
      <c r="RP57" s="12"/>
      <c r="RQ57" s="12"/>
      <c r="RR57" s="12"/>
      <c r="RS57" s="12"/>
      <c r="RT57" s="12"/>
      <c r="RU57" s="12"/>
      <c r="RV57" s="12"/>
      <c r="RW57" s="12"/>
      <c r="RX57" s="12"/>
      <c r="RY57" s="12"/>
      <c r="RZ57" s="12"/>
      <c r="SA57" s="12"/>
      <c r="SB57" s="12"/>
      <c r="SC57" s="12"/>
      <c r="SD57" s="12"/>
      <c r="SE57" s="12"/>
      <c r="SF57" s="12"/>
      <c r="SG57" s="12"/>
      <c r="SH57" s="12"/>
      <c r="SI57" s="12"/>
      <c r="SJ57" s="12"/>
      <c r="SK57" s="12"/>
      <c r="SL57" s="12"/>
      <c r="SM57" s="12"/>
      <c r="SN57" s="12"/>
      <c r="SO57" s="12"/>
      <c r="SP57" s="12"/>
      <c r="SQ57" s="12"/>
      <c r="SR57" s="12"/>
      <c r="SS57" s="12"/>
      <c r="ST57" s="12"/>
      <c r="SU57" s="12"/>
      <c r="SV57" s="12"/>
      <c r="SW57" s="12"/>
      <c r="SX57" s="12"/>
      <c r="SY57" s="12"/>
      <c r="SZ57" s="12"/>
      <c r="TA57" s="12"/>
      <c r="TB57" s="12"/>
      <c r="TC57" s="12"/>
      <c r="TD57" s="12"/>
      <c r="TE57" s="12"/>
      <c r="TF57" s="12"/>
      <c r="TG57" s="12"/>
      <c r="TH57" s="12"/>
      <c r="TI57" s="12"/>
      <c r="TJ57" s="12"/>
      <c r="TK57" s="12"/>
      <c r="TL57" s="12"/>
      <c r="TM57" s="12"/>
      <c r="TN57" s="12"/>
      <c r="TO57" s="12"/>
      <c r="TP57" s="12"/>
      <c r="TQ57" s="12"/>
      <c r="TR57" s="12"/>
      <c r="TS57" s="12"/>
      <c r="TT57" s="12"/>
      <c r="TU57" s="12"/>
      <c r="TV57" s="12"/>
      <c r="TW57" s="12"/>
      <c r="TX57" s="12"/>
      <c r="TY57" s="12"/>
      <c r="TZ57" s="12"/>
      <c r="UA57" s="12"/>
      <c r="UB57" s="12"/>
      <c r="UC57" s="12"/>
      <c r="UD57" s="12"/>
      <c r="UE57" s="12"/>
      <c r="UF57" s="12"/>
      <c r="UG57" s="12"/>
      <c r="UH57" s="12"/>
      <c r="UI57" s="12"/>
      <c r="UJ57" s="12"/>
      <c r="UK57" s="12"/>
      <c r="UL57" s="12"/>
      <c r="UM57" s="12"/>
      <c r="UN57" s="12"/>
      <c r="UO57" s="12"/>
      <c r="UP57" s="12"/>
      <c r="UQ57" s="12"/>
      <c r="UR57" s="12"/>
      <c r="US57" s="12"/>
      <c r="UT57" s="12"/>
      <c r="UU57" s="12"/>
      <c r="UV57" s="12"/>
      <c r="UW57" s="12"/>
      <c r="UX57" s="12"/>
      <c r="UY57" s="12"/>
      <c r="UZ57" s="12"/>
      <c r="VA57" s="12"/>
      <c r="VB57" s="12"/>
      <c r="VC57" s="12"/>
      <c r="VD57" s="12"/>
      <c r="VE57" s="12"/>
      <c r="VF57" s="12"/>
      <c r="VG57" s="12"/>
      <c r="VH57" s="12"/>
      <c r="VI57" s="12"/>
      <c r="VJ57" s="12"/>
      <c r="VK57" s="12"/>
      <c r="VL57" s="12"/>
      <c r="VM57" s="12"/>
      <c r="VN57" s="12"/>
      <c r="VO57" s="12"/>
      <c r="VP57" s="12"/>
      <c r="VQ57" s="12"/>
      <c r="VR57" s="12"/>
      <c r="VS57" s="12"/>
      <c r="VT57" s="12"/>
      <c r="VU57" s="12"/>
      <c r="VV57" s="12"/>
      <c r="VW57" s="12"/>
      <c r="VX57" s="12"/>
      <c r="VY57" s="12"/>
      <c r="VZ57" s="12"/>
      <c r="WA57" s="12"/>
      <c r="WB57" s="12"/>
      <c r="WC57" s="12"/>
      <c r="WD57" s="12"/>
      <c r="WE57" s="12"/>
      <c r="WF57" s="12"/>
      <c r="WG57" s="12"/>
      <c r="WH57" s="12"/>
      <c r="WI57" s="12"/>
      <c r="WJ57" s="12"/>
      <c r="WK57" s="12"/>
      <c r="WL57" s="12"/>
      <c r="WM57" s="12"/>
      <c r="WN57" s="12"/>
      <c r="WO57" s="12"/>
      <c r="WP57" s="12"/>
      <c r="WQ57" s="12"/>
      <c r="WR57" s="12"/>
      <c r="WS57" s="12"/>
      <c r="WT57" s="12"/>
      <c r="WU57" s="12"/>
      <c r="WV57" s="12"/>
      <c r="WW57" s="12"/>
      <c r="WX57" s="12"/>
      <c r="WY57" s="12"/>
      <c r="WZ57" s="12"/>
      <c r="XA57" s="12"/>
      <c r="XB57" s="12"/>
      <c r="XC57" s="12"/>
      <c r="XD57" s="12"/>
      <c r="XE57" s="12"/>
      <c r="XF57" s="12"/>
      <c r="XG57" s="12"/>
      <c r="XH57" s="12"/>
      <c r="XI57" s="12"/>
      <c r="XJ57" s="12"/>
      <c r="XK57" s="12"/>
      <c r="XL57" s="12"/>
      <c r="XM57" s="12"/>
      <c r="XN57" s="12"/>
      <c r="XO57" s="12"/>
      <c r="XP57" s="12"/>
      <c r="XQ57" s="12"/>
      <c r="XR57" s="12"/>
      <c r="XS57" s="12"/>
      <c r="XT57" s="12"/>
      <c r="XU57" s="12"/>
      <c r="XV57" s="12"/>
      <c r="XW57" s="12"/>
      <c r="XX57" s="12"/>
      <c r="XY57" s="12"/>
      <c r="XZ57" s="12"/>
      <c r="YA57" s="12"/>
      <c r="YB57" s="12"/>
      <c r="YC57" s="12"/>
      <c r="YD57" s="12"/>
      <c r="YE57" s="12"/>
      <c r="YF57" s="12"/>
      <c r="YG57" s="12"/>
      <c r="YH57" s="12"/>
      <c r="YI57" s="12"/>
      <c r="YJ57" s="12"/>
      <c r="YK57" s="12"/>
      <c r="YL57" s="12"/>
      <c r="YM57" s="12"/>
      <c r="YN57" s="12"/>
      <c r="YO57" s="12"/>
      <c r="YP57" s="12"/>
      <c r="YQ57" s="12"/>
      <c r="YR57" s="12"/>
      <c r="YS57" s="12"/>
      <c r="YT57" s="12"/>
      <c r="YU57" s="12"/>
      <c r="YV57" s="12"/>
      <c r="YW57" s="12"/>
      <c r="YX57" s="12"/>
      <c r="YY57" s="12"/>
      <c r="YZ57" s="12"/>
      <c r="ZA57" s="12"/>
      <c r="ZB57" s="12"/>
      <c r="ZC57" s="12"/>
      <c r="ZD57" s="12"/>
      <c r="ZE57" s="12"/>
      <c r="ZF57" s="12"/>
      <c r="ZG57" s="12"/>
      <c r="ZH57" s="12"/>
      <c r="ZI57" s="12"/>
      <c r="ZJ57" s="12"/>
      <c r="ZK57" s="12"/>
      <c r="ZL57" s="12"/>
      <c r="ZM57" s="12"/>
      <c r="ZN57" s="12"/>
      <c r="ZO57" s="12"/>
      <c r="ZP57" s="12"/>
      <c r="ZQ57" s="12"/>
      <c r="ZR57" s="12"/>
      <c r="ZS57" s="12"/>
      <c r="ZT57" s="12"/>
      <c r="ZU57" s="12"/>
      <c r="ZV57" s="12"/>
      <c r="ZW57" s="12"/>
      <c r="ZX57" s="12"/>
      <c r="ZY57" s="12"/>
      <c r="ZZ57" s="12"/>
      <c r="AAA57" s="12"/>
      <c r="AAB57" s="12"/>
      <c r="AAC57" s="12"/>
      <c r="AAD57" s="12"/>
      <c r="AAE57" s="12"/>
      <c r="AAF57" s="12"/>
      <c r="AAG57" s="12"/>
      <c r="AAH57" s="12"/>
      <c r="AAI57" s="12"/>
      <c r="AAJ57" s="12"/>
      <c r="AAK57" s="12"/>
      <c r="AAL57" s="12"/>
      <c r="AAM57" s="12"/>
      <c r="AAN57" s="12"/>
      <c r="AAO57" s="12"/>
      <c r="AAP57" s="12"/>
      <c r="AAQ57" s="12"/>
      <c r="AAR57" s="12"/>
      <c r="AAS57" s="12"/>
      <c r="AAT57" s="12"/>
      <c r="AAU57" s="12"/>
      <c r="AAV57" s="12"/>
      <c r="AAW57" s="12"/>
      <c r="AAX57" s="12"/>
      <c r="AAY57" s="12"/>
      <c r="AAZ57" s="12"/>
      <c r="ABA57" s="12"/>
      <c r="ABB57" s="12"/>
      <c r="ABC57" s="12"/>
      <c r="ABD57" s="12"/>
      <c r="ABE57" s="12"/>
      <c r="ABF57" s="12"/>
      <c r="ABG57" s="12"/>
      <c r="ABH57" s="12"/>
      <c r="ABI57" s="12"/>
      <c r="ABJ57" s="12"/>
      <c r="ABK57" s="12"/>
      <c r="ABL57" s="12"/>
      <c r="ABM57" s="12"/>
      <c r="ABN57" s="12"/>
      <c r="ABO57" s="12"/>
      <c r="ABP57" s="12"/>
      <c r="ABQ57" s="12"/>
      <c r="ABR57" s="12"/>
      <c r="ABS57" s="12"/>
      <c r="ABT57" s="12"/>
      <c r="ABU57" s="12"/>
      <c r="ABV57" s="12"/>
      <c r="ABW57" s="12"/>
      <c r="ABX57" s="12"/>
      <c r="ABY57" s="12"/>
      <c r="ABZ57" s="12"/>
      <c r="ACA57" s="12"/>
      <c r="ACB57" s="12"/>
      <c r="ACC57" s="12"/>
      <c r="ACD57" s="12"/>
      <c r="ACE57" s="12"/>
      <c r="ACF57" s="12"/>
      <c r="ACG57" s="12"/>
      <c r="ACH57" s="12"/>
      <c r="ACI57" s="12"/>
      <c r="ACJ57" s="12"/>
      <c r="ACK57" s="12"/>
      <c r="ACL57" s="12"/>
      <c r="ACM57" s="12"/>
      <c r="ACN57" s="12"/>
      <c r="ACO57" s="12"/>
      <c r="ACP57" s="12"/>
      <c r="ACQ57" s="12"/>
      <c r="ACR57" s="12"/>
      <c r="ACS57" s="12"/>
      <c r="ACT57" s="12"/>
      <c r="ACU57" s="12"/>
      <c r="ACV57" s="12"/>
      <c r="ACW57" s="12"/>
      <c r="ACX57" s="12"/>
      <c r="ACY57" s="12"/>
      <c r="ACZ57" s="12"/>
      <c r="ADA57" s="12"/>
      <c r="ADB57" s="12"/>
      <c r="ADC57" s="12"/>
      <c r="ADD57" s="12"/>
      <c r="ADE57" s="12"/>
      <c r="ADF57" s="12"/>
      <c r="ADG57" s="12"/>
      <c r="ADH57" s="12"/>
      <c r="ADI57" s="12"/>
      <c r="ADJ57" s="12"/>
      <c r="ADK57" s="12"/>
      <c r="ADL57" s="12"/>
      <c r="ADM57" s="12"/>
      <c r="ADN57" s="12"/>
      <c r="ADO57" s="12"/>
      <c r="ADP57" s="12"/>
      <c r="ADQ57" s="12"/>
      <c r="ADR57" s="12"/>
      <c r="ADS57" s="12"/>
      <c r="ADT57" s="12"/>
      <c r="ADU57" s="12"/>
      <c r="ADV57" s="12"/>
      <c r="ADW57" s="12"/>
      <c r="ADX57" s="12"/>
      <c r="ADY57" s="12"/>
      <c r="ADZ57" s="12"/>
      <c r="AEA57" s="12"/>
      <c r="AEB57" s="12"/>
      <c r="AEC57" s="12"/>
      <c r="AED57" s="12"/>
      <c r="AEE57" s="12"/>
      <c r="AEF57" s="12"/>
      <c r="AEG57" s="12"/>
      <c r="AEH57" s="12"/>
      <c r="AEI57" s="12"/>
      <c r="AEJ57" s="12"/>
      <c r="AEK57" s="12"/>
      <c r="AEL57" s="12"/>
      <c r="AEM57" s="12"/>
      <c r="AEN57" s="12"/>
      <c r="AEO57" s="12"/>
      <c r="AEP57" s="12"/>
      <c r="AEQ57" s="12"/>
      <c r="AER57" s="12"/>
      <c r="AES57" s="12"/>
      <c r="AET57" s="12"/>
      <c r="AEU57" s="12"/>
      <c r="AEV57" s="12"/>
      <c r="AEW57" s="12"/>
      <c r="AEX57" s="12"/>
      <c r="AEY57" s="12"/>
      <c r="AEZ57" s="12"/>
      <c r="AFA57" s="12"/>
      <c r="AFB57" s="12"/>
      <c r="AFC57" s="12"/>
      <c r="AFD57" s="12"/>
      <c r="AFE57" s="12"/>
      <c r="AFF57" s="12"/>
      <c r="AFG57" s="12"/>
      <c r="AFH57" s="12"/>
      <c r="AFI57" s="12"/>
      <c r="AFJ57" s="12"/>
      <c r="AFK57" s="12"/>
      <c r="AFL57" s="12"/>
      <c r="AFM57" s="12"/>
      <c r="AFN57" s="12"/>
      <c r="AFO57" s="12"/>
      <c r="AFP57" s="12"/>
      <c r="AFQ57" s="12"/>
      <c r="AFR57" s="12"/>
      <c r="AFS57" s="12"/>
      <c r="AFT57" s="12"/>
      <c r="AFU57" s="12"/>
      <c r="AFV57" s="12"/>
      <c r="AFW57" s="12"/>
      <c r="AFX57" s="12"/>
      <c r="AFY57" s="12"/>
      <c r="AFZ57" s="12"/>
      <c r="AGA57" s="12"/>
      <c r="AGB57" s="12"/>
      <c r="AGC57" s="12"/>
      <c r="AGD57" s="12"/>
      <c r="AGE57" s="12"/>
      <c r="AGF57" s="12"/>
      <c r="AGG57" s="12"/>
      <c r="AGH57" s="12"/>
      <c r="AGI57" s="12"/>
      <c r="AGJ57" s="12"/>
      <c r="AGK57" s="12"/>
      <c r="AGL57" s="12"/>
      <c r="AGM57" s="12"/>
      <c r="AGN57" s="12"/>
      <c r="AGO57" s="12"/>
      <c r="AGP57" s="12"/>
      <c r="AGQ57" s="12"/>
      <c r="AGR57" s="12"/>
      <c r="AGS57" s="12"/>
      <c r="AGT57" s="12"/>
      <c r="AGU57" s="12"/>
      <c r="AGV57" s="12"/>
      <c r="AGW57" s="12"/>
      <c r="AGX57" s="12"/>
      <c r="AGY57" s="12"/>
      <c r="AGZ57" s="12"/>
      <c r="AHA57" s="12"/>
      <c r="AHB57" s="12"/>
      <c r="AHC57" s="12"/>
      <c r="AHD57" s="12"/>
      <c r="AHE57" s="12"/>
      <c r="AHF57" s="12"/>
      <c r="AHG57" s="12"/>
      <c r="AHH57" s="12"/>
      <c r="AHI57" s="12"/>
      <c r="AHJ57" s="12"/>
      <c r="AHK57" s="12"/>
      <c r="AHL57" s="12"/>
      <c r="AHM57" s="12"/>
      <c r="AHN57" s="12"/>
      <c r="AHO57" s="12"/>
      <c r="AHP57" s="12"/>
      <c r="AHQ57" s="12"/>
      <c r="AHR57" s="12"/>
      <c r="AHS57" s="12"/>
      <c r="AHT57" s="12"/>
      <c r="AHU57" s="12"/>
      <c r="AHV57" s="12"/>
      <c r="AHW57" s="12"/>
      <c r="AHX57" s="12"/>
      <c r="AHY57" s="12"/>
      <c r="AHZ57" s="12"/>
      <c r="AIA57" s="12"/>
      <c r="AIB57" s="12"/>
      <c r="AIC57" s="12"/>
      <c r="AID57" s="12"/>
      <c r="AIE57" s="12"/>
      <c r="AIF57" s="12"/>
      <c r="AIG57" s="12"/>
      <c r="AIH57" s="12"/>
      <c r="AII57" s="12"/>
      <c r="AIJ57" s="12"/>
      <c r="AIK57" s="12"/>
      <c r="AIL57" s="12"/>
      <c r="AIM57" s="12"/>
      <c r="AIN57" s="12"/>
      <c r="AIO57" s="12"/>
      <c r="AIP57" s="12"/>
      <c r="AIQ57" s="12"/>
      <c r="AIR57" s="12"/>
      <c r="AIS57" s="12"/>
      <c r="AIT57" s="12"/>
      <c r="AIU57" s="12"/>
      <c r="AIV57" s="12"/>
      <c r="AIW57" s="12"/>
      <c r="AIX57" s="12"/>
      <c r="AIY57" s="12"/>
      <c r="AIZ57" s="12"/>
      <c r="AJA57" s="12"/>
      <c r="AJB57" s="12"/>
      <c r="AJC57" s="12"/>
      <c r="AJD57" s="12"/>
      <c r="AJE57" s="12"/>
      <c r="AJF57" s="12"/>
      <c r="AJG57" s="12"/>
      <c r="AJH57" s="12"/>
      <c r="AJI57" s="12"/>
      <c r="AJJ57" s="12"/>
      <c r="AJK57" s="12"/>
      <c r="AJL57" s="12"/>
      <c r="AJM57" s="12"/>
      <c r="AJN57" s="12"/>
      <c r="AJO57" s="12"/>
      <c r="AJP57" s="12"/>
      <c r="AJQ57" s="12"/>
      <c r="AJR57" s="12"/>
      <c r="AJS57" s="12"/>
      <c r="AJT57" s="12"/>
      <c r="AJU57" s="12"/>
      <c r="AJV57" s="12"/>
      <c r="AJW57" s="12"/>
      <c r="AJX57" s="12"/>
      <c r="AJY57" s="12"/>
      <c r="AJZ57" s="12"/>
      <c r="AKA57" s="12"/>
      <c r="AKB57" s="12"/>
      <c r="AKC57" s="12"/>
      <c r="AKD57" s="12"/>
      <c r="AKE57" s="12"/>
      <c r="AKF57" s="12"/>
      <c r="AKG57" s="12"/>
      <c r="AKH57" s="12"/>
      <c r="AKI57" s="12"/>
      <c r="AKJ57" s="12"/>
      <c r="AKK57" s="12"/>
      <c r="AKL57" s="12"/>
      <c r="AKM57" s="12"/>
      <c r="AKN57" s="12"/>
      <c r="AKO57" s="12"/>
      <c r="AKP57" s="12"/>
      <c r="AKQ57" s="12"/>
      <c r="AKR57" s="12"/>
      <c r="AKS57" s="12"/>
      <c r="AKT57" s="12"/>
      <c r="AKU57" s="12"/>
      <c r="AKV57" s="12"/>
      <c r="AKW57" s="12"/>
      <c r="AKX57" s="12"/>
      <c r="AKY57" s="12"/>
      <c r="AKZ57" s="12"/>
      <c r="ALA57" s="12"/>
      <c r="ALB57" s="12"/>
      <c r="ALC57" s="12"/>
      <c r="ALD57" s="12"/>
      <c r="ALE57" s="12"/>
      <c r="ALF57" s="12"/>
      <c r="ALG57" s="12"/>
      <c r="ALH57" s="12"/>
      <c r="ALI57" s="12"/>
      <c r="ALJ57" s="12"/>
      <c r="ALK57" s="12"/>
      <c r="ALL57" s="12"/>
      <c r="ALM57" s="12"/>
      <c r="ALN57" s="12"/>
      <c r="ALO57" s="12"/>
      <c r="ALP57" s="12"/>
      <c r="ALQ57" s="12"/>
      <c r="ALR57" s="12"/>
      <c r="ALS57" s="12"/>
      <c r="ALT57" s="12"/>
      <c r="ALU57" s="12"/>
      <c r="ALV57" s="12"/>
      <c r="ALW57" s="12"/>
      <c r="ALX57" s="12"/>
      <c r="ALY57" s="12"/>
      <c r="ALZ57" s="12"/>
      <c r="AMA57" s="12"/>
      <c r="AMB57" s="12"/>
      <c r="AMC57" s="12"/>
      <c r="AMD57" s="12"/>
      <c r="AME57" s="12"/>
      <c r="AMF57" s="12"/>
      <c r="AMG57" s="12"/>
      <c r="AMH57" s="12"/>
      <c r="AMI57" s="12"/>
      <c r="AMJ57" s="12"/>
      <c r="AMK57" s="12"/>
      <c r="AML57" s="12"/>
      <c r="AMM57" s="12"/>
      <c r="AMN57" s="12"/>
      <c r="AMO57" s="12"/>
      <c r="AMP57" s="12"/>
      <c r="AMQ57" s="12"/>
      <c r="AMR57" s="12"/>
      <c r="AMS57" s="12"/>
      <c r="AMT57" s="12"/>
      <c r="AMU57" s="12"/>
      <c r="AMV57" s="12"/>
      <c r="AMW57" s="12"/>
      <c r="AMX57" s="12"/>
      <c r="AMY57" s="12"/>
      <c r="AMZ57" s="12"/>
      <c r="ANA57" s="12"/>
      <c r="ANB57" s="12"/>
      <c r="ANC57" s="12"/>
      <c r="AND57" s="12"/>
      <c r="ANE57" s="12"/>
      <c r="ANF57" s="12"/>
      <c r="ANG57" s="12"/>
      <c r="ANH57" s="12"/>
      <c r="ANI57" s="12"/>
      <c r="ANJ57" s="12"/>
      <c r="ANK57" s="12"/>
      <c r="ANL57" s="12"/>
      <c r="ANM57" s="12"/>
      <c r="ANN57" s="12"/>
      <c r="ANO57" s="12"/>
      <c r="ANP57" s="12"/>
      <c r="ANQ57" s="12"/>
      <c r="ANR57" s="12"/>
      <c r="ANS57" s="12"/>
      <c r="ANT57" s="12"/>
      <c r="ANU57" s="12"/>
      <c r="ANV57" s="12"/>
      <c r="ANW57" s="12"/>
      <c r="ANX57" s="12"/>
      <c r="ANY57" s="12"/>
      <c r="ANZ57" s="12"/>
      <c r="AOA57" s="12"/>
      <c r="AOB57" s="12"/>
      <c r="AOC57" s="12"/>
      <c r="AOD57" s="12"/>
      <c r="AOE57" s="12"/>
      <c r="AOF57" s="12"/>
      <c r="AOG57" s="12"/>
      <c r="AOH57" s="12"/>
      <c r="AOI57" s="12"/>
      <c r="AOJ57" s="12"/>
      <c r="AOK57" s="12"/>
      <c r="AOL57" s="12"/>
      <c r="AOM57" s="12"/>
      <c r="AON57" s="12"/>
      <c r="AOO57" s="12"/>
      <c r="AOP57" s="12"/>
      <c r="AOQ57" s="12"/>
      <c r="AOR57" s="12"/>
      <c r="AOS57" s="12"/>
      <c r="AOT57" s="12"/>
      <c r="AOU57" s="12"/>
      <c r="AOV57" s="12"/>
      <c r="AOW57" s="12"/>
      <c r="AOX57" s="12"/>
      <c r="AOY57" s="12"/>
      <c r="AOZ57" s="12"/>
      <c r="APA57" s="12"/>
      <c r="APB57" s="12"/>
      <c r="APC57" s="12"/>
      <c r="APD57" s="12"/>
      <c r="APE57" s="12"/>
      <c r="APF57" s="12"/>
      <c r="APG57" s="12"/>
      <c r="APH57" s="12"/>
      <c r="API57" s="12"/>
      <c r="APJ57" s="12"/>
      <c r="APK57" s="12"/>
      <c r="APL57" s="12"/>
      <c r="APM57" s="12"/>
      <c r="APN57" s="12"/>
      <c r="APO57" s="12"/>
      <c r="APP57" s="12"/>
      <c r="APQ57" s="12"/>
      <c r="APR57" s="12"/>
      <c r="APS57" s="12"/>
      <c r="APT57" s="12"/>
      <c r="APU57" s="12"/>
      <c r="APV57" s="12"/>
      <c r="APW57" s="12"/>
      <c r="APX57" s="12"/>
      <c r="APY57" s="12"/>
      <c r="APZ57" s="12"/>
      <c r="AQA57" s="12"/>
      <c r="AQB57" s="12"/>
      <c r="AQC57" s="12"/>
      <c r="AQD57" s="12"/>
      <c r="AQE57" s="12"/>
      <c r="AQF57" s="12"/>
      <c r="AQG57" s="12"/>
      <c r="AQH57" s="12"/>
      <c r="AQI57" s="12"/>
      <c r="AQJ57" s="12"/>
      <c r="AQK57" s="12"/>
      <c r="AQL57" s="12"/>
      <c r="AQM57" s="12"/>
      <c r="AQN57" s="12"/>
      <c r="AQO57" s="12"/>
      <c r="AQP57" s="12"/>
      <c r="AQQ57" s="12"/>
      <c r="AQR57" s="12"/>
      <c r="AQS57" s="12"/>
      <c r="AQT57" s="12"/>
      <c r="AQU57" s="12"/>
      <c r="AQV57" s="12"/>
      <c r="AQW57" s="12"/>
      <c r="AQX57" s="12"/>
      <c r="AQY57" s="12"/>
      <c r="AQZ57" s="12"/>
      <c r="ARA57" s="12"/>
      <c r="ARB57" s="12"/>
      <c r="ARC57" s="12"/>
      <c r="ARD57" s="12"/>
      <c r="ARE57" s="12"/>
      <c r="ARF57" s="12"/>
      <c r="ARG57" s="12"/>
      <c r="ARH57" s="12"/>
      <c r="ARI57" s="12"/>
      <c r="ARJ57" s="12"/>
      <c r="ARK57" s="12"/>
      <c r="ARL57" s="12"/>
      <c r="ARM57" s="12"/>
      <c r="ARN57" s="12"/>
      <c r="ARO57" s="12"/>
      <c r="ARP57" s="12"/>
      <c r="ARQ57" s="12"/>
      <c r="ARR57" s="12"/>
      <c r="ARS57" s="12"/>
      <c r="ART57" s="12"/>
      <c r="ARU57" s="12"/>
      <c r="ARV57" s="12"/>
      <c r="ARW57" s="12"/>
      <c r="ARX57" s="12"/>
      <c r="ARY57" s="12"/>
      <c r="ARZ57" s="12"/>
      <c r="ASA57" s="12"/>
      <c r="ASB57" s="12"/>
      <c r="ASC57" s="12"/>
      <c r="ASD57" s="12"/>
      <c r="ASE57" s="12"/>
      <c r="ASF57" s="12"/>
      <c r="ASG57" s="12"/>
      <c r="ASH57" s="12"/>
      <c r="ASI57" s="12"/>
      <c r="ASJ57" s="12"/>
      <c r="ASK57" s="12"/>
      <c r="ASL57" s="12"/>
      <c r="ASM57" s="12"/>
      <c r="ASN57" s="12"/>
      <c r="ASO57" s="12"/>
      <c r="ASP57" s="12"/>
      <c r="ASQ57" s="12"/>
      <c r="ASR57" s="12"/>
      <c r="ASS57" s="12"/>
      <c r="AST57" s="12"/>
      <c r="ASU57" s="12"/>
      <c r="ASV57" s="12"/>
      <c r="ASW57" s="12"/>
      <c r="ASX57" s="12"/>
      <c r="ASY57" s="12"/>
      <c r="ASZ57" s="12"/>
      <c r="ATA57" s="12"/>
      <c r="ATB57" s="12"/>
      <c r="ATC57" s="12"/>
      <c r="ATD57" s="12"/>
      <c r="ATE57" s="12"/>
      <c r="ATF57" s="12"/>
      <c r="ATG57" s="12"/>
      <c r="ATH57" s="12"/>
      <c r="ATI57" s="12"/>
      <c r="ATJ57" s="12"/>
      <c r="ATK57" s="12"/>
      <c r="ATL57" s="12"/>
      <c r="ATM57" s="12"/>
      <c r="ATN57" s="12"/>
      <c r="ATO57" s="12"/>
      <c r="ATP57" s="12"/>
      <c r="ATQ57" s="12"/>
      <c r="ATR57" s="12"/>
      <c r="ATS57" s="12"/>
      <c r="ATT57" s="12"/>
      <c r="ATU57" s="12"/>
      <c r="ATV57" s="12"/>
      <c r="ATW57" s="12"/>
      <c r="ATX57" s="12"/>
      <c r="ATY57" s="12"/>
      <c r="ATZ57" s="12"/>
      <c r="AUA57" s="12"/>
      <c r="AUB57" s="12"/>
      <c r="AUC57" s="12"/>
      <c r="AUD57" s="12"/>
      <c r="AUE57" s="12"/>
      <c r="AUF57" s="12"/>
      <c r="AUG57" s="12"/>
      <c r="AUH57" s="12"/>
      <c r="AUI57" s="12"/>
      <c r="AUJ57" s="12"/>
      <c r="AUK57" s="12"/>
      <c r="AUL57" s="12"/>
      <c r="AUM57" s="12"/>
      <c r="AUN57" s="12"/>
      <c r="AUO57" s="12"/>
      <c r="AUP57" s="12"/>
      <c r="AUQ57" s="12"/>
      <c r="AUR57" s="12"/>
      <c r="AUS57" s="12"/>
      <c r="AUT57" s="12"/>
      <c r="AUU57" s="12"/>
      <c r="AUV57" s="12"/>
      <c r="AUW57" s="12"/>
      <c r="AUX57" s="12"/>
      <c r="AUY57" s="12"/>
      <c r="AUZ57" s="12"/>
      <c r="AVA57" s="12"/>
      <c r="AVB57" s="12"/>
      <c r="AVC57" s="12"/>
      <c r="AVD57" s="12"/>
      <c r="AVE57" s="12"/>
      <c r="AVF57" s="12"/>
      <c r="AVG57" s="12"/>
      <c r="AVH57" s="12"/>
      <c r="AVI57" s="12"/>
      <c r="AVJ57" s="12"/>
      <c r="AVK57" s="12"/>
      <c r="AVL57" s="12"/>
      <c r="AVM57" s="12"/>
      <c r="AVN57" s="12"/>
      <c r="AVO57" s="12"/>
      <c r="AVP57" s="12"/>
      <c r="AVQ57" s="12"/>
      <c r="AVR57" s="12"/>
      <c r="AVS57" s="12"/>
      <c r="AVT57" s="12"/>
      <c r="AVU57" s="12"/>
      <c r="AVV57" s="12"/>
      <c r="AVW57" s="12"/>
      <c r="AVX57" s="12"/>
      <c r="AVY57" s="12"/>
      <c r="AVZ57" s="12"/>
      <c r="AWA57" s="12"/>
      <c r="AWB57" s="12"/>
      <c r="AWC57" s="12"/>
      <c r="AWD57" s="12"/>
      <c r="AWE57" s="12"/>
      <c r="AWF57" s="12"/>
      <c r="AWG57" s="12"/>
      <c r="AWH57" s="12"/>
      <c r="AWI57" s="12"/>
      <c r="AWJ57" s="12"/>
      <c r="AWK57" s="12"/>
      <c r="AWL57" s="12"/>
      <c r="AWM57" s="12"/>
      <c r="AWN57" s="12"/>
      <c r="AWO57" s="12"/>
      <c r="AWP57" s="12"/>
      <c r="AWQ57" s="12"/>
      <c r="AWR57" s="12"/>
      <c r="AWS57" s="12"/>
      <c r="AWT57" s="12"/>
      <c r="AWU57" s="12"/>
      <c r="AWV57" s="12"/>
      <c r="AWW57" s="12"/>
      <c r="AWX57" s="12"/>
      <c r="AWY57" s="12"/>
      <c r="AWZ57" s="12"/>
      <c r="AXA57" s="12"/>
      <c r="AXB57" s="12"/>
      <c r="AXC57" s="12"/>
      <c r="AXD57" s="12"/>
      <c r="AXE57" s="12"/>
      <c r="AXF57" s="12"/>
      <c r="AXG57" s="12"/>
      <c r="AXH57" s="12"/>
      <c r="AXI57" s="12"/>
      <c r="AXJ57" s="12"/>
      <c r="AXK57" s="12"/>
      <c r="AXL57" s="12"/>
      <c r="AXM57" s="12"/>
      <c r="AXN57" s="12"/>
      <c r="AXO57" s="12"/>
      <c r="AXP57" s="12"/>
      <c r="AXQ57" s="12"/>
      <c r="AXR57" s="12"/>
      <c r="AXS57" s="12"/>
      <c r="AXT57" s="12"/>
      <c r="AXU57" s="12"/>
      <c r="AXV57" s="12"/>
      <c r="AXW57" s="12"/>
      <c r="AXX57" s="12"/>
      <c r="AXY57" s="12"/>
      <c r="AXZ57" s="12"/>
      <c r="AYA57" s="12"/>
      <c r="AYB57" s="12"/>
      <c r="AYC57" s="12"/>
      <c r="AYD57" s="12"/>
      <c r="AYE57" s="12"/>
      <c r="AYF57" s="12"/>
      <c r="AYG57" s="12"/>
      <c r="AYH57" s="12"/>
      <c r="AYI57" s="12"/>
      <c r="AYJ57" s="12"/>
      <c r="AYK57" s="12"/>
      <c r="AYL57" s="12"/>
      <c r="AYM57" s="12"/>
      <c r="AYN57" s="12"/>
      <c r="AYO57" s="12"/>
      <c r="AYP57" s="12"/>
      <c r="AYQ57" s="12"/>
      <c r="AYR57" s="12"/>
      <c r="AYS57" s="12"/>
      <c r="AYT57" s="12"/>
      <c r="AYU57" s="12"/>
      <c r="AYV57" s="12"/>
      <c r="AYW57" s="12"/>
      <c r="AYX57" s="12"/>
      <c r="AYY57" s="12"/>
      <c r="AYZ57" s="12"/>
      <c r="AZA57" s="12"/>
      <c r="AZB57" s="12"/>
      <c r="AZC57" s="12"/>
      <c r="AZD57" s="12"/>
      <c r="AZE57" s="12"/>
      <c r="AZF57" s="12"/>
      <c r="AZG57" s="12"/>
      <c r="AZH57" s="12"/>
      <c r="AZI57" s="12"/>
      <c r="AZJ57" s="12"/>
      <c r="AZK57" s="12"/>
      <c r="AZL57" s="12"/>
      <c r="AZM57" s="12"/>
      <c r="AZN57" s="12"/>
      <c r="AZO57" s="12"/>
      <c r="AZP57" s="12"/>
      <c r="AZQ57" s="12"/>
      <c r="AZR57" s="12"/>
      <c r="AZS57" s="12"/>
      <c r="AZT57" s="12"/>
      <c r="AZU57" s="12"/>
      <c r="AZV57" s="12"/>
      <c r="AZW57" s="12"/>
      <c r="AZX57" s="12"/>
      <c r="AZY57" s="12"/>
      <c r="AZZ57" s="12"/>
      <c r="BAA57" s="12"/>
      <c r="BAB57" s="12"/>
      <c r="BAC57" s="12"/>
      <c r="BAD57" s="12"/>
      <c r="BAE57" s="12"/>
      <c r="BAF57" s="12"/>
      <c r="BAG57" s="12"/>
      <c r="BAH57" s="12"/>
      <c r="BAI57" s="12"/>
      <c r="BAJ57" s="12"/>
      <c r="BAK57" s="12"/>
      <c r="BAL57" s="12"/>
      <c r="BAM57" s="12"/>
      <c r="BAN57" s="12"/>
      <c r="BAO57" s="12"/>
      <c r="BAP57" s="12"/>
      <c r="BAQ57" s="12"/>
      <c r="BAR57" s="12"/>
      <c r="BAS57" s="12"/>
      <c r="BAT57" s="12"/>
      <c r="BAU57" s="12"/>
      <c r="BAV57" s="12"/>
      <c r="BAW57" s="12"/>
      <c r="BAX57" s="12"/>
      <c r="BAY57" s="12"/>
      <c r="BAZ57" s="12"/>
      <c r="BBA57" s="12"/>
      <c r="BBB57" s="12"/>
      <c r="BBC57" s="12"/>
      <c r="BBD57" s="12"/>
      <c r="BBE57" s="12"/>
      <c r="BBF57" s="12"/>
      <c r="BBG57" s="12"/>
      <c r="BBH57" s="12"/>
      <c r="BBI57" s="12"/>
      <c r="BBJ57" s="12"/>
      <c r="BBK57" s="12"/>
      <c r="BBL57" s="12"/>
      <c r="BBM57" s="12"/>
      <c r="BBN57" s="12"/>
      <c r="BBO57" s="12"/>
      <c r="BBP57" s="12"/>
      <c r="BBQ57" s="12"/>
      <c r="BBR57" s="12"/>
      <c r="BBS57" s="12"/>
      <c r="BBT57" s="12"/>
      <c r="BBU57" s="12"/>
      <c r="BBV57" s="12"/>
      <c r="BBW57" s="12"/>
      <c r="BBX57" s="12"/>
      <c r="BBY57" s="12"/>
      <c r="BBZ57" s="12"/>
      <c r="BCA57" s="12"/>
      <c r="BCB57" s="12"/>
      <c r="BCC57" s="12"/>
      <c r="BCD57" s="12"/>
      <c r="BCE57" s="12"/>
      <c r="BCF57" s="12"/>
      <c r="BCG57" s="12"/>
      <c r="BCH57" s="12"/>
      <c r="BCI57" s="12"/>
      <c r="BCJ57" s="12"/>
      <c r="BCK57" s="12"/>
      <c r="BCL57" s="12"/>
      <c r="BCM57" s="12"/>
      <c r="BCN57" s="12"/>
      <c r="BCO57" s="12"/>
      <c r="BCP57" s="12"/>
      <c r="BCQ57" s="12"/>
      <c r="BCR57" s="12"/>
      <c r="BCS57" s="12"/>
      <c r="BCT57" s="12"/>
      <c r="BCU57" s="12"/>
      <c r="BCV57" s="12"/>
      <c r="BCW57" s="12"/>
      <c r="BCX57" s="12"/>
      <c r="BCY57" s="12"/>
      <c r="BCZ57" s="12"/>
      <c r="BDA57" s="12"/>
      <c r="BDB57" s="12"/>
      <c r="BDC57" s="12"/>
      <c r="BDD57" s="12"/>
      <c r="BDE57" s="12"/>
      <c r="BDF57" s="12"/>
      <c r="BDG57" s="12"/>
      <c r="BDH57" s="12"/>
      <c r="BDI57" s="12"/>
      <c r="BDJ57" s="12"/>
      <c r="BDK57" s="12"/>
      <c r="BDL57" s="12"/>
      <c r="BDM57" s="12"/>
      <c r="BDN57" s="12"/>
      <c r="BDO57" s="12"/>
      <c r="BDP57" s="12"/>
      <c r="BDQ57" s="12"/>
      <c r="BDR57" s="12"/>
      <c r="BDS57" s="12"/>
      <c r="BDT57" s="12"/>
      <c r="BDU57" s="12"/>
      <c r="BDV57" s="12"/>
      <c r="BDW57" s="12"/>
      <c r="BDX57" s="12"/>
      <c r="BDY57" s="12"/>
      <c r="BDZ57" s="12"/>
      <c r="BEA57" s="12"/>
      <c r="BEB57" s="12"/>
      <c r="BEC57" s="12"/>
      <c r="BED57" s="12"/>
      <c r="BEE57" s="12"/>
      <c r="BEF57" s="12"/>
      <c r="BEG57" s="12"/>
      <c r="BEH57" s="12"/>
      <c r="BEI57" s="12"/>
      <c r="BEJ57" s="12"/>
      <c r="BEK57" s="12"/>
      <c r="BEL57" s="12"/>
      <c r="BEM57" s="12"/>
      <c r="BEN57" s="12"/>
      <c r="BEO57" s="12"/>
      <c r="BEP57" s="12"/>
      <c r="BEQ57" s="12"/>
      <c r="BER57" s="12"/>
      <c r="BES57" s="12"/>
      <c r="BET57" s="12"/>
      <c r="BEU57" s="12"/>
      <c r="BEV57" s="12"/>
      <c r="BEW57" s="12"/>
      <c r="BEX57" s="12"/>
      <c r="BEY57" s="12"/>
      <c r="BEZ57" s="12"/>
      <c r="BFA57" s="12"/>
      <c r="BFB57" s="12"/>
      <c r="BFC57" s="12"/>
      <c r="BFD57" s="12"/>
      <c r="BFE57" s="12"/>
      <c r="BFF57" s="12"/>
      <c r="BFG57" s="12"/>
      <c r="BFH57" s="12"/>
      <c r="BFI57" s="12"/>
      <c r="BFJ57" s="12"/>
      <c r="BFK57" s="12"/>
      <c r="BFL57" s="12"/>
      <c r="BFM57" s="12"/>
      <c r="BFN57" s="12"/>
      <c r="BFO57" s="12"/>
      <c r="BFP57" s="12"/>
      <c r="BFQ57" s="12"/>
      <c r="BFR57" s="12"/>
      <c r="BFS57" s="12"/>
      <c r="BFT57" s="12"/>
      <c r="BFU57" s="12"/>
      <c r="BFV57" s="12"/>
      <c r="BFW57" s="12"/>
      <c r="BFX57" s="12"/>
      <c r="BFY57" s="12"/>
      <c r="BFZ57" s="12"/>
      <c r="BGA57" s="12"/>
      <c r="BGB57" s="12"/>
      <c r="BGC57" s="12"/>
      <c r="BGD57" s="12"/>
      <c r="BGE57" s="12"/>
      <c r="BGF57" s="12"/>
      <c r="BGG57" s="12"/>
      <c r="BGH57" s="12"/>
      <c r="BGI57" s="12"/>
      <c r="BGJ57" s="12"/>
      <c r="BGK57" s="12"/>
      <c r="BGL57" s="12"/>
      <c r="BGM57" s="12"/>
      <c r="BGN57" s="12"/>
      <c r="BGO57" s="12"/>
      <c r="BGP57" s="12"/>
      <c r="BGQ57" s="12"/>
      <c r="BGR57" s="12"/>
      <c r="BGS57" s="12"/>
      <c r="BGT57" s="12"/>
      <c r="BGU57" s="12"/>
      <c r="BGV57" s="12"/>
      <c r="BGW57" s="12"/>
      <c r="BGX57" s="12"/>
      <c r="BGY57" s="12"/>
      <c r="BGZ57" s="12"/>
      <c r="BHA57" s="12"/>
      <c r="BHB57" s="12"/>
      <c r="BHC57" s="12"/>
      <c r="BHD57" s="12"/>
      <c r="BHE57" s="12"/>
      <c r="BHF57" s="12"/>
      <c r="BHG57" s="12"/>
      <c r="BHH57" s="12"/>
    </row>
    <row r="58" spans="1:1568" ht="12.75" customHeight="1" x14ac:dyDescent="0.2">
      <c r="A58" s="727"/>
      <c r="B58" s="761" t="s">
        <v>1750</v>
      </c>
      <c r="C58" s="707">
        <v>185000</v>
      </c>
      <c r="D58" s="707">
        <v>185000</v>
      </c>
      <c r="E58" s="707">
        <v>134775</v>
      </c>
      <c r="F58" s="1163"/>
      <c r="G58" s="1243">
        <f t="shared" si="30"/>
        <v>72.851351351351354</v>
      </c>
      <c r="H58" s="1248">
        <f t="shared" si="31"/>
        <v>72.851351351351354</v>
      </c>
      <c r="I58" s="1249">
        <f t="shared" si="27"/>
        <v>90</v>
      </c>
      <c r="J58" s="1179">
        <v>149750</v>
      </c>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c r="IE58" s="12"/>
      <c r="IF58" s="12"/>
      <c r="IG58" s="12"/>
      <c r="IH58" s="12"/>
      <c r="II58" s="12"/>
      <c r="IJ58" s="12"/>
      <c r="IK58" s="12"/>
      <c r="IL58" s="12"/>
      <c r="IM58" s="12"/>
      <c r="IN58" s="12"/>
      <c r="IO58" s="12"/>
      <c r="IP58" s="12"/>
      <c r="IQ58" s="12"/>
      <c r="IR58" s="12"/>
      <c r="IS58" s="12"/>
      <c r="IT58" s="12"/>
      <c r="IU58" s="12"/>
      <c r="IV58" s="12"/>
      <c r="IW58" s="12"/>
      <c r="IX58" s="12"/>
      <c r="IY58" s="12"/>
      <c r="IZ58" s="12"/>
      <c r="JA58" s="12"/>
      <c r="JB58" s="12"/>
      <c r="JC58" s="12"/>
      <c r="JD58" s="12"/>
      <c r="JE58" s="12"/>
      <c r="JF58" s="12"/>
      <c r="JG58" s="12"/>
      <c r="JH58" s="12"/>
      <c r="JI58" s="12"/>
      <c r="JJ58" s="12"/>
      <c r="JK58" s="12"/>
      <c r="JL58" s="12"/>
      <c r="JM58" s="12"/>
      <c r="JN58" s="12"/>
      <c r="JO58" s="12"/>
      <c r="JP58" s="12"/>
      <c r="JQ58" s="12"/>
      <c r="JR58" s="12"/>
      <c r="JS58" s="12"/>
      <c r="JT58" s="12"/>
      <c r="JU58" s="12"/>
      <c r="JV58" s="12"/>
      <c r="JW58" s="12"/>
      <c r="JX58" s="12"/>
      <c r="JY58" s="12"/>
      <c r="JZ58" s="12"/>
      <c r="KA58" s="12"/>
      <c r="KB58" s="12"/>
      <c r="KC58" s="12"/>
      <c r="KD58" s="12"/>
      <c r="KE58" s="12"/>
      <c r="KF58" s="12"/>
      <c r="KG58" s="12"/>
      <c r="KH58" s="12"/>
      <c r="KI58" s="12"/>
      <c r="KJ58" s="12"/>
      <c r="KK58" s="12"/>
      <c r="KL58" s="12"/>
      <c r="KM58" s="12"/>
      <c r="KN58" s="12"/>
      <c r="KO58" s="12"/>
      <c r="KP58" s="12"/>
      <c r="KQ58" s="12"/>
      <c r="KR58" s="12"/>
      <c r="KS58" s="12"/>
      <c r="KT58" s="12"/>
      <c r="KU58" s="12"/>
      <c r="KV58" s="12"/>
      <c r="KW58" s="12"/>
      <c r="KX58" s="12"/>
      <c r="KY58" s="12"/>
      <c r="KZ58" s="12"/>
      <c r="LA58" s="12"/>
      <c r="LB58" s="12"/>
      <c r="LC58" s="12"/>
      <c r="LD58" s="12"/>
      <c r="LE58" s="12"/>
      <c r="LF58" s="12"/>
      <c r="LG58" s="12"/>
      <c r="LH58" s="12"/>
      <c r="LI58" s="12"/>
      <c r="LJ58" s="12"/>
      <c r="LK58" s="12"/>
      <c r="LL58" s="12"/>
      <c r="LM58" s="12"/>
      <c r="LN58" s="12"/>
      <c r="LO58" s="12"/>
      <c r="LP58" s="12"/>
      <c r="LQ58" s="12"/>
      <c r="LR58" s="12"/>
      <c r="LS58" s="12"/>
      <c r="LT58" s="12"/>
      <c r="LU58" s="12"/>
      <c r="LV58" s="12"/>
      <c r="LW58" s="12"/>
      <c r="LX58" s="12"/>
      <c r="LY58" s="12"/>
      <c r="LZ58" s="12"/>
      <c r="MA58" s="12"/>
      <c r="MB58" s="12"/>
      <c r="MC58" s="12"/>
      <c r="MD58" s="12"/>
      <c r="ME58" s="12"/>
      <c r="MF58" s="12"/>
      <c r="MG58" s="12"/>
      <c r="MH58" s="12"/>
      <c r="MI58" s="12"/>
      <c r="MJ58" s="12"/>
      <c r="MK58" s="12"/>
      <c r="ML58" s="12"/>
      <c r="MM58" s="12"/>
      <c r="MN58" s="12"/>
      <c r="MO58" s="12"/>
      <c r="MP58" s="12"/>
      <c r="MQ58" s="12"/>
      <c r="MR58" s="12"/>
      <c r="MS58" s="12"/>
      <c r="MT58" s="12"/>
      <c r="MU58" s="12"/>
      <c r="MV58" s="12"/>
      <c r="MW58" s="12"/>
      <c r="MX58" s="12"/>
      <c r="MY58" s="12"/>
      <c r="MZ58" s="12"/>
      <c r="NA58" s="12"/>
      <c r="NB58" s="12"/>
      <c r="NC58" s="12"/>
      <c r="ND58" s="12"/>
      <c r="NE58" s="12"/>
      <c r="NF58" s="12"/>
      <c r="NG58" s="12"/>
      <c r="NH58" s="12"/>
      <c r="NI58" s="12"/>
      <c r="NJ58" s="12"/>
      <c r="NK58" s="12"/>
      <c r="NL58" s="12"/>
      <c r="NM58" s="12"/>
      <c r="NN58" s="12"/>
      <c r="NO58" s="12"/>
      <c r="NP58" s="12"/>
      <c r="NQ58" s="12"/>
      <c r="NR58" s="12"/>
      <c r="NS58" s="12"/>
      <c r="NT58" s="12"/>
      <c r="NU58" s="12"/>
      <c r="NV58" s="12"/>
      <c r="NW58" s="12"/>
      <c r="NX58" s="12"/>
      <c r="NY58" s="12"/>
      <c r="NZ58" s="12"/>
      <c r="OA58" s="12"/>
      <c r="OB58" s="12"/>
      <c r="OC58" s="12"/>
      <c r="OD58" s="12"/>
      <c r="OE58" s="12"/>
      <c r="OF58" s="12"/>
      <c r="OG58" s="12"/>
      <c r="OH58" s="12"/>
      <c r="OI58" s="12"/>
      <c r="OJ58" s="12"/>
      <c r="OK58" s="12"/>
      <c r="OL58" s="12"/>
      <c r="OM58" s="12"/>
      <c r="ON58" s="12"/>
      <c r="OO58" s="12"/>
      <c r="OP58" s="12"/>
      <c r="OQ58" s="12"/>
      <c r="OR58" s="12"/>
      <c r="OS58" s="12"/>
      <c r="OT58" s="12"/>
      <c r="OU58" s="12"/>
      <c r="OV58" s="12"/>
      <c r="OW58" s="12"/>
      <c r="OX58" s="12"/>
      <c r="OY58" s="12"/>
      <c r="OZ58" s="12"/>
      <c r="PA58" s="12"/>
      <c r="PB58" s="12"/>
      <c r="PC58" s="12"/>
      <c r="PD58" s="12"/>
      <c r="PE58" s="12"/>
      <c r="PF58" s="12"/>
      <c r="PG58" s="12"/>
      <c r="PH58" s="12"/>
      <c r="PI58" s="12"/>
      <c r="PJ58" s="12"/>
      <c r="PK58" s="12"/>
      <c r="PL58" s="12"/>
      <c r="PM58" s="12"/>
      <c r="PN58" s="12"/>
      <c r="PO58" s="12"/>
      <c r="PP58" s="12"/>
      <c r="PQ58" s="12"/>
      <c r="PR58" s="12"/>
      <c r="PS58" s="12"/>
      <c r="PT58" s="12"/>
      <c r="PU58" s="12"/>
      <c r="PV58" s="12"/>
      <c r="PW58" s="12"/>
      <c r="PX58" s="12"/>
      <c r="PY58" s="12"/>
      <c r="PZ58" s="12"/>
      <c r="QA58" s="12"/>
      <c r="QB58" s="12"/>
      <c r="QC58" s="12"/>
      <c r="QD58" s="12"/>
      <c r="QE58" s="12"/>
      <c r="QF58" s="12"/>
      <c r="QG58" s="12"/>
      <c r="QH58" s="12"/>
      <c r="QI58" s="12"/>
      <c r="QJ58" s="12"/>
      <c r="QK58" s="12"/>
      <c r="QL58" s="12"/>
      <c r="QM58" s="12"/>
      <c r="QN58" s="12"/>
      <c r="QO58" s="12"/>
      <c r="QP58" s="12"/>
      <c r="QQ58" s="12"/>
      <c r="QR58" s="12"/>
      <c r="QS58" s="12"/>
      <c r="QT58" s="12"/>
      <c r="QU58" s="12"/>
      <c r="QV58" s="12"/>
      <c r="QW58" s="12"/>
      <c r="QX58" s="12"/>
      <c r="QY58" s="12"/>
      <c r="QZ58" s="12"/>
      <c r="RA58" s="12"/>
      <c r="RB58" s="12"/>
      <c r="RC58" s="12"/>
      <c r="RD58" s="12"/>
      <c r="RE58" s="12"/>
      <c r="RF58" s="12"/>
      <c r="RG58" s="12"/>
      <c r="RH58" s="12"/>
      <c r="RI58" s="12"/>
      <c r="RJ58" s="12"/>
      <c r="RK58" s="12"/>
      <c r="RL58" s="12"/>
      <c r="RM58" s="12"/>
      <c r="RN58" s="12"/>
      <c r="RO58" s="12"/>
      <c r="RP58" s="12"/>
      <c r="RQ58" s="12"/>
      <c r="RR58" s="12"/>
      <c r="RS58" s="12"/>
      <c r="RT58" s="12"/>
      <c r="RU58" s="12"/>
      <c r="RV58" s="12"/>
      <c r="RW58" s="12"/>
      <c r="RX58" s="12"/>
      <c r="RY58" s="12"/>
      <c r="RZ58" s="12"/>
      <c r="SA58" s="12"/>
      <c r="SB58" s="12"/>
      <c r="SC58" s="12"/>
      <c r="SD58" s="12"/>
      <c r="SE58" s="12"/>
      <c r="SF58" s="12"/>
      <c r="SG58" s="12"/>
      <c r="SH58" s="12"/>
      <c r="SI58" s="12"/>
      <c r="SJ58" s="12"/>
      <c r="SK58" s="12"/>
      <c r="SL58" s="12"/>
      <c r="SM58" s="12"/>
      <c r="SN58" s="12"/>
      <c r="SO58" s="12"/>
      <c r="SP58" s="12"/>
      <c r="SQ58" s="12"/>
      <c r="SR58" s="12"/>
      <c r="SS58" s="12"/>
      <c r="ST58" s="12"/>
      <c r="SU58" s="12"/>
      <c r="SV58" s="12"/>
      <c r="SW58" s="12"/>
      <c r="SX58" s="12"/>
      <c r="SY58" s="12"/>
      <c r="SZ58" s="12"/>
      <c r="TA58" s="12"/>
      <c r="TB58" s="12"/>
      <c r="TC58" s="12"/>
      <c r="TD58" s="12"/>
      <c r="TE58" s="12"/>
      <c r="TF58" s="12"/>
      <c r="TG58" s="12"/>
      <c r="TH58" s="12"/>
      <c r="TI58" s="12"/>
      <c r="TJ58" s="12"/>
      <c r="TK58" s="12"/>
      <c r="TL58" s="12"/>
      <c r="TM58" s="12"/>
      <c r="TN58" s="12"/>
      <c r="TO58" s="12"/>
      <c r="TP58" s="12"/>
      <c r="TQ58" s="12"/>
      <c r="TR58" s="12"/>
      <c r="TS58" s="12"/>
      <c r="TT58" s="12"/>
      <c r="TU58" s="12"/>
      <c r="TV58" s="12"/>
      <c r="TW58" s="12"/>
      <c r="TX58" s="12"/>
      <c r="TY58" s="12"/>
      <c r="TZ58" s="12"/>
      <c r="UA58" s="12"/>
      <c r="UB58" s="12"/>
      <c r="UC58" s="12"/>
      <c r="UD58" s="12"/>
      <c r="UE58" s="12"/>
      <c r="UF58" s="12"/>
      <c r="UG58" s="12"/>
      <c r="UH58" s="12"/>
      <c r="UI58" s="12"/>
      <c r="UJ58" s="12"/>
      <c r="UK58" s="12"/>
      <c r="UL58" s="12"/>
      <c r="UM58" s="12"/>
      <c r="UN58" s="12"/>
      <c r="UO58" s="12"/>
      <c r="UP58" s="12"/>
      <c r="UQ58" s="12"/>
      <c r="UR58" s="12"/>
      <c r="US58" s="12"/>
      <c r="UT58" s="12"/>
      <c r="UU58" s="12"/>
      <c r="UV58" s="12"/>
      <c r="UW58" s="12"/>
      <c r="UX58" s="12"/>
      <c r="UY58" s="12"/>
      <c r="UZ58" s="12"/>
      <c r="VA58" s="12"/>
      <c r="VB58" s="12"/>
      <c r="VC58" s="12"/>
      <c r="VD58" s="12"/>
      <c r="VE58" s="12"/>
      <c r="VF58" s="12"/>
      <c r="VG58" s="12"/>
      <c r="VH58" s="12"/>
      <c r="VI58" s="12"/>
      <c r="VJ58" s="12"/>
      <c r="VK58" s="12"/>
      <c r="VL58" s="12"/>
      <c r="VM58" s="12"/>
      <c r="VN58" s="12"/>
      <c r="VO58" s="12"/>
      <c r="VP58" s="12"/>
      <c r="VQ58" s="12"/>
      <c r="VR58" s="12"/>
      <c r="VS58" s="12"/>
      <c r="VT58" s="12"/>
      <c r="VU58" s="12"/>
      <c r="VV58" s="12"/>
      <c r="VW58" s="12"/>
      <c r="VX58" s="12"/>
      <c r="VY58" s="12"/>
      <c r="VZ58" s="12"/>
      <c r="WA58" s="12"/>
      <c r="WB58" s="12"/>
      <c r="WC58" s="12"/>
      <c r="WD58" s="12"/>
      <c r="WE58" s="12"/>
      <c r="WF58" s="12"/>
      <c r="WG58" s="12"/>
      <c r="WH58" s="12"/>
      <c r="WI58" s="12"/>
      <c r="WJ58" s="12"/>
      <c r="WK58" s="12"/>
      <c r="WL58" s="12"/>
      <c r="WM58" s="12"/>
      <c r="WN58" s="12"/>
      <c r="WO58" s="12"/>
      <c r="WP58" s="12"/>
      <c r="WQ58" s="12"/>
      <c r="WR58" s="12"/>
      <c r="WS58" s="12"/>
      <c r="WT58" s="12"/>
      <c r="WU58" s="12"/>
      <c r="WV58" s="12"/>
      <c r="WW58" s="12"/>
      <c r="WX58" s="12"/>
      <c r="WY58" s="12"/>
      <c r="WZ58" s="12"/>
      <c r="XA58" s="12"/>
      <c r="XB58" s="12"/>
      <c r="XC58" s="12"/>
      <c r="XD58" s="12"/>
      <c r="XE58" s="12"/>
      <c r="XF58" s="12"/>
      <c r="XG58" s="12"/>
      <c r="XH58" s="12"/>
      <c r="XI58" s="12"/>
      <c r="XJ58" s="12"/>
      <c r="XK58" s="12"/>
      <c r="XL58" s="12"/>
      <c r="XM58" s="12"/>
      <c r="XN58" s="12"/>
      <c r="XO58" s="12"/>
      <c r="XP58" s="12"/>
      <c r="XQ58" s="12"/>
      <c r="XR58" s="12"/>
      <c r="XS58" s="12"/>
      <c r="XT58" s="12"/>
      <c r="XU58" s="12"/>
      <c r="XV58" s="12"/>
      <c r="XW58" s="12"/>
      <c r="XX58" s="12"/>
      <c r="XY58" s="12"/>
      <c r="XZ58" s="12"/>
      <c r="YA58" s="12"/>
      <c r="YB58" s="12"/>
      <c r="YC58" s="12"/>
      <c r="YD58" s="12"/>
      <c r="YE58" s="12"/>
      <c r="YF58" s="12"/>
      <c r="YG58" s="12"/>
      <c r="YH58" s="12"/>
      <c r="YI58" s="12"/>
      <c r="YJ58" s="12"/>
      <c r="YK58" s="12"/>
      <c r="YL58" s="12"/>
      <c r="YM58" s="12"/>
      <c r="YN58" s="12"/>
      <c r="YO58" s="12"/>
      <c r="YP58" s="12"/>
      <c r="YQ58" s="12"/>
      <c r="YR58" s="12"/>
      <c r="YS58" s="12"/>
      <c r="YT58" s="12"/>
      <c r="YU58" s="12"/>
      <c r="YV58" s="12"/>
      <c r="YW58" s="12"/>
      <c r="YX58" s="12"/>
      <c r="YY58" s="12"/>
      <c r="YZ58" s="12"/>
      <c r="ZA58" s="12"/>
      <c r="ZB58" s="12"/>
      <c r="ZC58" s="12"/>
      <c r="ZD58" s="12"/>
      <c r="ZE58" s="12"/>
      <c r="ZF58" s="12"/>
      <c r="ZG58" s="12"/>
      <c r="ZH58" s="12"/>
      <c r="ZI58" s="12"/>
      <c r="ZJ58" s="12"/>
      <c r="ZK58" s="12"/>
      <c r="ZL58" s="12"/>
      <c r="ZM58" s="12"/>
      <c r="ZN58" s="12"/>
      <c r="ZO58" s="12"/>
      <c r="ZP58" s="12"/>
      <c r="ZQ58" s="12"/>
      <c r="ZR58" s="12"/>
      <c r="ZS58" s="12"/>
      <c r="ZT58" s="12"/>
      <c r="ZU58" s="12"/>
      <c r="ZV58" s="12"/>
      <c r="ZW58" s="12"/>
      <c r="ZX58" s="12"/>
      <c r="ZY58" s="12"/>
      <c r="ZZ58" s="12"/>
      <c r="AAA58" s="12"/>
      <c r="AAB58" s="12"/>
      <c r="AAC58" s="12"/>
      <c r="AAD58" s="12"/>
      <c r="AAE58" s="12"/>
      <c r="AAF58" s="12"/>
      <c r="AAG58" s="12"/>
      <c r="AAH58" s="12"/>
      <c r="AAI58" s="12"/>
      <c r="AAJ58" s="12"/>
      <c r="AAK58" s="12"/>
      <c r="AAL58" s="12"/>
      <c r="AAM58" s="12"/>
      <c r="AAN58" s="12"/>
      <c r="AAO58" s="12"/>
      <c r="AAP58" s="12"/>
      <c r="AAQ58" s="12"/>
      <c r="AAR58" s="12"/>
      <c r="AAS58" s="12"/>
      <c r="AAT58" s="12"/>
      <c r="AAU58" s="12"/>
      <c r="AAV58" s="12"/>
      <c r="AAW58" s="12"/>
      <c r="AAX58" s="12"/>
      <c r="AAY58" s="12"/>
      <c r="AAZ58" s="12"/>
      <c r="ABA58" s="12"/>
      <c r="ABB58" s="12"/>
      <c r="ABC58" s="12"/>
      <c r="ABD58" s="12"/>
      <c r="ABE58" s="12"/>
      <c r="ABF58" s="12"/>
      <c r="ABG58" s="12"/>
      <c r="ABH58" s="12"/>
      <c r="ABI58" s="12"/>
      <c r="ABJ58" s="12"/>
      <c r="ABK58" s="12"/>
      <c r="ABL58" s="12"/>
      <c r="ABM58" s="12"/>
      <c r="ABN58" s="12"/>
      <c r="ABO58" s="12"/>
      <c r="ABP58" s="12"/>
      <c r="ABQ58" s="12"/>
      <c r="ABR58" s="12"/>
      <c r="ABS58" s="12"/>
      <c r="ABT58" s="12"/>
      <c r="ABU58" s="12"/>
      <c r="ABV58" s="12"/>
      <c r="ABW58" s="12"/>
      <c r="ABX58" s="12"/>
      <c r="ABY58" s="12"/>
      <c r="ABZ58" s="12"/>
      <c r="ACA58" s="12"/>
      <c r="ACB58" s="12"/>
      <c r="ACC58" s="12"/>
      <c r="ACD58" s="12"/>
      <c r="ACE58" s="12"/>
      <c r="ACF58" s="12"/>
      <c r="ACG58" s="12"/>
      <c r="ACH58" s="12"/>
      <c r="ACI58" s="12"/>
      <c r="ACJ58" s="12"/>
      <c r="ACK58" s="12"/>
      <c r="ACL58" s="12"/>
      <c r="ACM58" s="12"/>
      <c r="ACN58" s="12"/>
      <c r="ACO58" s="12"/>
      <c r="ACP58" s="12"/>
      <c r="ACQ58" s="12"/>
      <c r="ACR58" s="12"/>
      <c r="ACS58" s="12"/>
      <c r="ACT58" s="12"/>
      <c r="ACU58" s="12"/>
      <c r="ACV58" s="12"/>
      <c r="ACW58" s="12"/>
      <c r="ACX58" s="12"/>
      <c r="ACY58" s="12"/>
      <c r="ACZ58" s="12"/>
      <c r="ADA58" s="12"/>
      <c r="ADB58" s="12"/>
      <c r="ADC58" s="12"/>
      <c r="ADD58" s="12"/>
      <c r="ADE58" s="12"/>
      <c r="ADF58" s="12"/>
      <c r="ADG58" s="12"/>
      <c r="ADH58" s="12"/>
      <c r="ADI58" s="12"/>
      <c r="ADJ58" s="12"/>
      <c r="ADK58" s="12"/>
      <c r="ADL58" s="12"/>
      <c r="ADM58" s="12"/>
      <c r="ADN58" s="12"/>
      <c r="ADO58" s="12"/>
      <c r="ADP58" s="12"/>
      <c r="ADQ58" s="12"/>
      <c r="ADR58" s="12"/>
      <c r="ADS58" s="12"/>
      <c r="ADT58" s="12"/>
      <c r="ADU58" s="12"/>
      <c r="ADV58" s="12"/>
      <c r="ADW58" s="12"/>
      <c r="ADX58" s="12"/>
      <c r="ADY58" s="12"/>
      <c r="ADZ58" s="12"/>
      <c r="AEA58" s="12"/>
      <c r="AEB58" s="12"/>
      <c r="AEC58" s="12"/>
      <c r="AED58" s="12"/>
      <c r="AEE58" s="12"/>
      <c r="AEF58" s="12"/>
      <c r="AEG58" s="12"/>
      <c r="AEH58" s="12"/>
      <c r="AEI58" s="12"/>
      <c r="AEJ58" s="12"/>
      <c r="AEK58" s="12"/>
      <c r="AEL58" s="12"/>
      <c r="AEM58" s="12"/>
      <c r="AEN58" s="12"/>
      <c r="AEO58" s="12"/>
      <c r="AEP58" s="12"/>
      <c r="AEQ58" s="12"/>
      <c r="AER58" s="12"/>
      <c r="AES58" s="12"/>
      <c r="AET58" s="12"/>
      <c r="AEU58" s="12"/>
      <c r="AEV58" s="12"/>
      <c r="AEW58" s="12"/>
      <c r="AEX58" s="12"/>
      <c r="AEY58" s="12"/>
      <c r="AEZ58" s="12"/>
      <c r="AFA58" s="12"/>
      <c r="AFB58" s="12"/>
      <c r="AFC58" s="12"/>
      <c r="AFD58" s="12"/>
      <c r="AFE58" s="12"/>
      <c r="AFF58" s="12"/>
      <c r="AFG58" s="12"/>
      <c r="AFH58" s="12"/>
      <c r="AFI58" s="12"/>
      <c r="AFJ58" s="12"/>
      <c r="AFK58" s="12"/>
      <c r="AFL58" s="12"/>
      <c r="AFM58" s="12"/>
      <c r="AFN58" s="12"/>
      <c r="AFO58" s="12"/>
      <c r="AFP58" s="12"/>
      <c r="AFQ58" s="12"/>
      <c r="AFR58" s="12"/>
      <c r="AFS58" s="12"/>
      <c r="AFT58" s="12"/>
      <c r="AFU58" s="12"/>
      <c r="AFV58" s="12"/>
      <c r="AFW58" s="12"/>
      <c r="AFX58" s="12"/>
      <c r="AFY58" s="12"/>
      <c r="AFZ58" s="12"/>
      <c r="AGA58" s="12"/>
      <c r="AGB58" s="12"/>
      <c r="AGC58" s="12"/>
      <c r="AGD58" s="12"/>
      <c r="AGE58" s="12"/>
      <c r="AGF58" s="12"/>
      <c r="AGG58" s="12"/>
      <c r="AGH58" s="12"/>
      <c r="AGI58" s="12"/>
      <c r="AGJ58" s="12"/>
      <c r="AGK58" s="12"/>
      <c r="AGL58" s="12"/>
      <c r="AGM58" s="12"/>
      <c r="AGN58" s="12"/>
      <c r="AGO58" s="12"/>
      <c r="AGP58" s="12"/>
      <c r="AGQ58" s="12"/>
      <c r="AGR58" s="12"/>
      <c r="AGS58" s="12"/>
      <c r="AGT58" s="12"/>
      <c r="AGU58" s="12"/>
      <c r="AGV58" s="12"/>
      <c r="AGW58" s="12"/>
      <c r="AGX58" s="12"/>
      <c r="AGY58" s="12"/>
      <c r="AGZ58" s="12"/>
      <c r="AHA58" s="12"/>
      <c r="AHB58" s="12"/>
      <c r="AHC58" s="12"/>
      <c r="AHD58" s="12"/>
      <c r="AHE58" s="12"/>
      <c r="AHF58" s="12"/>
      <c r="AHG58" s="12"/>
      <c r="AHH58" s="12"/>
      <c r="AHI58" s="12"/>
      <c r="AHJ58" s="12"/>
      <c r="AHK58" s="12"/>
      <c r="AHL58" s="12"/>
      <c r="AHM58" s="12"/>
      <c r="AHN58" s="12"/>
      <c r="AHO58" s="12"/>
      <c r="AHP58" s="12"/>
      <c r="AHQ58" s="12"/>
      <c r="AHR58" s="12"/>
      <c r="AHS58" s="12"/>
      <c r="AHT58" s="12"/>
      <c r="AHU58" s="12"/>
      <c r="AHV58" s="12"/>
      <c r="AHW58" s="12"/>
      <c r="AHX58" s="12"/>
      <c r="AHY58" s="12"/>
      <c r="AHZ58" s="12"/>
      <c r="AIA58" s="12"/>
      <c r="AIB58" s="12"/>
      <c r="AIC58" s="12"/>
      <c r="AID58" s="12"/>
      <c r="AIE58" s="12"/>
      <c r="AIF58" s="12"/>
      <c r="AIG58" s="12"/>
      <c r="AIH58" s="12"/>
      <c r="AII58" s="12"/>
      <c r="AIJ58" s="12"/>
      <c r="AIK58" s="12"/>
      <c r="AIL58" s="12"/>
      <c r="AIM58" s="12"/>
      <c r="AIN58" s="12"/>
      <c r="AIO58" s="12"/>
      <c r="AIP58" s="12"/>
      <c r="AIQ58" s="12"/>
      <c r="AIR58" s="12"/>
      <c r="AIS58" s="12"/>
      <c r="AIT58" s="12"/>
      <c r="AIU58" s="12"/>
      <c r="AIV58" s="12"/>
      <c r="AIW58" s="12"/>
      <c r="AIX58" s="12"/>
      <c r="AIY58" s="12"/>
      <c r="AIZ58" s="12"/>
      <c r="AJA58" s="12"/>
      <c r="AJB58" s="12"/>
      <c r="AJC58" s="12"/>
      <c r="AJD58" s="12"/>
      <c r="AJE58" s="12"/>
      <c r="AJF58" s="12"/>
      <c r="AJG58" s="12"/>
      <c r="AJH58" s="12"/>
      <c r="AJI58" s="12"/>
      <c r="AJJ58" s="12"/>
      <c r="AJK58" s="12"/>
      <c r="AJL58" s="12"/>
      <c r="AJM58" s="12"/>
      <c r="AJN58" s="12"/>
      <c r="AJO58" s="12"/>
      <c r="AJP58" s="12"/>
      <c r="AJQ58" s="12"/>
      <c r="AJR58" s="12"/>
      <c r="AJS58" s="12"/>
      <c r="AJT58" s="12"/>
      <c r="AJU58" s="12"/>
      <c r="AJV58" s="12"/>
      <c r="AJW58" s="12"/>
      <c r="AJX58" s="12"/>
      <c r="AJY58" s="12"/>
      <c r="AJZ58" s="12"/>
      <c r="AKA58" s="12"/>
      <c r="AKB58" s="12"/>
      <c r="AKC58" s="12"/>
      <c r="AKD58" s="12"/>
      <c r="AKE58" s="12"/>
      <c r="AKF58" s="12"/>
      <c r="AKG58" s="12"/>
      <c r="AKH58" s="12"/>
      <c r="AKI58" s="12"/>
      <c r="AKJ58" s="12"/>
      <c r="AKK58" s="12"/>
      <c r="AKL58" s="12"/>
      <c r="AKM58" s="12"/>
      <c r="AKN58" s="12"/>
      <c r="AKO58" s="12"/>
      <c r="AKP58" s="12"/>
      <c r="AKQ58" s="12"/>
      <c r="AKR58" s="12"/>
      <c r="AKS58" s="12"/>
      <c r="AKT58" s="12"/>
      <c r="AKU58" s="12"/>
      <c r="AKV58" s="12"/>
      <c r="AKW58" s="12"/>
      <c r="AKX58" s="12"/>
      <c r="AKY58" s="12"/>
      <c r="AKZ58" s="12"/>
      <c r="ALA58" s="12"/>
      <c r="ALB58" s="12"/>
      <c r="ALC58" s="12"/>
      <c r="ALD58" s="12"/>
      <c r="ALE58" s="12"/>
      <c r="ALF58" s="12"/>
      <c r="ALG58" s="12"/>
      <c r="ALH58" s="12"/>
      <c r="ALI58" s="12"/>
      <c r="ALJ58" s="12"/>
      <c r="ALK58" s="12"/>
      <c r="ALL58" s="12"/>
      <c r="ALM58" s="12"/>
      <c r="ALN58" s="12"/>
      <c r="ALO58" s="12"/>
      <c r="ALP58" s="12"/>
      <c r="ALQ58" s="12"/>
      <c r="ALR58" s="12"/>
      <c r="ALS58" s="12"/>
      <c r="ALT58" s="12"/>
      <c r="ALU58" s="12"/>
      <c r="ALV58" s="12"/>
      <c r="ALW58" s="12"/>
      <c r="ALX58" s="12"/>
      <c r="ALY58" s="12"/>
      <c r="ALZ58" s="12"/>
      <c r="AMA58" s="12"/>
      <c r="AMB58" s="12"/>
      <c r="AMC58" s="12"/>
      <c r="AMD58" s="12"/>
      <c r="AME58" s="12"/>
      <c r="AMF58" s="12"/>
      <c r="AMG58" s="12"/>
      <c r="AMH58" s="12"/>
      <c r="AMI58" s="12"/>
      <c r="AMJ58" s="12"/>
      <c r="AMK58" s="12"/>
      <c r="AML58" s="12"/>
      <c r="AMM58" s="12"/>
      <c r="AMN58" s="12"/>
      <c r="AMO58" s="12"/>
      <c r="AMP58" s="12"/>
      <c r="AMQ58" s="12"/>
      <c r="AMR58" s="12"/>
      <c r="AMS58" s="12"/>
      <c r="AMT58" s="12"/>
      <c r="AMU58" s="12"/>
      <c r="AMV58" s="12"/>
      <c r="AMW58" s="12"/>
      <c r="AMX58" s="12"/>
      <c r="AMY58" s="12"/>
      <c r="AMZ58" s="12"/>
      <c r="ANA58" s="12"/>
      <c r="ANB58" s="12"/>
      <c r="ANC58" s="12"/>
      <c r="AND58" s="12"/>
      <c r="ANE58" s="12"/>
      <c r="ANF58" s="12"/>
      <c r="ANG58" s="12"/>
      <c r="ANH58" s="12"/>
      <c r="ANI58" s="12"/>
      <c r="ANJ58" s="12"/>
      <c r="ANK58" s="12"/>
      <c r="ANL58" s="12"/>
      <c r="ANM58" s="12"/>
      <c r="ANN58" s="12"/>
      <c r="ANO58" s="12"/>
      <c r="ANP58" s="12"/>
      <c r="ANQ58" s="12"/>
      <c r="ANR58" s="12"/>
      <c r="ANS58" s="12"/>
      <c r="ANT58" s="12"/>
      <c r="ANU58" s="12"/>
      <c r="ANV58" s="12"/>
      <c r="ANW58" s="12"/>
      <c r="ANX58" s="12"/>
      <c r="ANY58" s="12"/>
      <c r="ANZ58" s="12"/>
      <c r="AOA58" s="12"/>
      <c r="AOB58" s="12"/>
      <c r="AOC58" s="12"/>
      <c r="AOD58" s="12"/>
      <c r="AOE58" s="12"/>
      <c r="AOF58" s="12"/>
      <c r="AOG58" s="12"/>
      <c r="AOH58" s="12"/>
      <c r="AOI58" s="12"/>
      <c r="AOJ58" s="12"/>
      <c r="AOK58" s="12"/>
      <c r="AOL58" s="12"/>
      <c r="AOM58" s="12"/>
      <c r="AON58" s="12"/>
      <c r="AOO58" s="12"/>
      <c r="AOP58" s="12"/>
      <c r="AOQ58" s="12"/>
      <c r="AOR58" s="12"/>
      <c r="AOS58" s="12"/>
      <c r="AOT58" s="12"/>
      <c r="AOU58" s="12"/>
      <c r="AOV58" s="12"/>
      <c r="AOW58" s="12"/>
      <c r="AOX58" s="12"/>
      <c r="AOY58" s="12"/>
      <c r="AOZ58" s="12"/>
      <c r="APA58" s="12"/>
      <c r="APB58" s="12"/>
      <c r="APC58" s="12"/>
      <c r="APD58" s="12"/>
      <c r="APE58" s="12"/>
      <c r="APF58" s="12"/>
      <c r="APG58" s="12"/>
      <c r="APH58" s="12"/>
      <c r="API58" s="12"/>
      <c r="APJ58" s="12"/>
      <c r="APK58" s="12"/>
      <c r="APL58" s="12"/>
      <c r="APM58" s="12"/>
      <c r="APN58" s="12"/>
      <c r="APO58" s="12"/>
      <c r="APP58" s="12"/>
      <c r="APQ58" s="12"/>
      <c r="APR58" s="12"/>
      <c r="APS58" s="12"/>
      <c r="APT58" s="12"/>
      <c r="APU58" s="12"/>
      <c r="APV58" s="12"/>
      <c r="APW58" s="12"/>
      <c r="APX58" s="12"/>
      <c r="APY58" s="12"/>
      <c r="APZ58" s="12"/>
      <c r="AQA58" s="12"/>
      <c r="AQB58" s="12"/>
      <c r="AQC58" s="12"/>
      <c r="AQD58" s="12"/>
      <c r="AQE58" s="12"/>
      <c r="AQF58" s="12"/>
      <c r="AQG58" s="12"/>
      <c r="AQH58" s="12"/>
      <c r="AQI58" s="12"/>
      <c r="AQJ58" s="12"/>
      <c r="AQK58" s="12"/>
      <c r="AQL58" s="12"/>
      <c r="AQM58" s="12"/>
      <c r="AQN58" s="12"/>
      <c r="AQO58" s="12"/>
      <c r="AQP58" s="12"/>
      <c r="AQQ58" s="12"/>
      <c r="AQR58" s="12"/>
      <c r="AQS58" s="12"/>
      <c r="AQT58" s="12"/>
      <c r="AQU58" s="12"/>
      <c r="AQV58" s="12"/>
      <c r="AQW58" s="12"/>
      <c r="AQX58" s="12"/>
      <c r="AQY58" s="12"/>
      <c r="AQZ58" s="12"/>
      <c r="ARA58" s="12"/>
      <c r="ARB58" s="12"/>
      <c r="ARC58" s="12"/>
      <c r="ARD58" s="12"/>
      <c r="ARE58" s="12"/>
      <c r="ARF58" s="12"/>
      <c r="ARG58" s="12"/>
      <c r="ARH58" s="12"/>
      <c r="ARI58" s="12"/>
      <c r="ARJ58" s="12"/>
      <c r="ARK58" s="12"/>
      <c r="ARL58" s="12"/>
      <c r="ARM58" s="12"/>
      <c r="ARN58" s="12"/>
      <c r="ARO58" s="12"/>
      <c r="ARP58" s="12"/>
      <c r="ARQ58" s="12"/>
      <c r="ARR58" s="12"/>
      <c r="ARS58" s="12"/>
      <c r="ART58" s="12"/>
      <c r="ARU58" s="12"/>
      <c r="ARV58" s="12"/>
      <c r="ARW58" s="12"/>
      <c r="ARX58" s="12"/>
      <c r="ARY58" s="12"/>
      <c r="ARZ58" s="12"/>
      <c r="ASA58" s="12"/>
      <c r="ASB58" s="12"/>
      <c r="ASC58" s="12"/>
      <c r="ASD58" s="12"/>
      <c r="ASE58" s="12"/>
      <c r="ASF58" s="12"/>
      <c r="ASG58" s="12"/>
      <c r="ASH58" s="12"/>
      <c r="ASI58" s="12"/>
      <c r="ASJ58" s="12"/>
      <c r="ASK58" s="12"/>
      <c r="ASL58" s="12"/>
      <c r="ASM58" s="12"/>
      <c r="ASN58" s="12"/>
      <c r="ASO58" s="12"/>
      <c r="ASP58" s="12"/>
      <c r="ASQ58" s="12"/>
      <c r="ASR58" s="12"/>
      <c r="ASS58" s="12"/>
      <c r="AST58" s="12"/>
      <c r="ASU58" s="12"/>
      <c r="ASV58" s="12"/>
      <c r="ASW58" s="12"/>
      <c r="ASX58" s="12"/>
      <c r="ASY58" s="12"/>
      <c r="ASZ58" s="12"/>
      <c r="ATA58" s="12"/>
      <c r="ATB58" s="12"/>
      <c r="ATC58" s="12"/>
      <c r="ATD58" s="12"/>
      <c r="ATE58" s="12"/>
      <c r="ATF58" s="12"/>
      <c r="ATG58" s="12"/>
      <c r="ATH58" s="12"/>
      <c r="ATI58" s="12"/>
      <c r="ATJ58" s="12"/>
      <c r="ATK58" s="12"/>
      <c r="ATL58" s="12"/>
      <c r="ATM58" s="12"/>
      <c r="ATN58" s="12"/>
      <c r="ATO58" s="12"/>
      <c r="ATP58" s="12"/>
      <c r="ATQ58" s="12"/>
      <c r="ATR58" s="12"/>
      <c r="ATS58" s="12"/>
      <c r="ATT58" s="12"/>
      <c r="ATU58" s="12"/>
      <c r="ATV58" s="12"/>
      <c r="ATW58" s="12"/>
      <c r="ATX58" s="12"/>
      <c r="ATY58" s="12"/>
      <c r="ATZ58" s="12"/>
      <c r="AUA58" s="12"/>
      <c r="AUB58" s="12"/>
      <c r="AUC58" s="12"/>
      <c r="AUD58" s="12"/>
      <c r="AUE58" s="12"/>
      <c r="AUF58" s="12"/>
      <c r="AUG58" s="12"/>
      <c r="AUH58" s="12"/>
      <c r="AUI58" s="12"/>
      <c r="AUJ58" s="12"/>
      <c r="AUK58" s="12"/>
      <c r="AUL58" s="12"/>
      <c r="AUM58" s="12"/>
      <c r="AUN58" s="12"/>
      <c r="AUO58" s="12"/>
      <c r="AUP58" s="12"/>
      <c r="AUQ58" s="12"/>
      <c r="AUR58" s="12"/>
      <c r="AUS58" s="12"/>
      <c r="AUT58" s="12"/>
      <c r="AUU58" s="12"/>
      <c r="AUV58" s="12"/>
      <c r="AUW58" s="12"/>
      <c r="AUX58" s="12"/>
      <c r="AUY58" s="12"/>
      <c r="AUZ58" s="12"/>
      <c r="AVA58" s="12"/>
      <c r="AVB58" s="12"/>
      <c r="AVC58" s="12"/>
      <c r="AVD58" s="12"/>
      <c r="AVE58" s="12"/>
      <c r="AVF58" s="12"/>
      <c r="AVG58" s="12"/>
      <c r="AVH58" s="12"/>
      <c r="AVI58" s="12"/>
      <c r="AVJ58" s="12"/>
      <c r="AVK58" s="12"/>
      <c r="AVL58" s="12"/>
      <c r="AVM58" s="12"/>
      <c r="AVN58" s="12"/>
      <c r="AVO58" s="12"/>
      <c r="AVP58" s="12"/>
      <c r="AVQ58" s="12"/>
      <c r="AVR58" s="12"/>
      <c r="AVS58" s="12"/>
      <c r="AVT58" s="12"/>
      <c r="AVU58" s="12"/>
      <c r="AVV58" s="12"/>
      <c r="AVW58" s="12"/>
      <c r="AVX58" s="12"/>
      <c r="AVY58" s="12"/>
      <c r="AVZ58" s="12"/>
      <c r="AWA58" s="12"/>
      <c r="AWB58" s="12"/>
      <c r="AWC58" s="12"/>
      <c r="AWD58" s="12"/>
      <c r="AWE58" s="12"/>
      <c r="AWF58" s="12"/>
      <c r="AWG58" s="12"/>
      <c r="AWH58" s="12"/>
      <c r="AWI58" s="12"/>
      <c r="AWJ58" s="12"/>
      <c r="AWK58" s="12"/>
      <c r="AWL58" s="12"/>
      <c r="AWM58" s="12"/>
      <c r="AWN58" s="12"/>
      <c r="AWO58" s="12"/>
      <c r="AWP58" s="12"/>
      <c r="AWQ58" s="12"/>
      <c r="AWR58" s="12"/>
      <c r="AWS58" s="12"/>
      <c r="AWT58" s="12"/>
      <c r="AWU58" s="12"/>
      <c r="AWV58" s="12"/>
      <c r="AWW58" s="12"/>
      <c r="AWX58" s="12"/>
      <c r="AWY58" s="12"/>
      <c r="AWZ58" s="12"/>
      <c r="AXA58" s="12"/>
      <c r="AXB58" s="12"/>
      <c r="AXC58" s="12"/>
      <c r="AXD58" s="12"/>
      <c r="AXE58" s="12"/>
      <c r="AXF58" s="12"/>
      <c r="AXG58" s="12"/>
      <c r="AXH58" s="12"/>
      <c r="AXI58" s="12"/>
      <c r="AXJ58" s="12"/>
      <c r="AXK58" s="12"/>
      <c r="AXL58" s="12"/>
      <c r="AXM58" s="12"/>
      <c r="AXN58" s="12"/>
      <c r="AXO58" s="12"/>
      <c r="AXP58" s="12"/>
      <c r="AXQ58" s="12"/>
      <c r="AXR58" s="12"/>
      <c r="AXS58" s="12"/>
      <c r="AXT58" s="12"/>
      <c r="AXU58" s="12"/>
      <c r="AXV58" s="12"/>
      <c r="AXW58" s="12"/>
      <c r="AXX58" s="12"/>
      <c r="AXY58" s="12"/>
      <c r="AXZ58" s="12"/>
      <c r="AYA58" s="12"/>
      <c r="AYB58" s="12"/>
      <c r="AYC58" s="12"/>
      <c r="AYD58" s="12"/>
      <c r="AYE58" s="12"/>
      <c r="AYF58" s="12"/>
      <c r="AYG58" s="12"/>
      <c r="AYH58" s="12"/>
      <c r="AYI58" s="12"/>
      <c r="AYJ58" s="12"/>
      <c r="AYK58" s="12"/>
      <c r="AYL58" s="12"/>
      <c r="AYM58" s="12"/>
      <c r="AYN58" s="12"/>
      <c r="AYO58" s="12"/>
      <c r="AYP58" s="12"/>
      <c r="AYQ58" s="12"/>
      <c r="AYR58" s="12"/>
      <c r="AYS58" s="12"/>
      <c r="AYT58" s="12"/>
      <c r="AYU58" s="12"/>
      <c r="AYV58" s="12"/>
      <c r="AYW58" s="12"/>
      <c r="AYX58" s="12"/>
      <c r="AYY58" s="12"/>
      <c r="AYZ58" s="12"/>
      <c r="AZA58" s="12"/>
      <c r="AZB58" s="12"/>
      <c r="AZC58" s="12"/>
      <c r="AZD58" s="12"/>
      <c r="AZE58" s="12"/>
      <c r="AZF58" s="12"/>
      <c r="AZG58" s="12"/>
      <c r="AZH58" s="12"/>
      <c r="AZI58" s="12"/>
      <c r="AZJ58" s="12"/>
      <c r="AZK58" s="12"/>
      <c r="AZL58" s="12"/>
      <c r="AZM58" s="12"/>
      <c r="AZN58" s="12"/>
      <c r="AZO58" s="12"/>
      <c r="AZP58" s="12"/>
      <c r="AZQ58" s="12"/>
      <c r="AZR58" s="12"/>
      <c r="AZS58" s="12"/>
      <c r="AZT58" s="12"/>
      <c r="AZU58" s="12"/>
      <c r="AZV58" s="12"/>
      <c r="AZW58" s="12"/>
      <c r="AZX58" s="12"/>
      <c r="AZY58" s="12"/>
      <c r="AZZ58" s="12"/>
      <c r="BAA58" s="12"/>
      <c r="BAB58" s="12"/>
      <c r="BAC58" s="12"/>
      <c r="BAD58" s="12"/>
      <c r="BAE58" s="12"/>
      <c r="BAF58" s="12"/>
      <c r="BAG58" s="12"/>
      <c r="BAH58" s="12"/>
      <c r="BAI58" s="12"/>
      <c r="BAJ58" s="12"/>
      <c r="BAK58" s="12"/>
      <c r="BAL58" s="12"/>
      <c r="BAM58" s="12"/>
      <c r="BAN58" s="12"/>
      <c r="BAO58" s="12"/>
      <c r="BAP58" s="12"/>
      <c r="BAQ58" s="12"/>
      <c r="BAR58" s="12"/>
      <c r="BAS58" s="12"/>
      <c r="BAT58" s="12"/>
      <c r="BAU58" s="12"/>
      <c r="BAV58" s="12"/>
      <c r="BAW58" s="12"/>
      <c r="BAX58" s="12"/>
      <c r="BAY58" s="12"/>
      <c r="BAZ58" s="12"/>
      <c r="BBA58" s="12"/>
      <c r="BBB58" s="12"/>
      <c r="BBC58" s="12"/>
      <c r="BBD58" s="12"/>
      <c r="BBE58" s="12"/>
      <c r="BBF58" s="12"/>
      <c r="BBG58" s="12"/>
      <c r="BBH58" s="12"/>
      <c r="BBI58" s="12"/>
      <c r="BBJ58" s="12"/>
      <c r="BBK58" s="12"/>
      <c r="BBL58" s="12"/>
      <c r="BBM58" s="12"/>
      <c r="BBN58" s="12"/>
      <c r="BBO58" s="12"/>
      <c r="BBP58" s="12"/>
      <c r="BBQ58" s="12"/>
      <c r="BBR58" s="12"/>
      <c r="BBS58" s="12"/>
      <c r="BBT58" s="12"/>
      <c r="BBU58" s="12"/>
      <c r="BBV58" s="12"/>
      <c r="BBW58" s="12"/>
      <c r="BBX58" s="12"/>
      <c r="BBY58" s="12"/>
      <c r="BBZ58" s="12"/>
      <c r="BCA58" s="12"/>
      <c r="BCB58" s="12"/>
      <c r="BCC58" s="12"/>
      <c r="BCD58" s="12"/>
      <c r="BCE58" s="12"/>
      <c r="BCF58" s="12"/>
      <c r="BCG58" s="12"/>
      <c r="BCH58" s="12"/>
      <c r="BCI58" s="12"/>
      <c r="BCJ58" s="12"/>
      <c r="BCK58" s="12"/>
      <c r="BCL58" s="12"/>
      <c r="BCM58" s="12"/>
      <c r="BCN58" s="12"/>
      <c r="BCO58" s="12"/>
      <c r="BCP58" s="12"/>
      <c r="BCQ58" s="12"/>
      <c r="BCR58" s="12"/>
      <c r="BCS58" s="12"/>
      <c r="BCT58" s="12"/>
      <c r="BCU58" s="12"/>
      <c r="BCV58" s="12"/>
      <c r="BCW58" s="12"/>
      <c r="BCX58" s="12"/>
      <c r="BCY58" s="12"/>
      <c r="BCZ58" s="12"/>
      <c r="BDA58" s="12"/>
      <c r="BDB58" s="12"/>
      <c r="BDC58" s="12"/>
      <c r="BDD58" s="12"/>
      <c r="BDE58" s="12"/>
      <c r="BDF58" s="12"/>
      <c r="BDG58" s="12"/>
      <c r="BDH58" s="12"/>
      <c r="BDI58" s="12"/>
      <c r="BDJ58" s="12"/>
      <c r="BDK58" s="12"/>
      <c r="BDL58" s="12"/>
      <c r="BDM58" s="12"/>
      <c r="BDN58" s="12"/>
      <c r="BDO58" s="12"/>
      <c r="BDP58" s="12"/>
      <c r="BDQ58" s="12"/>
      <c r="BDR58" s="12"/>
      <c r="BDS58" s="12"/>
      <c r="BDT58" s="12"/>
      <c r="BDU58" s="12"/>
      <c r="BDV58" s="12"/>
      <c r="BDW58" s="12"/>
      <c r="BDX58" s="12"/>
      <c r="BDY58" s="12"/>
      <c r="BDZ58" s="12"/>
      <c r="BEA58" s="12"/>
      <c r="BEB58" s="12"/>
      <c r="BEC58" s="12"/>
      <c r="BED58" s="12"/>
      <c r="BEE58" s="12"/>
      <c r="BEF58" s="12"/>
      <c r="BEG58" s="12"/>
      <c r="BEH58" s="12"/>
      <c r="BEI58" s="12"/>
      <c r="BEJ58" s="12"/>
      <c r="BEK58" s="12"/>
      <c r="BEL58" s="12"/>
      <c r="BEM58" s="12"/>
      <c r="BEN58" s="12"/>
      <c r="BEO58" s="12"/>
      <c r="BEP58" s="12"/>
      <c r="BEQ58" s="12"/>
      <c r="BER58" s="12"/>
      <c r="BES58" s="12"/>
      <c r="BET58" s="12"/>
      <c r="BEU58" s="12"/>
      <c r="BEV58" s="12"/>
      <c r="BEW58" s="12"/>
      <c r="BEX58" s="12"/>
      <c r="BEY58" s="12"/>
      <c r="BEZ58" s="12"/>
      <c r="BFA58" s="12"/>
      <c r="BFB58" s="12"/>
      <c r="BFC58" s="12"/>
      <c r="BFD58" s="12"/>
      <c r="BFE58" s="12"/>
      <c r="BFF58" s="12"/>
      <c r="BFG58" s="12"/>
      <c r="BFH58" s="12"/>
      <c r="BFI58" s="12"/>
      <c r="BFJ58" s="12"/>
      <c r="BFK58" s="12"/>
      <c r="BFL58" s="12"/>
      <c r="BFM58" s="12"/>
      <c r="BFN58" s="12"/>
      <c r="BFO58" s="12"/>
      <c r="BFP58" s="12"/>
      <c r="BFQ58" s="12"/>
      <c r="BFR58" s="12"/>
      <c r="BFS58" s="12"/>
      <c r="BFT58" s="12"/>
      <c r="BFU58" s="12"/>
      <c r="BFV58" s="12"/>
      <c r="BFW58" s="12"/>
      <c r="BFX58" s="12"/>
      <c r="BFY58" s="12"/>
      <c r="BFZ58" s="12"/>
      <c r="BGA58" s="12"/>
      <c r="BGB58" s="12"/>
      <c r="BGC58" s="12"/>
      <c r="BGD58" s="12"/>
      <c r="BGE58" s="12"/>
      <c r="BGF58" s="12"/>
      <c r="BGG58" s="12"/>
      <c r="BGH58" s="12"/>
      <c r="BGI58" s="12"/>
      <c r="BGJ58" s="12"/>
      <c r="BGK58" s="12"/>
      <c r="BGL58" s="12"/>
      <c r="BGM58" s="12"/>
      <c r="BGN58" s="12"/>
      <c r="BGO58" s="12"/>
      <c r="BGP58" s="12"/>
      <c r="BGQ58" s="12"/>
      <c r="BGR58" s="12"/>
      <c r="BGS58" s="12"/>
      <c r="BGT58" s="12"/>
      <c r="BGU58" s="12"/>
      <c r="BGV58" s="12"/>
      <c r="BGW58" s="12"/>
      <c r="BGX58" s="12"/>
      <c r="BGY58" s="12"/>
      <c r="BGZ58" s="12"/>
      <c r="BHA58" s="12"/>
      <c r="BHB58" s="12"/>
      <c r="BHC58" s="12"/>
      <c r="BHD58" s="12"/>
      <c r="BHE58" s="12"/>
      <c r="BHF58" s="12"/>
      <c r="BHG58" s="12"/>
      <c r="BHH58" s="12"/>
    </row>
    <row r="59" spans="1:1568" ht="12.75" customHeight="1" x14ac:dyDescent="0.2">
      <c r="A59" s="726"/>
      <c r="B59" s="761" t="s">
        <v>1751</v>
      </c>
      <c r="C59" s="871">
        <v>5000</v>
      </c>
      <c r="D59" s="871">
        <v>5000</v>
      </c>
      <c r="E59" s="1163">
        <v>5700</v>
      </c>
      <c r="F59" s="1163"/>
      <c r="G59" s="1243">
        <f t="shared" si="30"/>
        <v>113.99999999999999</v>
      </c>
      <c r="H59" s="1248">
        <f t="shared" si="31"/>
        <v>113.99999999999999</v>
      </c>
      <c r="I59" s="1249">
        <f t="shared" si="27"/>
        <v>237.5</v>
      </c>
      <c r="J59" s="1179">
        <v>2400</v>
      </c>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c r="IW59" s="12"/>
      <c r="IX59" s="12"/>
      <c r="IY59" s="12"/>
      <c r="IZ59" s="12"/>
      <c r="JA59" s="12"/>
      <c r="JB59" s="12"/>
      <c r="JC59" s="12"/>
      <c r="JD59" s="12"/>
      <c r="JE59" s="12"/>
      <c r="JF59" s="12"/>
      <c r="JG59" s="12"/>
      <c r="JH59" s="12"/>
      <c r="JI59" s="12"/>
      <c r="JJ59" s="12"/>
      <c r="JK59" s="12"/>
      <c r="JL59" s="12"/>
      <c r="JM59" s="12"/>
      <c r="JN59" s="12"/>
      <c r="JO59" s="12"/>
      <c r="JP59" s="12"/>
      <c r="JQ59" s="12"/>
      <c r="JR59" s="12"/>
      <c r="JS59" s="12"/>
      <c r="JT59" s="12"/>
      <c r="JU59" s="12"/>
      <c r="JV59" s="12"/>
      <c r="JW59" s="12"/>
      <c r="JX59" s="12"/>
      <c r="JY59" s="12"/>
      <c r="JZ59" s="12"/>
      <c r="KA59" s="12"/>
      <c r="KB59" s="12"/>
      <c r="KC59" s="12"/>
      <c r="KD59" s="12"/>
      <c r="KE59" s="12"/>
      <c r="KF59" s="12"/>
      <c r="KG59" s="12"/>
      <c r="KH59" s="12"/>
      <c r="KI59" s="12"/>
      <c r="KJ59" s="12"/>
      <c r="KK59" s="12"/>
      <c r="KL59" s="12"/>
      <c r="KM59" s="12"/>
      <c r="KN59" s="12"/>
      <c r="KO59" s="12"/>
      <c r="KP59" s="12"/>
      <c r="KQ59" s="12"/>
      <c r="KR59" s="12"/>
      <c r="KS59" s="12"/>
      <c r="KT59" s="12"/>
      <c r="KU59" s="12"/>
      <c r="KV59" s="12"/>
      <c r="KW59" s="12"/>
      <c r="KX59" s="12"/>
      <c r="KY59" s="12"/>
      <c r="KZ59" s="12"/>
      <c r="LA59" s="12"/>
      <c r="LB59" s="12"/>
      <c r="LC59" s="12"/>
      <c r="LD59" s="12"/>
      <c r="LE59" s="12"/>
      <c r="LF59" s="12"/>
      <c r="LG59" s="12"/>
      <c r="LH59" s="12"/>
      <c r="LI59" s="12"/>
      <c r="LJ59" s="12"/>
      <c r="LK59" s="12"/>
      <c r="LL59" s="12"/>
      <c r="LM59" s="12"/>
      <c r="LN59" s="12"/>
      <c r="LO59" s="12"/>
      <c r="LP59" s="12"/>
      <c r="LQ59" s="12"/>
      <c r="LR59" s="12"/>
      <c r="LS59" s="12"/>
      <c r="LT59" s="12"/>
      <c r="LU59" s="12"/>
      <c r="LV59" s="12"/>
      <c r="LW59" s="12"/>
      <c r="LX59" s="12"/>
      <c r="LY59" s="12"/>
      <c r="LZ59" s="12"/>
      <c r="MA59" s="12"/>
      <c r="MB59" s="12"/>
      <c r="MC59" s="12"/>
      <c r="MD59" s="12"/>
      <c r="ME59" s="12"/>
      <c r="MF59" s="12"/>
      <c r="MG59" s="12"/>
      <c r="MH59" s="12"/>
      <c r="MI59" s="12"/>
      <c r="MJ59" s="12"/>
      <c r="MK59" s="12"/>
      <c r="ML59" s="12"/>
      <c r="MM59" s="12"/>
      <c r="MN59" s="12"/>
      <c r="MO59" s="12"/>
      <c r="MP59" s="12"/>
      <c r="MQ59" s="12"/>
      <c r="MR59" s="12"/>
      <c r="MS59" s="12"/>
      <c r="MT59" s="12"/>
      <c r="MU59" s="12"/>
      <c r="MV59" s="12"/>
      <c r="MW59" s="12"/>
      <c r="MX59" s="12"/>
      <c r="MY59" s="12"/>
      <c r="MZ59" s="12"/>
      <c r="NA59" s="12"/>
      <c r="NB59" s="12"/>
      <c r="NC59" s="12"/>
      <c r="ND59" s="12"/>
      <c r="NE59" s="12"/>
      <c r="NF59" s="12"/>
      <c r="NG59" s="12"/>
      <c r="NH59" s="12"/>
      <c r="NI59" s="12"/>
      <c r="NJ59" s="12"/>
      <c r="NK59" s="12"/>
      <c r="NL59" s="12"/>
      <c r="NM59" s="12"/>
      <c r="NN59" s="12"/>
      <c r="NO59" s="12"/>
      <c r="NP59" s="12"/>
      <c r="NQ59" s="12"/>
      <c r="NR59" s="12"/>
      <c r="NS59" s="12"/>
      <c r="NT59" s="12"/>
      <c r="NU59" s="12"/>
      <c r="NV59" s="12"/>
      <c r="NW59" s="12"/>
      <c r="NX59" s="12"/>
      <c r="NY59" s="12"/>
      <c r="NZ59" s="12"/>
      <c r="OA59" s="12"/>
      <c r="OB59" s="12"/>
      <c r="OC59" s="12"/>
      <c r="OD59" s="12"/>
      <c r="OE59" s="12"/>
      <c r="OF59" s="12"/>
      <c r="OG59" s="12"/>
      <c r="OH59" s="12"/>
      <c r="OI59" s="12"/>
      <c r="OJ59" s="12"/>
      <c r="OK59" s="12"/>
      <c r="OL59" s="12"/>
      <c r="OM59" s="12"/>
      <c r="ON59" s="12"/>
      <c r="OO59" s="12"/>
      <c r="OP59" s="12"/>
      <c r="OQ59" s="12"/>
      <c r="OR59" s="12"/>
      <c r="OS59" s="12"/>
      <c r="OT59" s="12"/>
      <c r="OU59" s="12"/>
      <c r="OV59" s="12"/>
      <c r="OW59" s="12"/>
      <c r="OX59" s="12"/>
      <c r="OY59" s="12"/>
      <c r="OZ59" s="12"/>
      <c r="PA59" s="12"/>
      <c r="PB59" s="12"/>
      <c r="PC59" s="12"/>
      <c r="PD59" s="12"/>
      <c r="PE59" s="12"/>
      <c r="PF59" s="12"/>
      <c r="PG59" s="12"/>
      <c r="PH59" s="12"/>
      <c r="PI59" s="12"/>
      <c r="PJ59" s="12"/>
      <c r="PK59" s="12"/>
      <c r="PL59" s="12"/>
      <c r="PM59" s="12"/>
      <c r="PN59" s="12"/>
      <c r="PO59" s="12"/>
      <c r="PP59" s="12"/>
      <c r="PQ59" s="12"/>
      <c r="PR59" s="12"/>
      <c r="PS59" s="12"/>
      <c r="PT59" s="12"/>
      <c r="PU59" s="12"/>
      <c r="PV59" s="12"/>
      <c r="PW59" s="12"/>
      <c r="PX59" s="12"/>
      <c r="PY59" s="12"/>
      <c r="PZ59" s="12"/>
      <c r="QA59" s="12"/>
      <c r="QB59" s="12"/>
      <c r="QC59" s="12"/>
      <c r="QD59" s="12"/>
      <c r="QE59" s="12"/>
      <c r="QF59" s="12"/>
      <c r="QG59" s="12"/>
      <c r="QH59" s="12"/>
      <c r="QI59" s="12"/>
      <c r="QJ59" s="12"/>
      <c r="QK59" s="12"/>
      <c r="QL59" s="12"/>
      <c r="QM59" s="12"/>
      <c r="QN59" s="12"/>
      <c r="QO59" s="12"/>
      <c r="QP59" s="12"/>
      <c r="QQ59" s="12"/>
      <c r="QR59" s="12"/>
      <c r="QS59" s="12"/>
      <c r="QT59" s="12"/>
      <c r="QU59" s="12"/>
      <c r="QV59" s="12"/>
      <c r="QW59" s="12"/>
      <c r="QX59" s="12"/>
      <c r="QY59" s="12"/>
      <c r="QZ59" s="12"/>
      <c r="RA59" s="12"/>
      <c r="RB59" s="12"/>
      <c r="RC59" s="12"/>
      <c r="RD59" s="12"/>
      <c r="RE59" s="12"/>
      <c r="RF59" s="12"/>
      <c r="RG59" s="12"/>
      <c r="RH59" s="12"/>
      <c r="RI59" s="12"/>
      <c r="RJ59" s="12"/>
      <c r="RK59" s="12"/>
      <c r="RL59" s="12"/>
      <c r="RM59" s="12"/>
      <c r="RN59" s="12"/>
      <c r="RO59" s="12"/>
      <c r="RP59" s="12"/>
      <c r="RQ59" s="12"/>
      <c r="RR59" s="12"/>
      <c r="RS59" s="12"/>
      <c r="RT59" s="12"/>
      <c r="RU59" s="12"/>
      <c r="RV59" s="12"/>
      <c r="RW59" s="12"/>
      <c r="RX59" s="12"/>
      <c r="RY59" s="12"/>
      <c r="RZ59" s="12"/>
      <c r="SA59" s="12"/>
      <c r="SB59" s="12"/>
      <c r="SC59" s="12"/>
      <c r="SD59" s="12"/>
      <c r="SE59" s="12"/>
      <c r="SF59" s="12"/>
      <c r="SG59" s="12"/>
      <c r="SH59" s="12"/>
      <c r="SI59" s="12"/>
      <c r="SJ59" s="12"/>
      <c r="SK59" s="12"/>
      <c r="SL59" s="12"/>
      <c r="SM59" s="12"/>
      <c r="SN59" s="12"/>
      <c r="SO59" s="12"/>
      <c r="SP59" s="12"/>
      <c r="SQ59" s="12"/>
      <c r="SR59" s="12"/>
      <c r="SS59" s="12"/>
      <c r="ST59" s="12"/>
      <c r="SU59" s="12"/>
      <c r="SV59" s="12"/>
      <c r="SW59" s="12"/>
      <c r="SX59" s="12"/>
      <c r="SY59" s="12"/>
      <c r="SZ59" s="12"/>
      <c r="TA59" s="12"/>
      <c r="TB59" s="12"/>
      <c r="TC59" s="12"/>
      <c r="TD59" s="12"/>
      <c r="TE59" s="12"/>
      <c r="TF59" s="12"/>
      <c r="TG59" s="12"/>
      <c r="TH59" s="12"/>
      <c r="TI59" s="12"/>
      <c r="TJ59" s="12"/>
      <c r="TK59" s="12"/>
      <c r="TL59" s="12"/>
      <c r="TM59" s="12"/>
      <c r="TN59" s="12"/>
      <c r="TO59" s="12"/>
      <c r="TP59" s="12"/>
      <c r="TQ59" s="12"/>
      <c r="TR59" s="12"/>
      <c r="TS59" s="12"/>
      <c r="TT59" s="12"/>
      <c r="TU59" s="12"/>
      <c r="TV59" s="12"/>
      <c r="TW59" s="12"/>
      <c r="TX59" s="12"/>
      <c r="TY59" s="12"/>
      <c r="TZ59" s="12"/>
      <c r="UA59" s="12"/>
      <c r="UB59" s="12"/>
      <c r="UC59" s="12"/>
      <c r="UD59" s="12"/>
      <c r="UE59" s="12"/>
      <c r="UF59" s="12"/>
      <c r="UG59" s="12"/>
      <c r="UH59" s="12"/>
      <c r="UI59" s="12"/>
      <c r="UJ59" s="12"/>
      <c r="UK59" s="12"/>
      <c r="UL59" s="12"/>
      <c r="UM59" s="12"/>
      <c r="UN59" s="12"/>
      <c r="UO59" s="12"/>
      <c r="UP59" s="12"/>
      <c r="UQ59" s="12"/>
      <c r="UR59" s="12"/>
      <c r="US59" s="12"/>
      <c r="UT59" s="12"/>
      <c r="UU59" s="12"/>
      <c r="UV59" s="12"/>
      <c r="UW59" s="12"/>
      <c r="UX59" s="12"/>
      <c r="UY59" s="12"/>
      <c r="UZ59" s="12"/>
      <c r="VA59" s="12"/>
      <c r="VB59" s="12"/>
      <c r="VC59" s="12"/>
      <c r="VD59" s="12"/>
      <c r="VE59" s="12"/>
      <c r="VF59" s="12"/>
      <c r="VG59" s="12"/>
      <c r="VH59" s="12"/>
      <c r="VI59" s="12"/>
      <c r="VJ59" s="12"/>
      <c r="VK59" s="12"/>
      <c r="VL59" s="12"/>
      <c r="VM59" s="12"/>
      <c r="VN59" s="12"/>
      <c r="VO59" s="12"/>
      <c r="VP59" s="12"/>
      <c r="VQ59" s="12"/>
      <c r="VR59" s="12"/>
      <c r="VS59" s="12"/>
      <c r="VT59" s="12"/>
      <c r="VU59" s="12"/>
      <c r="VV59" s="12"/>
      <c r="VW59" s="12"/>
      <c r="VX59" s="12"/>
      <c r="VY59" s="12"/>
      <c r="VZ59" s="12"/>
      <c r="WA59" s="12"/>
      <c r="WB59" s="12"/>
      <c r="WC59" s="12"/>
      <c r="WD59" s="12"/>
      <c r="WE59" s="12"/>
      <c r="WF59" s="12"/>
      <c r="WG59" s="12"/>
      <c r="WH59" s="12"/>
      <c r="WI59" s="12"/>
      <c r="WJ59" s="12"/>
      <c r="WK59" s="12"/>
      <c r="WL59" s="12"/>
      <c r="WM59" s="12"/>
      <c r="WN59" s="12"/>
      <c r="WO59" s="12"/>
      <c r="WP59" s="12"/>
      <c r="WQ59" s="12"/>
      <c r="WR59" s="12"/>
      <c r="WS59" s="12"/>
      <c r="WT59" s="12"/>
      <c r="WU59" s="12"/>
      <c r="WV59" s="12"/>
      <c r="WW59" s="12"/>
      <c r="WX59" s="12"/>
      <c r="WY59" s="12"/>
      <c r="WZ59" s="12"/>
      <c r="XA59" s="12"/>
      <c r="XB59" s="12"/>
      <c r="XC59" s="12"/>
      <c r="XD59" s="12"/>
      <c r="XE59" s="12"/>
      <c r="XF59" s="12"/>
      <c r="XG59" s="12"/>
      <c r="XH59" s="12"/>
      <c r="XI59" s="12"/>
      <c r="XJ59" s="12"/>
      <c r="XK59" s="12"/>
      <c r="XL59" s="12"/>
      <c r="XM59" s="12"/>
      <c r="XN59" s="12"/>
      <c r="XO59" s="12"/>
      <c r="XP59" s="12"/>
      <c r="XQ59" s="12"/>
      <c r="XR59" s="12"/>
      <c r="XS59" s="12"/>
      <c r="XT59" s="12"/>
      <c r="XU59" s="12"/>
      <c r="XV59" s="12"/>
      <c r="XW59" s="12"/>
      <c r="XX59" s="12"/>
      <c r="XY59" s="12"/>
      <c r="XZ59" s="12"/>
      <c r="YA59" s="12"/>
      <c r="YB59" s="12"/>
      <c r="YC59" s="12"/>
      <c r="YD59" s="12"/>
      <c r="YE59" s="12"/>
      <c r="YF59" s="12"/>
      <c r="YG59" s="12"/>
      <c r="YH59" s="12"/>
      <c r="YI59" s="12"/>
      <c r="YJ59" s="12"/>
      <c r="YK59" s="12"/>
      <c r="YL59" s="12"/>
      <c r="YM59" s="12"/>
      <c r="YN59" s="12"/>
      <c r="YO59" s="12"/>
      <c r="YP59" s="12"/>
      <c r="YQ59" s="12"/>
      <c r="YR59" s="12"/>
      <c r="YS59" s="12"/>
      <c r="YT59" s="12"/>
      <c r="YU59" s="12"/>
      <c r="YV59" s="12"/>
      <c r="YW59" s="12"/>
      <c r="YX59" s="12"/>
      <c r="YY59" s="12"/>
      <c r="YZ59" s="12"/>
      <c r="ZA59" s="12"/>
      <c r="ZB59" s="12"/>
      <c r="ZC59" s="12"/>
      <c r="ZD59" s="12"/>
      <c r="ZE59" s="12"/>
      <c r="ZF59" s="12"/>
      <c r="ZG59" s="12"/>
      <c r="ZH59" s="12"/>
      <c r="ZI59" s="12"/>
      <c r="ZJ59" s="12"/>
      <c r="ZK59" s="12"/>
      <c r="ZL59" s="12"/>
      <c r="ZM59" s="12"/>
      <c r="ZN59" s="12"/>
      <c r="ZO59" s="12"/>
      <c r="ZP59" s="12"/>
      <c r="ZQ59" s="12"/>
      <c r="ZR59" s="12"/>
      <c r="ZS59" s="12"/>
      <c r="ZT59" s="12"/>
      <c r="ZU59" s="12"/>
      <c r="ZV59" s="12"/>
      <c r="ZW59" s="12"/>
      <c r="ZX59" s="12"/>
      <c r="ZY59" s="12"/>
      <c r="ZZ59" s="12"/>
      <c r="AAA59" s="12"/>
      <c r="AAB59" s="12"/>
      <c r="AAC59" s="12"/>
      <c r="AAD59" s="12"/>
      <c r="AAE59" s="12"/>
      <c r="AAF59" s="12"/>
      <c r="AAG59" s="12"/>
      <c r="AAH59" s="12"/>
      <c r="AAI59" s="12"/>
      <c r="AAJ59" s="12"/>
      <c r="AAK59" s="12"/>
      <c r="AAL59" s="12"/>
      <c r="AAM59" s="12"/>
      <c r="AAN59" s="12"/>
      <c r="AAO59" s="12"/>
      <c r="AAP59" s="12"/>
      <c r="AAQ59" s="12"/>
      <c r="AAR59" s="12"/>
      <c r="AAS59" s="12"/>
      <c r="AAT59" s="12"/>
      <c r="AAU59" s="12"/>
      <c r="AAV59" s="12"/>
      <c r="AAW59" s="12"/>
      <c r="AAX59" s="12"/>
      <c r="AAY59" s="12"/>
      <c r="AAZ59" s="12"/>
      <c r="ABA59" s="12"/>
      <c r="ABB59" s="12"/>
      <c r="ABC59" s="12"/>
      <c r="ABD59" s="12"/>
      <c r="ABE59" s="12"/>
      <c r="ABF59" s="12"/>
      <c r="ABG59" s="12"/>
      <c r="ABH59" s="12"/>
      <c r="ABI59" s="12"/>
      <c r="ABJ59" s="12"/>
      <c r="ABK59" s="12"/>
      <c r="ABL59" s="12"/>
      <c r="ABM59" s="12"/>
      <c r="ABN59" s="12"/>
      <c r="ABO59" s="12"/>
      <c r="ABP59" s="12"/>
      <c r="ABQ59" s="12"/>
      <c r="ABR59" s="12"/>
      <c r="ABS59" s="12"/>
      <c r="ABT59" s="12"/>
      <c r="ABU59" s="12"/>
      <c r="ABV59" s="12"/>
      <c r="ABW59" s="12"/>
      <c r="ABX59" s="12"/>
      <c r="ABY59" s="12"/>
      <c r="ABZ59" s="12"/>
      <c r="ACA59" s="12"/>
      <c r="ACB59" s="12"/>
      <c r="ACC59" s="12"/>
      <c r="ACD59" s="12"/>
      <c r="ACE59" s="12"/>
      <c r="ACF59" s="12"/>
      <c r="ACG59" s="12"/>
      <c r="ACH59" s="12"/>
      <c r="ACI59" s="12"/>
      <c r="ACJ59" s="12"/>
      <c r="ACK59" s="12"/>
      <c r="ACL59" s="12"/>
      <c r="ACM59" s="12"/>
      <c r="ACN59" s="12"/>
      <c r="ACO59" s="12"/>
      <c r="ACP59" s="12"/>
      <c r="ACQ59" s="12"/>
      <c r="ACR59" s="12"/>
      <c r="ACS59" s="12"/>
      <c r="ACT59" s="12"/>
      <c r="ACU59" s="12"/>
      <c r="ACV59" s="12"/>
      <c r="ACW59" s="12"/>
      <c r="ACX59" s="12"/>
      <c r="ACY59" s="12"/>
      <c r="ACZ59" s="12"/>
      <c r="ADA59" s="12"/>
      <c r="ADB59" s="12"/>
      <c r="ADC59" s="12"/>
      <c r="ADD59" s="12"/>
      <c r="ADE59" s="12"/>
      <c r="ADF59" s="12"/>
      <c r="ADG59" s="12"/>
      <c r="ADH59" s="12"/>
      <c r="ADI59" s="12"/>
      <c r="ADJ59" s="12"/>
      <c r="ADK59" s="12"/>
      <c r="ADL59" s="12"/>
      <c r="ADM59" s="12"/>
      <c r="ADN59" s="12"/>
      <c r="ADO59" s="12"/>
      <c r="ADP59" s="12"/>
      <c r="ADQ59" s="12"/>
      <c r="ADR59" s="12"/>
      <c r="ADS59" s="12"/>
      <c r="ADT59" s="12"/>
      <c r="ADU59" s="12"/>
      <c r="ADV59" s="12"/>
      <c r="ADW59" s="12"/>
      <c r="ADX59" s="12"/>
      <c r="ADY59" s="12"/>
      <c r="ADZ59" s="12"/>
      <c r="AEA59" s="12"/>
      <c r="AEB59" s="12"/>
      <c r="AEC59" s="12"/>
      <c r="AED59" s="12"/>
      <c r="AEE59" s="12"/>
      <c r="AEF59" s="12"/>
      <c r="AEG59" s="12"/>
      <c r="AEH59" s="12"/>
      <c r="AEI59" s="12"/>
      <c r="AEJ59" s="12"/>
      <c r="AEK59" s="12"/>
      <c r="AEL59" s="12"/>
      <c r="AEM59" s="12"/>
      <c r="AEN59" s="12"/>
      <c r="AEO59" s="12"/>
      <c r="AEP59" s="12"/>
      <c r="AEQ59" s="12"/>
      <c r="AER59" s="12"/>
      <c r="AES59" s="12"/>
      <c r="AET59" s="12"/>
      <c r="AEU59" s="12"/>
      <c r="AEV59" s="12"/>
      <c r="AEW59" s="12"/>
      <c r="AEX59" s="12"/>
      <c r="AEY59" s="12"/>
      <c r="AEZ59" s="12"/>
      <c r="AFA59" s="12"/>
      <c r="AFB59" s="12"/>
      <c r="AFC59" s="12"/>
      <c r="AFD59" s="12"/>
      <c r="AFE59" s="12"/>
      <c r="AFF59" s="12"/>
      <c r="AFG59" s="12"/>
      <c r="AFH59" s="12"/>
      <c r="AFI59" s="12"/>
      <c r="AFJ59" s="12"/>
      <c r="AFK59" s="12"/>
      <c r="AFL59" s="12"/>
      <c r="AFM59" s="12"/>
      <c r="AFN59" s="12"/>
      <c r="AFO59" s="12"/>
      <c r="AFP59" s="12"/>
      <c r="AFQ59" s="12"/>
      <c r="AFR59" s="12"/>
      <c r="AFS59" s="12"/>
      <c r="AFT59" s="12"/>
      <c r="AFU59" s="12"/>
      <c r="AFV59" s="12"/>
      <c r="AFW59" s="12"/>
      <c r="AFX59" s="12"/>
      <c r="AFY59" s="12"/>
      <c r="AFZ59" s="12"/>
      <c r="AGA59" s="12"/>
      <c r="AGB59" s="12"/>
      <c r="AGC59" s="12"/>
      <c r="AGD59" s="12"/>
      <c r="AGE59" s="12"/>
      <c r="AGF59" s="12"/>
      <c r="AGG59" s="12"/>
      <c r="AGH59" s="12"/>
      <c r="AGI59" s="12"/>
      <c r="AGJ59" s="12"/>
      <c r="AGK59" s="12"/>
      <c r="AGL59" s="12"/>
      <c r="AGM59" s="12"/>
      <c r="AGN59" s="12"/>
      <c r="AGO59" s="12"/>
      <c r="AGP59" s="12"/>
      <c r="AGQ59" s="12"/>
      <c r="AGR59" s="12"/>
      <c r="AGS59" s="12"/>
      <c r="AGT59" s="12"/>
      <c r="AGU59" s="12"/>
      <c r="AGV59" s="12"/>
      <c r="AGW59" s="12"/>
      <c r="AGX59" s="12"/>
      <c r="AGY59" s="12"/>
      <c r="AGZ59" s="12"/>
      <c r="AHA59" s="12"/>
      <c r="AHB59" s="12"/>
      <c r="AHC59" s="12"/>
      <c r="AHD59" s="12"/>
      <c r="AHE59" s="12"/>
      <c r="AHF59" s="12"/>
      <c r="AHG59" s="12"/>
      <c r="AHH59" s="12"/>
      <c r="AHI59" s="12"/>
      <c r="AHJ59" s="12"/>
      <c r="AHK59" s="12"/>
      <c r="AHL59" s="12"/>
      <c r="AHM59" s="12"/>
      <c r="AHN59" s="12"/>
      <c r="AHO59" s="12"/>
      <c r="AHP59" s="12"/>
      <c r="AHQ59" s="12"/>
      <c r="AHR59" s="12"/>
      <c r="AHS59" s="12"/>
      <c r="AHT59" s="12"/>
      <c r="AHU59" s="12"/>
      <c r="AHV59" s="12"/>
      <c r="AHW59" s="12"/>
      <c r="AHX59" s="12"/>
      <c r="AHY59" s="12"/>
      <c r="AHZ59" s="12"/>
      <c r="AIA59" s="12"/>
      <c r="AIB59" s="12"/>
      <c r="AIC59" s="12"/>
      <c r="AID59" s="12"/>
      <c r="AIE59" s="12"/>
      <c r="AIF59" s="12"/>
      <c r="AIG59" s="12"/>
      <c r="AIH59" s="12"/>
      <c r="AII59" s="12"/>
      <c r="AIJ59" s="12"/>
      <c r="AIK59" s="12"/>
      <c r="AIL59" s="12"/>
      <c r="AIM59" s="12"/>
      <c r="AIN59" s="12"/>
      <c r="AIO59" s="12"/>
      <c r="AIP59" s="12"/>
      <c r="AIQ59" s="12"/>
      <c r="AIR59" s="12"/>
      <c r="AIS59" s="12"/>
      <c r="AIT59" s="12"/>
      <c r="AIU59" s="12"/>
      <c r="AIV59" s="12"/>
      <c r="AIW59" s="12"/>
      <c r="AIX59" s="12"/>
      <c r="AIY59" s="12"/>
      <c r="AIZ59" s="12"/>
      <c r="AJA59" s="12"/>
      <c r="AJB59" s="12"/>
      <c r="AJC59" s="12"/>
      <c r="AJD59" s="12"/>
      <c r="AJE59" s="12"/>
      <c r="AJF59" s="12"/>
      <c r="AJG59" s="12"/>
      <c r="AJH59" s="12"/>
      <c r="AJI59" s="12"/>
      <c r="AJJ59" s="12"/>
      <c r="AJK59" s="12"/>
      <c r="AJL59" s="12"/>
      <c r="AJM59" s="12"/>
      <c r="AJN59" s="12"/>
      <c r="AJO59" s="12"/>
      <c r="AJP59" s="12"/>
      <c r="AJQ59" s="12"/>
      <c r="AJR59" s="12"/>
      <c r="AJS59" s="12"/>
      <c r="AJT59" s="12"/>
      <c r="AJU59" s="12"/>
      <c r="AJV59" s="12"/>
      <c r="AJW59" s="12"/>
      <c r="AJX59" s="12"/>
      <c r="AJY59" s="12"/>
      <c r="AJZ59" s="12"/>
      <c r="AKA59" s="12"/>
      <c r="AKB59" s="12"/>
      <c r="AKC59" s="12"/>
      <c r="AKD59" s="12"/>
      <c r="AKE59" s="12"/>
      <c r="AKF59" s="12"/>
      <c r="AKG59" s="12"/>
      <c r="AKH59" s="12"/>
      <c r="AKI59" s="12"/>
      <c r="AKJ59" s="12"/>
      <c r="AKK59" s="12"/>
      <c r="AKL59" s="12"/>
      <c r="AKM59" s="12"/>
      <c r="AKN59" s="12"/>
      <c r="AKO59" s="12"/>
      <c r="AKP59" s="12"/>
      <c r="AKQ59" s="12"/>
      <c r="AKR59" s="12"/>
      <c r="AKS59" s="12"/>
      <c r="AKT59" s="12"/>
      <c r="AKU59" s="12"/>
      <c r="AKV59" s="12"/>
      <c r="AKW59" s="12"/>
      <c r="AKX59" s="12"/>
      <c r="AKY59" s="12"/>
      <c r="AKZ59" s="12"/>
      <c r="ALA59" s="12"/>
      <c r="ALB59" s="12"/>
      <c r="ALC59" s="12"/>
      <c r="ALD59" s="12"/>
      <c r="ALE59" s="12"/>
      <c r="ALF59" s="12"/>
      <c r="ALG59" s="12"/>
      <c r="ALH59" s="12"/>
      <c r="ALI59" s="12"/>
      <c r="ALJ59" s="12"/>
      <c r="ALK59" s="12"/>
      <c r="ALL59" s="12"/>
      <c r="ALM59" s="12"/>
      <c r="ALN59" s="12"/>
      <c r="ALO59" s="12"/>
      <c r="ALP59" s="12"/>
      <c r="ALQ59" s="12"/>
      <c r="ALR59" s="12"/>
      <c r="ALS59" s="12"/>
      <c r="ALT59" s="12"/>
      <c r="ALU59" s="12"/>
      <c r="ALV59" s="12"/>
      <c r="ALW59" s="12"/>
      <c r="ALX59" s="12"/>
      <c r="ALY59" s="12"/>
      <c r="ALZ59" s="12"/>
      <c r="AMA59" s="12"/>
      <c r="AMB59" s="12"/>
      <c r="AMC59" s="12"/>
      <c r="AMD59" s="12"/>
      <c r="AME59" s="12"/>
      <c r="AMF59" s="12"/>
      <c r="AMG59" s="12"/>
      <c r="AMH59" s="12"/>
      <c r="AMI59" s="12"/>
      <c r="AMJ59" s="12"/>
      <c r="AMK59" s="12"/>
      <c r="AML59" s="12"/>
      <c r="AMM59" s="12"/>
      <c r="AMN59" s="12"/>
      <c r="AMO59" s="12"/>
      <c r="AMP59" s="12"/>
      <c r="AMQ59" s="12"/>
      <c r="AMR59" s="12"/>
      <c r="AMS59" s="12"/>
      <c r="AMT59" s="12"/>
      <c r="AMU59" s="12"/>
      <c r="AMV59" s="12"/>
      <c r="AMW59" s="12"/>
      <c r="AMX59" s="12"/>
      <c r="AMY59" s="12"/>
      <c r="AMZ59" s="12"/>
      <c r="ANA59" s="12"/>
      <c r="ANB59" s="12"/>
      <c r="ANC59" s="12"/>
      <c r="AND59" s="12"/>
      <c r="ANE59" s="12"/>
      <c r="ANF59" s="12"/>
      <c r="ANG59" s="12"/>
      <c r="ANH59" s="12"/>
      <c r="ANI59" s="12"/>
      <c r="ANJ59" s="12"/>
      <c r="ANK59" s="12"/>
      <c r="ANL59" s="12"/>
      <c r="ANM59" s="12"/>
      <c r="ANN59" s="12"/>
      <c r="ANO59" s="12"/>
      <c r="ANP59" s="12"/>
      <c r="ANQ59" s="12"/>
      <c r="ANR59" s="12"/>
      <c r="ANS59" s="12"/>
      <c r="ANT59" s="12"/>
      <c r="ANU59" s="12"/>
      <c r="ANV59" s="12"/>
      <c r="ANW59" s="12"/>
      <c r="ANX59" s="12"/>
      <c r="ANY59" s="12"/>
      <c r="ANZ59" s="12"/>
      <c r="AOA59" s="12"/>
      <c r="AOB59" s="12"/>
      <c r="AOC59" s="12"/>
      <c r="AOD59" s="12"/>
      <c r="AOE59" s="12"/>
      <c r="AOF59" s="12"/>
      <c r="AOG59" s="12"/>
      <c r="AOH59" s="12"/>
      <c r="AOI59" s="12"/>
      <c r="AOJ59" s="12"/>
      <c r="AOK59" s="12"/>
      <c r="AOL59" s="12"/>
      <c r="AOM59" s="12"/>
      <c r="AON59" s="12"/>
      <c r="AOO59" s="12"/>
      <c r="AOP59" s="12"/>
      <c r="AOQ59" s="12"/>
      <c r="AOR59" s="12"/>
      <c r="AOS59" s="12"/>
      <c r="AOT59" s="12"/>
      <c r="AOU59" s="12"/>
      <c r="AOV59" s="12"/>
      <c r="AOW59" s="12"/>
      <c r="AOX59" s="12"/>
      <c r="AOY59" s="12"/>
      <c r="AOZ59" s="12"/>
      <c r="APA59" s="12"/>
      <c r="APB59" s="12"/>
      <c r="APC59" s="12"/>
      <c r="APD59" s="12"/>
      <c r="APE59" s="12"/>
      <c r="APF59" s="12"/>
      <c r="APG59" s="12"/>
      <c r="APH59" s="12"/>
      <c r="API59" s="12"/>
      <c r="APJ59" s="12"/>
      <c r="APK59" s="12"/>
      <c r="APL59" s="12"/>
      <c r="APM59" s="12"/>
      <c r="APN59" s="12"/>
      <c r="APO59" s="12"/>
      <c r="APP59" s="12"/>
      <c r="APQ59" s="12"/>
      <c r="APR59" s="12"/>
      <c r="APS59" s="12"/>
      <c r="APT59" s="12"/>
      <c r="APU59" s="12"/>
      <c r="APV59" s="12"/>
      <c r="APW59" s="12"/>
      <c r="APX59" s="12"/>
      <c r="APY59" s="12"/>
      <c r="APZ59" s="12"/>
      <c r="AQA59" s="12"/>
      <c r="AQB59" s="12"/>
      <c r="AQC59" s="12"/>
      <c r="AQD59" s="12"/>
      <c r="AQE59" s="12"/>
      <c r="AQF59" s="12"/>
      <c r="AQG59" s="12"/>
      <c r="AQH59" s="12"/>
      <c r="AQI59" s="12"/>
      <c r="AQJ59" s="12"/>
      <c r="AQK59" s="12"/>
      <c r="AQL59" s="12"/>
      <c r="AQM59" s="12"/>
      <c r="AQN59" s="12"/>
      <c r="AQO59" s="12"/>
      <c r="AQP59" s="12"/>
      <c r="AQQ59" s="12"/>
      <c r="AQR59" s="12"/>
      <c r="AQS59" s="12"/>
      <c r="AQT59" s="12"/>
      <c r="AQU59" s="12"/>
      <c r="AQV59" s="12"/>
      <c r="AQW59" s="12"/>
      <c r="AQX59" s="12"/>
      <c r="AQY59" s="12"/>
      <c r="AQZ59" s="12"/>
      <c r="ARA59" s="12"/>
      <c r="ARB59" s="12"/>
      <c r="ARC59" s="12"/>
      <c r="ARD59" s="12"/>
      <c r="ARE59" s="12"/>
      <c r="ARF59" s="12"/>
      <c r="ARG59" s="12"/>
      <c r="ARH59" s="12"/>
      <c r="ARI59" s="12"/>
      <c r="ARJ59" s="12"/>
      <c r="ARK59" s="12"/>
      <c r="ARL59" s="12"/>
      <c r="ARM59" s="12"/>
      <c r="ARN59" s="12"/>
      <c r="ARO59" s="12"/>
      <c r="ARP59" s="12"/>
      <c r="ARQ59" s="12"/>
      <c r="ARR59" s="12"/>
      <c r="ARS59" s="12"/>
      <c r="ART59" s="12"/>
      <c r="ARU59" s="12"/>
      <c r="ARV59" s="12"/>
      <c r="ARW59" s="12"/>
      <c r="ARX59" s="12"/>
      <c r="ARY59" s="12"/>
      <c r="ARZ59" s="12"/>
      <c r="ASA59" s="12"/>
      <c r="ASB59" s="12"/>
      <c r="ASC59" s="12"/>
      <c r="ASD59" s="12"/>
      <c r="ASE59" s="12"/>
      <c r="ASF59" s="12"/>
      <c r="ASG59" s="12"/>
      <c r="ASH59" s="12"/>
      <c r="ASI59" s="12"/>
      <c r="ASJ59" s="12"/>
      <c r="ASK59" s="12"/>
      <c r="ASL59" s="12"/>
      <c r="ASM59" s="12"/>
      <c r="ASN59" s="12"/>
      <c r="ASO59" s="12"/>
      <c r="ASP59" s="12"/>
      <c r="ASQ59" s="12"/>
      <c r="ASR59" s="12"/>
      <c r="ASS59" s="12"/>
      <c r="AST59" s="12"/>
      <c r="ASU59" s="12"/>
      <c r="ASV59" s="12"/>
      <c r="ASW59" s="12"/>
      <c r="ASX59" s="12"/>
      <c r="ASY59" s="12"/>
      <c r="ASZ59" s="12"/>
      <c r="ATA59" s="12"/>
      <c r="ATB59" s="12"/>
      <c r="ATC59" s="12"/>
      <c r="ATD59" s="12"/>
      <c r="ATE59" s="12"/>
      <c r="ATF59" s="12"/>
      <c r="ATG59" s="12"/>
      <c r="ATH59" s="12"/>
      <c r="ATI59" s="12"/>
      <c r="ATJ59" s="12"/>
      <c r="ATK59" s="12"/>
      <c r="ATL59" s="12"/>
      <c r="ATM59" s="12"/>
      <c r="ATN59" s="12"/>
      <c r="ATO59" s="12"/>
      <c r="ATP59" s="12"/>
      <c r="ATQ59" s="12"/>
      <c r="ATR59" s="12"/>
      <c r="ATS59" s="12"/>
      <c r="ATT59" s="12"/>
      <c r="ATU59" s="12"/>
      <c r="ATV59" s="12"/>
      <c r="ATW59" s="12"/>
      <c r="ATX59" s="12"/>
      <c r="ATY59" s="12"/>
      <c r="ATZ59" s="12"/>
      <c r="AUA59" s="12"/>
      <c r="AUB59" s="12"/>
      <c r="AUC59" s="12"/>
      <c r="AUD59" s="12"/>
      <c r="AUE59" s="12"/>
      <c r="AUF59" s="12"/>
      <c r="AUG59" s="12"/>
      <c r="AUH59" s="12"/>
      <c r="AUI59" s="12"/>
      <c r="AUJ59" s="12"/>
      <c r="AUK59" s="12"/>
      <c r="AUL59" s="12"/>
      <c r="AUM59" s="12"/>
      <c r="AUN59" s="12"/>
      <c r="AUO59" s="12"/>
      <c r="AUP59" s="12"/>
      <c r="AUQ59" s="12"/>
      <c r="AUR59" s="12"/>
      <c r="AUS59" s="12"/>
      <c r="AUT59" s="12"/>
      <c r="AUU59" s="12"/>
      <c r="AUV59" s="12"/>
      <c r="AUW59" s="12"/>
      <c r="AUX59" s="12"/>
      <c r="AUY59" s="12"/>
      <c r="AUZ59" s="12"/>
      <c r="AVA59" s="12"/>
      <c r="AVB59" s="12"/>
      <c r="AVC59" s="12"/>
      <c r="AVD59" s="12"/>
      <c r="AVE59" s="12"/>
      <c r="AVF59" s="12"/>
      <c r="AVG59" s="12"/>
      <c r="AVH59" s="12"/>
      <c r="AVI59" s="12"/>
      <c r="AVJ59" s="12"/>
      <c r="AVK59" s="12"/>
      <c r="AVL59" s="12"/>
      <c r="AVM59" s="12"/>
      <c r="AVN59" s="12"/>
      <c r="AVO59" s="12"/>
      <c r="AVP59" s="12"/>
      <c r="AVQ59" s="12"/>
      <c r="AVR59" s="12"/>
      <c r="AVS59" s="12"/>
      <c r="AVT59" s="12"/>
      <c r="AVU59" s="12"/>
      <c r="AVV59" s="12"/>
      <c r="AVW59" s="12"/>
      <c r="AVX59" s="12"/>
      <c r="AVY59" s="12"/>
      <c r="AVZ59" s="12"/>
      <c r="AWA59" s="12"/>
      <c r="AWB59" s="12"/>
      <c r="AWC59" s="12"/>
      <c r="AWD59" s="12"/>
      <c r="AWE59" s="12"/>
      <c r="AWF59" s="12"/>
      <c r="AWG59" s="12"/>
      <c r="AWH59" s="12"/>
      <c r="AWI59" s="12"/>
      <c r="AWJ59" s="12"/>
      <c r="AWK59" s="12"/>
      <c r="AWL59" s="12"/>
      <c r="AWM59" s="12"/>
      <c r="AWN59" s="12"/>
      <c r="AWO59" s="12"/>
      <c r="AWP59" s="12"/>
      <c r="AWQ59" s="12"/>
      <c r="AWR59" s="12"/>
      <c r="AWS59" s="12"/>
      <c r="AWT59" s="12"/>
      <c r="AWU59" s="12"/>
      <c r="AWV59" s="12"/>
      <c r="AWW59" s="12"/>
      <c r="AWX59" s="12"/>
      <c r="AWY59" s="12"/>
      <c r="AWZ59" s="12"/>
      <c r="AXA59" s="12"/>
      <c r="AXB59" s="12"/>
      <c r="AXC59" s="12"/>
      <c r="AXD59" s="12"/>
      <c r="AXE59" s="12"/>
      <c r="AXF59" s="12"/>
      <c r="AXG59" s="12"/>
      <c r="AXH59" s="12"/>
      <c r="AXI59" s="12"/>
      <c r="AXJ59" s="12"/>
      <c r="AXK59" s="12"/>
      <c r="AXL59" s="12"/>
      <c r="AXM59" s="12"/>
      <c r="AXN59" s="12"/>
      <c r="AXO59" s="12"/>
      <c r="AXP59" s="12"/>
      <c r="AXQ59" s="12"/>
      <c r="AXR59" s="12"/>
      <c r="AXS59" s="12"/>
      <c r="AXT59" s="12"/>
      <c r="AXU59" s="12"/>
      <c r="AXV59" s="12"/>
      <c r="AXW59" s="12"/>
      <c r="AXX59" s="12"/>
      <c r="AXY59" s="12"/>
      <c r="AXZ59" s="12"/>
      <c r="AYA59" s="12"/>
      <c r="AYB59" s="12"/>
      <c r="AYC59" s="12"/>
      <c r="AYD59" s="12"/>
      <c r="AYE59" s="12"/>
      <c r="AYF59" s="12"/>
      <c r="AYG59" s="12"/>
      <c r="AYH59" s="12"/>
      <c r="AYI59" s="12"/>
      <c r="AYJ59" s="12"/>
      <c r="AYK59" s="12"/>
      <c r="AYL59" s="12"/>
      <c r="AYM59" s="12"/>
      <c r="AYN59" s="12"/>
      <c r="AYO59" s="12"/>
      <c r="AYP59" s="12"/>
      <c r="AYQ59" s="12"/>
      <c r="AYR59" s="12"/>
      <c r="AYS59" s="12"/>
      <c r="AYT59" s="12"/>
      <c r="AYU59" s="12"/>
      <c r="AYV59" s="12"/>
      <c r="AYW59" s="12"/>
      <c r="AYX59" s="12"/>
      <c r="AYY59" s="12"/>
      <c r="AYZ59" s="12"/>
      <c r="AZA59" s="12"/>
      <c r="AZB59" s="12"/>
      <c r="AZC59" s="12"/>
      <c r="AZD59" s="12"/>
      <c r="AZE59" s="12"/>
      <c r="AZF59" s="12"/>
      <c r="AZG59" s="12"/>
      <c r="AZH59" s="12"/>
      <c r="AZI59" s="12"/>
      <c r="AZJ59" s="12"/>
      <c r="AZK59" s="12"/>
      <c r="AZL59" s="12"/>
      <c r="AZM59" s="12"/>
      <c r="AZN59" s="12"/>
      <c r="AZO59" s="12"/>
      <c r="AZP59" s="12"/>
      <c r="AZQ59" s="12"/>
      <c r="AZR59" s="12"/>
      <c r="AZS59" s="12"/>
      <c r="AZT59" s="12"/>
      <c r="AZU59" s="12"/>
      <c r="AZV59" s="12"/>
      <c r="AZW59" s="12"/>
      <c r="AZX59" s="12"/>
      <c r="AZY59" s="12"/>
      <c r="AZZ59" s="12"/>
      <c r="BAA59" s="12"/>
      <c r="BAB59" s="12"/>
      <c r="BAC59" s="12"/>
      <c r="BAD59" s="12"/>
      <c r="BAE59" s="12"/>
      <c r="BAF59" s="12"/>
      <c r="BAG59" s="12"/>
      <c r="BAH59" s="12"/>
      <c r="BAI59" s="12"/>
      <c r="BAJ59" s="12"/>
      <c r="BAK59" s="12"/>
      <c r="BAL59" s="12"/>
      <c r="BAM59" s="12"/>
      <c r="BAN59" s="12"/>
      <c r="BAO59" s="12"/>
      <c r="BAP59" s="12"/>
      <c r="BAQ59" s="12"/>
      <c r="BAR59" s="12"/>
      <c r="BAS59" s="12"/>
      <c r="BAT59" s="12"/>
      <c r="BAU59" s="12"/>
      <c r="BAV59" s="12"/>
      <c r="BAW59" s="12"/>
      <c r="BAX59" s="12"/>
      <c r="BAY59" s="12"/>
      <c r="BAZ59" s="12"/>
      <c r="BBA59" s="12"/>
      <c r="BBB59" s="12"/>
      <c r="BBC59" s="12"/>
      <c r="BBD59" s="12"/>
      <c r="BBE59" s="12"/>
      <c r="BBF59" s="12"/>
      <c r="BBG59" s="12"/>
      <c r="BBH59" s="12"/>
      <c r="BBI59" s="12"/>
      <c r="BBJ59" s="12"/>
      <c r="BBK59" s="12"/>
      <c r="BBL59" s="12"/>
      <c r="BBM59" s="12"/>
      <c r="BBN59" s="12"/>
      <c r="BBO59" s="12"/>
      <c r="BBP59" s="12"/>
      <c r="BBQ59" s="12"/>
      <c r="BBR59" s="12"/>
      <c r="BBS59" s="12"/>
      <c r="BBT59" s="12"/>
      <c r="BBU59" s="12"/>
      <c r="BBV59" s="12"/>
      <c r="BBW59" s="12"/>
      <c r="BBX59" s="12"/>
      <c r="BBY59" s="12"/>
      <c r="BBZ59" s="12"/>
      <c r="BCA59" s="12"/>
      <c r="BCB59" s="12"/>
      <c r="BCC59" s="12"/>
      <c r="BCD59" s="12"/>
      <c r="BCE59" s="12"/>
      <c r="BCF59" s="12"/>
      <c r="BCG59" s="12"/>
      <c r="BCH59" s="12"/>
      <c r="BCI59" s="12"/>
      <c r="BCJ59" s="12"/>
      <c r="BCK59" s="12"/>
      <c r="BCL59" s="12"/>
      <c r="BCM59" s="12"/>
      <c r="BCN59" s="12"/>
      <c r="BCO59" s="12"/>
      <c r="BCP59" s="12"/>
      <c r="BCQ59" s="12"/>
      <c r="BCR59" s="12"/>
      <c r="BCS59" s="12"/>
      <c r="BCT59" s="12"/>
      <c r="BCU59" s="12"/>
      <c r="BCV59" s="12"/>
      <c r="BCW59" s="12"/>
      <c r="BCX59" s="12"/>
      <c r="BCY59" s="12"/>
      <c r="BCZ59" s="12"/>
      <c r="BDA59" s="12"/>
      <c r="BDB59" s="12"/>
      <c r="BDC59" s="12"/>
      <c r="BDD59" s="12"/>
      <c r="BDE59" s="12"/>
      <c r="BDF59" s="12"/>
      <c r="BDG59" s="12"/>
      <c r="BDH59" s="12"/>
      <c r="BDI59" s="12"/>
      <c r="BDJ59" s="12"/>
      <c r="BDK59" s="12"/>
      <c r="BDL59" s="12"/>
      <c r="BDM59" s="12"/>
      <c r="BDN59" s="12"/>
      <c r="BDO59" s="12"/>
      <c r="BDP59" s="12"/>
      <c r="BDQ59" s="12"/>
      <c r="BDR59" s="12"/>
      <c r="BDS59" s="12"/>
      <c r="BDT59" s="12"/>
      <c r="BDU59" s="12"/>
      <c r="BDV59" s="12"/>
      <c r="BDW59" s="12"/>
      <c r="BDX59" s="12"/>
      <c r="BDY59" s="12"/>
      <c r="BDZ59" s="12"/>
      <c r="BEA59" s="12"/>
      <c r="BEB59" s="12"/>
      <c r="BEC59" s="12"/>
      <c r="BED59" s="12"/>
      <c r="BEE59" s="12"/>
      <c r="BEF59" s="12"/>
      <c r="BEG59" s="12"/>
      <c r="BEH59" s="12"/>
      <c r="BEI59" s="12"/>
      <c r="BEJ59" s="12"/>
      <c r="BEK59" s="12"/>
      <c r="BEL59" s="12"/>
      <c r="BEM59" s="12"/>
      <c r="BEN59" s="12"/>
      <c r="BEO59" s="12"/>
      <c r="BEP59" s="12"/>
      <c r="BEQ59" s="12"/>
      <c r="BER59" s="12"/>
      <c r="BES59" s="12"/>
      <c r="BET59" s="12"/>
      <c r="BEU59" s="12"/>
      <c r="BEV59" s="12"/>
      <c r="BEW59" s="12"/>
      <c r="BEX59" s="12"/>
      <c r="BEY59" s="12"/>
      <c r="BEZ59" s="12"/>
      <c r="BFA59" s="12"/>
      <c r="BFB59" s="12"/>
      <c r="BFC59" s="12"/>
      <c r="BFD59" s="12"/>
      <c r="BFE59" s="12"/>
      <c r="BFF59" s="12"/>
      <c r="BFG59" s="12"/>
      <c r="BFH59" s="12"/>
      <c r="BFI59" s="12"/>
      <c r="BFJ59" s="12"/>
      <c r="BFK59" s="12"/>
      <c r="BFL59" s="12"/>
      <c r="BFM59" s="12"/>
      <c r="BFN59" s="12"/>
      <c r="BFO59" s="12"/>
      <c r="BFP59" s="12"/>
      <c r="BFQ59" s="12"/>
      <c r="BFR59" s="12"/>
      <c r="BFS59" s="12"/>
      <c r="BFT59" s="12"/>
      <c r="BFU59" s="12"/>
      <c r="BFV59" s="12"/>
      <c r="BFW59" s="12"/>
      <c r="BFX59" s="12"/>
      <c r="BFY59" s="12"/>
      <c r="BFZ59" s="12"/>
      <c r="BGA59" s="12"/>
      <c r="BGB59" s="12"/>
      <c r="BGC59" s="12"/>
      <c r="BGD59" s="12"/>
      <c r="BGE59" s="12"/>
      <c r="BGF59" s="12"/>
      <c r="BGG59" s="12"/>
      <c r="BGH59" s="12"/>
      <c r="BGI59" s="12"/>
      <c r="BGJ59" s="12"/>
      <c r="BGK59" s="12"/>
      <c r="BGL59" s="12"/>
      <c r="BGM59" s="12"/>
      <c r="BGN59" s="12"/>
      <c r="BGO59" s="12"/>
      <c r="BGP59" s="12"/>
      <c r="BGQ59" s="12"/>
      <c r="BGR59" s="12"/>
      <c r="BGS59" s="12"/>
      <c r="BGT59" s="12"/>
      <c r="BGU59" s="12"/>
      <c r="BGV59" s="12"/>
      <c r="BGW59" s="12"/>
      <c r="BGX59" s="12"/>
      <c r="BGY59" s="12"/>
      <c r="BGZ59" s="12"/>
      <c r="BHA59" s="12"/>
      <c r="BHB59" s="12"/>
      <c r="BHC59" s="12"/>
      <c r="BHD59" s="12"/>
      <c r="BHE59" s="12"/>
      <c r="BHF59" s="12"/>
      <c r="BHG59" s="12"/>
      <c r="BHH59" s="12"/>
    </row>
    <row r="60" spans="1:1568" ht="12.75" customHeight="1" x14ac:dyDescent="0.2">
      <c r="A60" s="1556">
        <v>1381</v>
      </c>
      <c r="B60" s="768" t="s">
        <v>2135</v>
      </c>
      <c r="C60" s="870">
        <v>2640000</v>
      </c>
      <c r="D60" s="870">
        <v>2640000</v>
      </c>
      <c r="E60" s="1218">
        <v>947860.33</v>
      </c>
      <c r="F60" s="1163"/>
      <c r="G60" s="825">
        <f t="shared" si="30"/>
        <v>35.903800378787878</v>
      </c>
      <c r="H60" s="1244">
        <f t="shared" si="31"/>
        <v>35.903800378787878</v>
      </c>
      <c r="I60" s="1245">
        <f>E60/J60*100</f>
        <v>54.342725944641977</v>
      </c>
      <c r="J60" s="1179">
        <v>1744226.69</v>
      </c>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c r="HZ60" s="12"/>
      <c r="IA60" s="12"/>
      <c r="IB60" s="12"/>
      <c r="IC60" s="12"/>
      <c r="ID60" s="12"/>
      <c r="IE60" s="12"/>
      <c r="IF60" s="12"/>
      <c r="IG60" s="12"/>
      <c r="IH60" s="12"/>
      <c r="II60" s="12"/>
      <c r="IJ60" s="12"/>
      <c r="IK60" s="12"/>
      <c r="IL60" s="12"/>
      <c r="IM60" s="12"/>
      <c r="IN60" s="12"/>
      <c r="IO60" s="12"/>
      <c r="IP60" s="12"/>
      <c r="IQ60" s="12"/>
      <c r="IR60" s="12"/>
      <c r="IS60" s="12"/>
      <c r="IT60" s="12"/>
      <c r="IU60" s="12"/>
      <c r="IV60" s="12"/>
      <c r="IW60" s="12"/>
      <c r="IX60" s="12"/>
      <c r="IY60" s="12"/>
      <c r="IZ60" s="12"/>
      <c r="JA60" s="12"/>
      <c r="JB60" s="12"/>
      <c r="JC60" s="12"/>
      <c r="JD60" s="12"/>
      <c r="JE60" s="12"/>
      <c r="JF60" s="12"/>
      <c r="JG60" s="12"/>
      <c r="JH60" s="12"/>
      <c r="JI60" s="12"/>
      <c r="JJ60" s="12"/>
      <c r="JK60" s="12"/>
      <c r="JL60" s="12"/>
      <c r="JM60" s="12"/>
      <c r="JN60" s="12"/>
      <c r="JO60" s="12"/>
      <c r="JP60" s="12"/>
      <c r="JQ60" s="12"/>
      <c r="JR60" s="12"/>
      <c r="JS60" s="12"/>
      <c r="JT60" s="12"/>
      <c r="JU60" s="12"/>
      <c r="JV60" s="12"/>
      <c r="JW60" s="12"/>
      <c r="JX60" s="12"/>
      <c r="JY60" s="12"/>
      <c r="JZ60" s="12"/>
      <c r="KA60" s="12"/>
      <c r="KB60" s="12"/>
      <c r="KC60" s="12"/>
      <c r="KD60" s="12"/>
      <c r="KE60" s="12"/>
      <c r="KF60" s="12"/>
      <c r="KG60" s="12"/>
      <c r="KH60" s="12"/>
      <c r="KI60" s="12"/>
      <c r="KJ60" s="12"/>
      <c r="KK60" s="12"/>
      <c r="KL60" s="12"/>
      <c r="KM60" s="12"/>
      <c r="KN60" s="12"/>
      <c r="KO60" s="12"/>
      <c r="KP60" s="12"/>
      <c r="KQ60" s="12"/>
      <c r="KR60" s="12"/>
      <c r="KS60" s="12"/>
      <c r="KT60" s="12"/>
      <c r="KU60" s="12"/>
      <c r="KV60" s="12"/>
      <c r="KW60" s="12"/>
      <c r="KX60" s="12"/>
      <c r="KY60" s="12"/>
      <c r="KZ60" s="12"/>
      <c r="LA60" s="12"/>
      <c r="LB60" s="12"/>
      <c r="LC60" s="12"/>
      <c r="LD60" s="12"/>
      <c r="LE60" s="12"/>
      <c r="LF60" s="12"/>
      <c r="LG60" s="12"/>
      <c r="LH60" s="12"/>
      <c r="LI60" s="12"/>
      <c r="LJ60" s="12"/>
      <c r="LK60" s="12"/>
      <c r="LL60" s="12"/>
      <c r="LM60" s="12"/>
      <c r="LN60" s="12"/>
      <c r="LO60" s="12"/>
      <c r="LP60" s="12"/>
      <c r="LQ60" s="12"/>
      <c r="LR60" s="12"/>
      <c r="LS60" s="12"/>
      <c r="LT60" s="12"/>
      <c r="LU60" s="12"/>
      <c r="LV60" s="12"/>
      <c r="LW60" s="12"/>
      <c r="LX60" s="12"/>
      <c r="LY60" s="12"/>
      <c r="LZ60" s="12"/>
      <c r="MA60" s="12"/>
      <c r="MB60" s="12"/>
      <c r="MC60" s="12"/>
      <c r="MD60" s="12"/>
      <c r="ME60" s="12"/>
      <c r="MF60" s="12"/>
      <c r="MG60" s="12"/>
      <c r="MH60" s="12"/>
      <c r="MI60" s="12"/>
      <c r="MJ60" s="12"/>
      <c r="MK60" s="12"/>
      <c r="ML60" s="12"/>
      <c r="MM60" s="12"/>
      <c r="MN60" s="12"/>
      <c r="MO60" s="12"/>
      <c r="MP60" s="12"/>
      <c r="MQ60" s="12"/>
      <c r="MR60" s="12"/>
      <c r="MS60" s="12"/>
      <c r="MT60" s="12"/>
      <c r="MU60" s="12"/>
      <c r="MV60" s="12"/>
      <c r="MW60" s="12"/>
      <c r="MX60" s="12"/>
      <c r="MY60" s="12"/>
      <c r="MZ60" s="12"/>
      <c r="NA60" s="12"/>
      <c r="NB60" s="12"/>
      <c r="NC60" s="12"/>
      <c r="ND60" s="12"/>
      <c r="NE60" s="12"/>
      <c r="NF60" s="12"/>
      <c r="NG60" s="12"/>
      <c r="NH60" s="12"/>
      <c r="NI60" s="12"/>
      <c r="NJ60" s="12"/>
      <c r="NK60" s="12"/>
      <c r="NL60" s="12"/>
      <c r="NM60" s="12"/>
      <c r="NN60" s="12"/>
      <c r="NO60" s="12"/>
      <c r="NP60" s="12"/>
      <c r="NQ60" s="12"/>
      <c r="NR60" s="12"/>
      <c r="NS60" s="12"/>
      <c r="NT60" s="12"/>
      <c r="NU60" s="12"/>
      <c r="NV60" s="12"/>
      <c r="NW60" s="12"/>
      <c r="NX60" s="12"/>
      <c r="NY60" s="12"/>
      <c r="NZ60" s="12"/>
      <c r="OA60" s="12"/>
      <c r="OB60" s="12"/>
      <c r="OC60" s="12"/>
      <c r="OD60" s="12"/>
      <c r="OE60" s="12"/>
      <c r="OF60" s="12"/>
      <c r="OG60" s="12"/>
      <c r="OH60" s="12"/>
      <c r="OI60" s="12"/>
      <c r="OJ60" s="12"/>
      <c r="OK60" s="12"/>
      <c r="OL60" s="12"/>
      <c r="OM60" s="12"/>
      <c r="ON60" s="12"/>
      <c r="OO60" s="12"/>
      <c r="OP60" s="12"/>
      <c r="OQ60" s="12"/>
      <c r="OR60" s="12"/>
      <c r="OS60" s="12"/>
      <c r="OT60" s="12"/>
      <c r="OU60" s="12"/>
      <c r="OV60" s="12"/>
      <c r="OW60" s="12"/>
      <c r="OX60" s="12"/>
      <c r="OY60" s="12"/>
      <c r="OZ60" s="12"/>
      <c r="PA60" s="12"/>
      <c r="PB60" s="12"/>
      <c r="PC60" s="12"/>
      <c r="PD60" s="12"/>
      <c r="PE60" s="12"/>
      <c r="PF60" s="12"/>
      <c r="PG60" s="12"/>
      <c r="PH60" s="12"/>
      <c r="PI60" s="12"/>
      <c r="PJ60" s="12"/>
      <c r="PK60" s="12"/>
      <c r="PL60" s="12"/>
      <c r="PM60" s="12"/>
      <c r="PN60" s="12"/>
      <c r="PO60" s="12"/>
      <c r="PP60" s="12"/>
      <c r="PQ60" s="12"/>
      <c r="PR60" s="12"/>
      <c r="PS60" s="12"/>
      <c r="PT60" s="12"/>
      <c r="PU60" s="12"/>
      <c r="PV60" s="12"/>
      <c r="PW60" s="12"/>
      <c r="PX60" s="12"/>
      <c r="PY60" s="12"/>
      <c r="PZ60" s="12"/>
      <c r="QA60" s="12"/>
      <c r="QB60" s="12"/>
      <c r="QC60" s="12"/>
      <c r="QD60" s="12"/>
      <c r="QE60" s="12"/>
      <c r="QF60" s="12"/>
      <c r="QG60" s="12"/>
      <c r="QH60" s="12"/>
      <c r="QI60" s="12"/>
      <c r="QJ60" s="12"/>
      <c r="QK60" s="12"/>
      <c r="QL60" s="12"/>
      <c r="QM60" s="12"/>
      <c r="QN60" s="12"/>
      <c r="QO60" s="12"/>
      <c r="QP60" s="12"/>
      <c r="QQ60" s="12"/>
      <c r="QR60" s="12"/>
      <c r="QS60" s="12"/>
      <c r="QT60" s="12"/>
      <c r="QU60" s="12"/>
      <c r="QV60" s="12"/>
      <c r="QW60" s="12"/>
      <c r="QX60" s="12"/>
      <c r="QY60" s="12"/>
      <c r="QZ60" s="12"/>
      <c r="RA60" s="12"/>
      <c r="RB60" s="12"/>
      <c r="RC60" s="12"/>
      <c r="RD60" s="12"/>
      <c r="RE60" s="12"/>
      <c r="RF60" s="12"/>
      <c r="RG60" s="12"/>
      <c r="RH60" s="12"/>
      <c r="RI60" s="12"/>
      <c r="RJ60" s="12"/>
      <c r="RK60" s="12"/>
      <c r="RL60" s="12"/>
      <c r="RM60" s="12"/>
      <c r="RN60" s="12"/>
      <c r="RO60" s="12"/>
      <c r="RP60" s="12"/>
      <c r="RQ60" s="12"/>
      <c r="RR60" s="12"/>
      <c r="RS60" s="12"/>
      <c r="RT60" s="12"/>
      <c r="RU60" s="12"/>
      <c r="RV60" s="12"/>
      <c r="RW60" s="12"/>
      <c r="RX60" s="12"/>
      <c r="RY60" s="12"/>
      <c r="RZ60" s="12"/>
      <c r="SA60" s="12"/>
      <c r="SB60" s="12"/>
      <c r="SC60" s="12"/>
      <c r="SD60" s="12"/>
      <c r="SE60" s="12"/>
      <c r="SF60" s="12"/>
      <c r="SG60" s="12"/>
      <c r="SH60" s="12"/>
      <c r="SI60" s="12"/>
      <c r="SJ60" s="12"/>
      <c r="SK60" s="12"/>
      <c r="SL60" s="12"/>
      <c r="SM60" s="12"/>
      <c r="SN60" s="12"/>
      <c r="SO60" s="12"/>
      <c r="SP60" s="12"/>
      <c r="SQ60" s="12"/>
      <c r="SR60" s="12"/>
      <c r="SS60" s="12"/>
      <c r="ST60" s="12"/>
      <c r="SU60" s="12"/>
      <c r="SV60" s="12"/>
      <c r="SW60" s="12"/>
      <c r="SX60" s="12"/>
      <c r="SY60" s="12"/>
      <c r="SZ60" s="12"/>
      <c r="TA60" s="12"/>
      <c r="TB60" s="12"/>
      <c r="TC60" s="12"/>
      <c r="TD60" s="12"/>
      <c r="TE60" s="12"/>
      <c r="TF60" s="12"/>
      <c r="TG60" s="12"/>
      <c r="TH60" s="12"/>
      <c r="TI60" s="12"/>
      <c r="TJ60" s="12"/>
      <c r="TK60" s="12"/>
      <c r="TL60" s="12"/>
      <c r="TM60" s="12"/>
      <c r="TN60" s="12"/>
      <c r="TO60" s="12"/>
      <c r="TP60" s="12"/>
      <c r="TQ60" s="12"/>
      <c r="TR60" s="12"/>
      <c r="TS60" s="12"/>
      <c r="TT60" s="12"/>
      <c r="TU60" s="12"/>
      <c r="TV60" s="12"/>
      <c r="TW60" s="12"/>
      <c r="TX60" s="12"/>
      <c r="TY60" s="12"/>
      <c r="TZ60" s="12"/>
      <c r="UA60" s="12"/>
      <c r="UB60" s="12"/>
      <c r="UC60" s="12"/>
      <c r="UD60" s="12"/>
      <c r="UE60" s="12"/>
      <c r="UF60" s="12"/>
      <c r="UG60" s="12"/>
      <c r="UH60" s="12"/>
      <c r="UI60" s="12"/>
      <c r="UJ60" s="12"/>
      <c r="UK60" s="12"/>
      <c r="UL60" s="12"/>
      <c r="UM60" s="12"/>
      <c r="UN60" s="12"/>
      <c r="UO60" s="12"/>
      <c r="UP60" s="12"/>
      <c r="UQ60" s="12"/>
      <c r="UR60" s="12"/>
      <c r="US60" s="12"/>
      <c r="UT60" s="12"/>
      <c r="UU60" s="12"/>
      <c r="UV60" s="12"/>
      <c r="UW60" s="12"/>
      <c r="UX60" s="12"/>
      <c r="UY60" s="12"/>
      <c r="UZ60" s="12"/>
      <c r="VA60" s="12"/>
      <c r="VB60" s="12"/>
      <c r="VC60" s="12"/>
      <c r="VD60" s="12"/>
      <c r="VE60" s="12"/>
      <c r="VF60" s="12"/>
      <c r="VG60" s="12"/>
      <c r="VH60" s="12"/>
      <c r="VI60" s="12"/>
      <c r="VJ60" s="12"/>
      <c r="VK60" s="12"/>
      <c r="VL60" s="12"/>
      <c r="VM60" s="12"/>
      <c r="VN60" s="12"/>
      <c r="VO60" s="12"/>
      <c r="VP60" s="12"/>
      <c r="VQ60" s="12"/>
      <c r="VR60" s="12"/>
      <c r="VS60" s="12"/>
      <c r="VT60" s="12"/>
      <c r="VU60" s="12"/>
      <c r="VV60" s="12"/>
      <c r="VW60" s="12"/>
      <c r="VX60" s="12"/>
      <c r="VY60" s="12"/>
      <c r="VZ60" s="12"/>
      <c r="WA60" s="12"/>
      <c r="WB60" s="12"/>
      <c r="WC60" s="12"/>
      <c r="WD60" s="12"/>
      <c r="WE60" s="12"/>
      <c r="WF60" s="12"/>
      <c r="WG60" s="12"/>
      <c r="WH60" s="12"/>
      <c r="WI60" s="12"/>
      <c r="WJ60" s="12"/>
      <c r="WK60" s="12"/>
      <c r="WL60" s="12"/>
      <c r="WM60" s="12"/>
      <c r="WN60" s="12"/>
      <c r="WO60" s="12"/>
      <c r="WP60" s="12"/>
      <c r="WQ60" s="12"/>
      <c r="WR60" s="12"/>
      <c r="WS60" s="12"/>
      <c r="WT60" s="12"/>
      <c r="WU60" s="12"/>
      <c r="WV60" s="12"/>
      <c r="WW60" s="12"/>
      <c r="WX60" s="12"/>
      <c r="WY60" s="12"/>
      <c r="WZ60" s="12"/>
      <c r="XA60" s="12"/>
      <c r="XB60" s="12"/>
      <c r="XC60" s="12"/>
      <c r="XD60" s="12"/>
      <c r="XE60" s="12"/>
      <c r="XF60" s="12"/>
      <c r="XG60" s="12"/>
      <c r="XH60" s="12"/>
      <c r="XI60" s="12"/>
      <c r="XJ60" s="12"/>
      <c r="XK60" s="12"/>
      <c r="XL60" s="12"/>
      <c r="XM60" s="12"/>
      <c r="XN60" s="12"/>
      <c r="XO60" s="12"/>
      <c r="XP60" s="12"/>
      <c r="XQ60" s="12"/>
      <c r="XR60" s="12"/>
      <c r="XS60" s="12"/>
      <c r="XT60" s="12"/>
      <c r="XU60" s="12"/>
      <c r="XV60" s="12"/>
      <c r="XW60" s="12"/>
      <c r="XX60" s="12"/>
      <c r="XY60" s="12"/>
      <c r="XZ60" s="12"/>
      <c r="YA60" s="12"/>
      <c r="YB60" s="12"/>
      <c r="YC60" s="12"/>
      <c r="YD60" s="12"/>
      <c r="YE60" s="12"/>
      <c r="YF60" s="12"/>
      <c r="YG60" s="12"/>
      <c r="YH60" s="12"/>
      <c r="YI60" s="12"/>
      <c r="YJ60" s="12"/>
      <c r="YK60" s="12"/>
      <c r="YL60" s="12"/>
      <c r="YM60" s="12"/>
      <c r="YN60" s="12"/>
      <c r="YO60" s="12"/>
      <c r="YP60" s="12"/>
      <c r="YQ60" s="12"/>
      <c r="YR60" s="12"/>
      <c r="YS60" s="12"/>
      <c r="YT60" s="12"/>
      <c r="YU60" s="12"/>
      <c r="YV60" s="12"/>
      <c r="YW60" s="12"/>
      <c r="YX60" s="12"/>
      <c r="YY60" s="12"/>
      <c r="YZ60" s="12"/>
      <c r="ZA60" s="12"/>
      <c r="ZB60" s="12"/>
      <c r="ZC60" s="12"/>
      <c r="ZD60" s="12"/>
      <c r="ZE60" s="12"/>
      <c r="ZF60" s="12"/>
      <c r="ZG60" s="12"/>
      <c r="ZH60" s="12"/>
      <c r="ZI60" s="12"/>
      <c r="ZJ60" s="12"/>
      <c r="ZK60" s="12"/>
      <c r="ZL60" s="12"/>
      <c r="ZM60" s="12"/>
      <c r="ZN60" s="12"/>
      <c r="ZO60" s="12"/>
      <c r="ZP60" s="12"/>
      <c r="ZQ60" s="12"/>
      <c r="ZR60" s="12"/>
      <c r="ZS60" s="12"/>
      <c r="ZT60" s="12"/>
      <c r="ZU60" s="12"/>
      <c r="ZV60" s="12"/>
      <c r="ZW60" s="12"/>
      <c r="ZX60" s="12"/>
      <c r="ZY60" s="12"/>
      <c r="ZZ60" s="12"/>
      <c r="AAA60" s="12"/>
      <c r="AAB60" s="12"/>
      <c r="AAC60" s="12"/>
      <c r="AAD60" s="12"/>
      <c r="AAE60" s="12"/>
      <c r="AAF60" s="12"/>
      <c r="AAG60" s="12"/>
      <c r="AAH60" s="12"/>
      <c r="AAI60" s="12"/>
      <c r="AAJ60" s="12"/>
      <c r="AAK60" s="12"/>
      <c r="AAL60" s="12"/>
      <c r="AAM60" s="12"/>
      <c r="AAN60" s="12"/>
      <c r="AAO60" s="12"/>
      <c r="AAP60" s="12"/>
      <c r="AAQ60" s="12"/>
      <c r="AAR60" s="12"/>
      <c r="AAS60" s="12"/>
      <c r="AAT60" s="12"/>
      <c r="AAU60" s="12"/>
      <c r="AAV60" s="12"/>
      <c r="AAW60" s="12"/>
      <c r="AAX60" s="12"/>
      <c r="AAY60" s="12"/>
      <c r="AAZ60" s="12"/>
      <c r="ABA60" s="12"/>
      <c r="ABB60" s="12"/>
      <c r="ABC60" s="12"/>
      <c r="ABD60" s="12"/>
      <c r="ABE60" s="12"/>
      <c r="ABF60" s="12"/>
      <c r="ABG60" s="12"/>
      <c r="ABH60" s="12"/>
      <c r="ABI60" s="12"/>
      <c r="ABJ60" s="12"/>
      <c r="ABK60" s="12"/>
      <c r="ABL60" s="12"/>
      <c r="ABM60" s="12"/>
      <c r="ABN60" s="12"/>
      <c r="ABO60" s="12"/>
      <c r="ABP60" s="12"/>
      <c r="ABQ60" s="12"/>
      <c r="ABR60" s="12"/>
      <c r="ABS60" s="12"/>
      <c r="ABT60" s="12"/>
      <c r="ABU60" s="12"/>
      <c r="ABV60" s="12"/>
      <c r="ABW60" s="12"/>
      <c r="ABX60" s="12"/>
      <c r="ABY60" s="12"/>
      <c r="ABZ60" s="12"/>
      <c r="ACA60" s="12"/>
      <c r="ACB60" s="12"/>
      <c r="ACC60" s="12"/>
      <c r="ACD60" s="12"/>
      <c r="ACE60" s="12"/>
      <c r="ACF60" s="12"/>
      <c r="ACG60" s="12"/>
      <c r="ACH60" s="12"/>
      <c r="ACI60" s="12"/>
      <c r="ACJ60" s="12"/>
      <c r="ACK60" s="12"/>
      <c r="ACL60" s="12"/>
      <c r="ACM60" s="12"/>
      <c r="ACN60" s="12"/>
      <c r="ACO60" s="12"/>
      <c r="ACP60" s="12"/>
      <c r="ACQ60" s="12"/>
      <c r="ACR60" s="12"/>
      <c r="ACS60" s="12"/>
      <c r="ACT60" s="12"/>
      <c r="ACU60" s="12"/>
      <c r="ACV60" s="12"/>
      <c r="ACW60" s="12"/>
      <c r="ACX60" s="12"/>
      <c r="ACY60" s="12"/>
      <c r="ACZ60" s="12"/>
      <c r="ADA60" s="12"/>
      <c r="ADB60" s="12"/>
      <c r="ADC60" s="12"/>
      <c r="ADD60" s="12"/>
      <c r="ADE60" s="12"/>
      <c r="ADF60" s="12"/>
      <c r="ADG60" s="12"/>
      <c r="ADH60" s="12"/>
      <c r="ADI60" s="12"/>
      <c r="ADJ60" s="12"/>
      <c r="ADK60" s="12"/>
      <c r="ADL60" s="12"/>
      <c r="ADM60" s="12"/>
      <c r="ADN60" s="12"/>
      <c r="ADO60" s="12"/>
      <c r="ADP60" s="12"/>
      <c r="ADQ60" s="12"/>
      <c r="ADR60" s="12"/>
      <c r="ADS60" s="12"/>
      <c r="ADT60" s="12"/>
      <c r="ADU60" s="12"/>
      <c r="ADV60" s="12"/>
      <c r="ADW60" s="12"/>
      <c r="ADX60" s="12"/>
      <c r="ADY60" s="12"/>
      <c r="ADZ60" s="12"/>
      <c r="AEA60" s="12"/>
      <c r="AEB60" s="12"/>
      <c r="AEC60" s="12"/>
      <c r="AED60" s="12"/>
      <c r="AEE60" s="12"/>
      <c r="AEF60" s="12"/>
      <c r="AEG60" s="12"/>
      <c r="AEH60" s="12"/>
      <c r="AEI60" s="12"/>
      <c r="AEJ60" s="12"/>
      <c r="AEK60" s="12"/>
      <c r="AEL60" s="12"/>
      <c r="AEM60" s="12"/>
      <c r="AEN60" s="12"/>
      <c r="AEO60" s="12"/>
      <c r="AEP60" s="12"/>
      <c r="AEQ60" s="12"/>
      <c r="AER60" s="12"/>
      <c r="AES60" s="12"/>
      <c r="AET60" s="12"/>
      <c r="AEU60" s="12"/>
      <c r="AEV60" s="12"/>
      <c r="AEW60" s="12"/>
      <c r="AEX60" s="12"/>
      <c r="AEY60" s="12"/>
      <c r="AEZ60" s="12"/>
      <c r="AFA60" s="12"/>
      <c r="AFB60" s="12"/>
      <c r="AFC60" s="12"/>
      <c r="AFD60" s="12"/>
      <c r="AFE60" s="12"/>
      <c r="AFF60" s="12"/>
      <c r="AFG60" s="12"/>
      <c r="AFH60" s="12"/>
      <c r="AFI60" s="12"/>
      <c r="AFJ60" s="12"/>
      <c r="AFK60" s="12"/>
      <c r="AFL60" s="12"/>
      <c r="AFM60" s="12"/>
      <c r="AFN60" s="12"/>
      <c r="AFO60" s="12"/>
      <c r="AFP60" s="12"/>
      <c r="AFQ60" s="12"/>
      <c r="AFR60" s="12"/>
      <c r="AFS60" s="12"/>
      <c r="AFT60" s="12"/>
      <c r="AFU60" s="12"/>
      <c r="AFV60" s="12"/>
      <c r="AFW60" s="12"/>
      <c r="AFX60" s="12"/>
      <c r="AFY60" s="12"/>
      <c r="AFZ60" s="12"/>
      <c r="AGA60" s="12"/>
      <c r="AGB60" s="12"/>
      <c r="AGC60" s="12"/>
      <c r="AGD60" s="12"/>
      <c r="AGE60" s="12"/>
      <c r="AGF60" s="12"/>
      <c r="AGG60" s="12"/>
      <c r="AGH60" s="12"/>
      <c r="AGI60" s="12"/>
      <c r="AGJ60" s="12"/>
      <c r="AGK60" s="12"/>
      <c r="AGL60" s="12"/>
      <c r="AGM60" s="12"/>
      <c r="AGN60" s="12"/>
      <c r="AGO60" s="12"/>
      <c r="AGP60" s="12"/>
      <c r="AGQ60" s="12"/>
      <c r="AGR60" s="12"/>
      <c r="AGS60" s="12"/>
      <c r="AGT60" s="12"/>
      <c r="AGU60" s="12"/>
      <c r="AGV60" s="12"/>
      <c r="AGW60" s="12"/>
      <c r="AGX60" s="12"/>
      <c r="AGY60" s="12"/>
      <c r="AGZ60" s="12"/>
      <c r="AHA60" s="12"/>
      <c r="AHB60" s="12"/>
      <c r="AHC60" s="12"/>
      <c r="AHD60" s="12"/>
      <c r="AHE60" s="12"/>
      <c r="AHF60" s="12"/>
      <c r="AHG60" s="12"/>
      <c r="AHH60" s="12"/>
      <c r="AHI60" s="12"/>
      <c r="AHJ60" s="12"/>
      <c r="AHK60" s="12"/>
      <c r="AHL60" s="12"/>
      <c r="AHM60" s="12"/>
      <c r="AHN60" s="12"/>
      <c r="AHO60" s="12"/>
      <c r="AHP60" s="12"/>
      <c r="AHQ60" s="12"/>
      <c r="AHR60" s="12"/>
      <c r="AHS60" s="12"/>
      <c r="AHT60" s="12"/>
      <c r="AHU60" s="12"/>
      <c r="AHV60" s="12"/>
      <c r="AHW60" s="12"/>
      <c r="AHX60" s="12"/>
      <c r="AHY60" s="12"/>
      <c r="AHZ60" s="12"/>
      <c r="AIA60" s="12"/>
      <c r="AIB60" s="12"/>
      <c r="AIC60" s="12"/>
      <c r="AID60" s="12"/>
      <c r="AIE60" s="12"/>
      <c r="AIF60" s="12"/>
      <c r="AIG60" s="12"/>
      <c r="AIH60" s="12"/>
      <c r="AII60" s="12"/>
      <c r="AIJ60" s="12"/>
      <c r="AIK60" s="12"/>
      <c r="AIL60" s="12"/>
      <c r="AIM60" s="12"/>
      <c r="AIN60" s="12"/>
      <c r="AIO60" s="12"/>
      <c r="AIP60" s="12"/>
      <c r="AIQ60" s="12"/>
      <c r="AIR60" s="12"/>
      <c r="AIS60" s="12"/>
      <c r="AIT60" s="12"/>
      <c r="AIU60" s="12"/>
      <c r="AIV60" s="12"/>
      <c r="AIW60" s="12"/>
      <c r="AIX60" s="12"/>
      <c r="AIY60" s="12"/>
      <c r="AIZ60" s="12"/>
      <c r="AJA60" s="12"/>
      <c r="AJB60" s="12"/>
      <c r="AJC60" s="12"/>
      <c r="AJD60" s="12"/>
      <c r="AJE60" s="12"/>
      <c r="AJF60" s="12"/>
      <c r="AJG60" s="12"/>
      <c r="AJH60" s="12"/>
      <c r="AJI60" s="12"/>
      <c r="AJJ60" s="12"/>
      <c r="AJK60" s="12"/>
      <c r="AJL60" s="12"/>
      <c r="AJM60" s="12"/>
      <c r="AJN60" s="12"/>
      <c r="AJO60" s="12"/>
      <c r="AJP60" s="12"/>
      <c r="AJQ60" s="12"/>
      <c r="AJR60" s="12"/>
      <c r="AJS60" s="12"/>
      <c r="AJT60" s="12"/>
      <c r="AJU60" s="12"/>
      <c r="AJV60" s="12"/>
      <c r="AJW60" s="12"/>
      <c r="AJX60" s="12"/>
      <c r="AJY60" s="12"/>
      <c r="AJZ60" s="12"/>
      <c r="AKA60" s="12"/>
      <c r="AKB60" s="12"/>
      <c r="AKC60" s="12"/>
      <c r="AKD60" s="12"/>
      <c r="AKE60" s="12"/>
      <c r="AKF60" s="12"/>
      <c r="AKG60" s="12"/>
      <c r="AKH60" s="12"/>
      <c r="AKI60" s="12"/>
      <c r="AKJ60" s="12"/>
      <c r="AKK60" s="12"/>
      <c r="AKL60" s="12"/>
      <c r="AKM60" s="12"/>
      <c r="AKN60" s="12"/>
      <c r="AKO60" s="12"/>
      <c r="AKP60" s="12"/>
      <c r="AKQ60" s="12"/>
      <c r="AKR60" s="12"/>
      <c r="AKS60" s="12"/>
      <c r="AKT60" s="12"/>
      <c r="AKU60" s="12"/>
      <c r="AKV60" s="12"/>
      <c r="AKW60" s="12"/>
      <c r="AKX60" s="12"/>
      <c r="AKY60" s="12"/>
      <c r="AKZ60" s="12"/>
      <c r="ALA60" s="12"/>
      <c r="ALB60" s="12"/>
      <c r="ALC60" s="12"/>
      <c r="ALD60" s="12"/>
      <c r="ALE60" s="12"/>
      <c r="ALF60" s="12"/>
      <c r="ALG60" s="12"/>
      <c r="ALH60" s="12"/>
      <c r="ALI60" s="12"/>
      <c r="ALJ60" s="12"/>
      <c r="ALK60" s="12"/>
      <c r="ALL60" s="12"/>
      <c r="ALM60" s="12"/>
      <c r="ALN60" s="12"/>
      <c r="ALO60" s="12"/>
      <c r="ALP60" s="12"/>
      <c r="ALQ60" s="12"/>
      <c r="ALR60" s="12"/>
      <c r="ALS60" s="12"/>
      <c r="ALT60" s="12"/>
      <c r="ALU60" s="12"/>
      <c r="ALV60" s="12"/>
      <c r="ALW60" s="12"/>
      <c r="ALX60" s="12"/>
      <c r="ALY60" s="12"/>
      <c r="ALZ60" s="12"/>
      <c r="AMA60" s="12"/>
      <c r="AMB60" s="12"/>
      <c r="AMC60" s="12"/>
      <c r="AMD60" s="12"/>
      <c r="AME60" s="12"/>
      <c r="AMF60" s="12"/>
      <c r="AMG60" s="12"/>
      <c r="AMH60" s="12"/>
      <c r="AMI60" s="12"/>
      <c r="AMJ60" s="12"/>
      <c r="AMK60" s="12"/>
      <c r="AML60" s="12"/>
      <c r="AMM60" s="12"/>
      <c r="AMN60" s="12"/>
      <c r="AMO60" s="12"/>
      <c r="AMP60" s="12"/>
      <c r="AMQ60" s="12"/>
      <c r="AMR60" s="12"/>
      <c r="AMS60" s="12"/>
      <c r="AMT60" s="12"/>
      <c r="AMU60" s="12"/>
      <c r="AMV60" s="12"/>
      <c r="AMW60" s="12"/>
      <c r="AMX60" s="12"/>
      <c r="AMY60" s="12"/>
      <c r="AMZ60" s="12"/>
      <c r="ANA60" s="12"/>
      <c r="ANB60" s="12"/>
      <c r="ANC60" s="12"/>
      <c r="AND60" s="12"/>
      <c r="ANE60" s="12"/>
      <c r="ANF60" s="12"/>
      <c r="ANG60" s="12"/>
      <c r="ANH60" s="12"/>
      <c r="ANI60" s="12"/>
      <c r="ANJ60" s="12"/>
      <c r="ANK60" s="12"/>
      <c r="ANL60" s="12"/>
      <c r="ANM60" s="12"/>
      <c r="ANN60" s="12"/>
      <c r="ANO60" s="12"/>
      <c r="ANP60" s="12"/>
      <c r="ANQ60" s="12"/>
      <c r="ANR60" s="12"/>
      <c r="ANS60" s="12"/>
      <c r="ANT60" s="12"/>
      <c r="ANU60" s="12"/>
      <c r="ANV60" s="12"/>
      <c r="ANW60" s="12"/>
      <c r="ANX60" s="12"/>
      <c r="ANY60" s="12"/>
      <c r="ANZ60" s="12"/>
      <c r="AOA60" s="12"/>
      <c r="AOB60" s="12"/>
      <c r="AOC60" s="12"/>
      <c r="AOD60" s="12"/>
      <c r="AOE60" s="12"/>
      <c r="AOF60" s="12"/>
      <c r="AOG60" s="12"/>
      <c r="AOH60" s="12"/>
      <c r="AOI60" s="12"/>
      <c r="AOJ60" s="12"/>
      <c r="AOK60" s="12"/>
      <c r="AOL60" s="12"/>
      <c r="AOM60" s="12"/>
      <c r="AON60" s="12"/>
      <c r="AOO60" s="12"/>
      <c r="AOP60" s="12"/>
      <c r="AOQ60" s="12"/>
      <c r="AOR60" s="12"/>
      <c r="AOS60" s="12"/>
      <c r="AOT60" s="12"/>
      <c r="AOU60" s="12"/>
      <c r="AOV60" s="12"/>
      <c r="AOW60" s="12"/>
      <c r="AOX60" s="12"/>
      <c r="AOY60" s="12"/>
      <c r="AOZ60" s="12"/>
      <c r="APA60" s="12"/>
      <c r="APB60" s="12"/>
      <c r="APC60" s="12"/>
      <c r="APD60" s="12"/>
      <c r="APE60" s="12"/>
      <c r="APF60" s="12"/>
      <c r="APG60" s="12"/>
      <c r="APH60" s="12"/>
      <c r="API60" s="12"/>
      <c r="APJ60" s="12"/>
      <c r="APK60" s="12"/>
      <c r="APL60" s="12"/>
      <c r="APM60" s="12"/>
      <c r="APN60" s="12"/>
      <c r="APO60" s="12"/>
      <c r="APP60" s="12"/>
      <c r="APQ60" s="12"/>
      <c r="APR60" s="12"/>
      <c r="APS60" s="12"/>
      <c r="APT60" s="12"/>
      <c r="APU60" s="12"/>
      <c r="APV60" s="12"/>
      <c r="APW60" s="12"/>
      <c r="APX60" s="12"/>
      <c r="APY60" s="12"/>
      <c r="APZ60" s="12"/>
      <c r="AQA60" s="12"/>
      <c r="AQB60" s="12"/>
      <c r="AQC60" s="12"/>
      <c r="AQD60" s="12"/>
      <c r="AQE60" s="12"/>
      <c r="AQF60" s="12"/>
      <c r="AQG60" s="12"/>
      <c r="AQH60" s="12"/>
      <c r="AQI60" s="12"/>
      <c r="AQJ60" s="12"/>
      <c r="AQK60" s="12"/>
      <c r="AQL60" s="12"/>
      <c r="AQM60" s="12"/>
      <c r="AQN60" s="12"/>
      <c r="AQO60" s="12"/>
      <c r="AQP60" s="12"/>
      <c r="AQQ60" s="12"/>
      <c r="AQR60" s="12"/>
      <c r="AQS60" s="12"/>
      <c r="AQT60" s="12"/>
      <c r="AQU60" s="12"/>
      <c r="AQV60" s="12"/>
      <c r="AQW60" s="12"/>
      <c r="AQX60" s="12"/>
      <c r="AQY60" s="12"/>
      <c r="AQZ60" s="12"/>
      <c r="ARA60" s="12"/>
      <c r="ARB60" s="12"/>
      <c r="ARC60" s="12"/>
      <c r="ARD60" s="12"/>
      <c r="ARE60" s="12"/>
      <c r="ARF60" s="12"/>
      <c r="ARG60" s="12"/>
      <c r="ARH60" s="12"/>
      <c r="ARI60" s="12"/>
      <c r="ARJ60" s="12"/>
      <c r="ARK60" s="12"/>
      <c r="ARL60" s="12"/>
      <c r="ARM60" s="12"/>
      <c r="ARN60" s="12"/>
      <c r="ARO60" s="12"/>
      <c r="ARP60" s="12"/>
      <c r="ARQ60" s="12"/>
      <c r="ARR60" s="12"/>
      <c r="ARS60" s="12"/>
      <c r="ART60" s="12"/>
      <c r="ARU60" s="12"/>
      <c r="ARV60" s="12"/>
      <c r="ARW60" s="12"/>
      <c r="ARX60" s="12"/>
      <c r="ARY60" s="12"/>
      <c r="ARZ60" s="12"/>
      <c r="ASA60" s="12"/>
      <c r="ASB60" s="12"/>
      <c r="ASC60" s="12"/>
      <c r="ASD60" s="12"/>
      <c r="ASE60" s="12"/>
      <c r="ASF60" s="12"/>
      <c r="ASG60" s="12"/>
      <c r="ASH60" s="12"/>
      <c r="ASI60" s="12"/>
      <c r="ASJ60" s="12"/>
      <c r="ASK60" s="12"/>
      <c r="ASL60" s="12"/>
      <c r="ASM60" s="12"/>
      <c r="ASN60" s="12"/>
      <c r="ASO60" s="12"/>
      <c r="ASP60" s="12"/>
      <c r="ASQ60" s="12"/>
      <c r="ASR60" s="12"/>
      <c r="ASS60" s="12"/>
      <c r="AST60" s="12"/>
      <c r="ASU60" s="12"/>
      <c r="ASV60" s="12"/>
      <c r="ASW60" s="12"/>
      <c r="ASX60" s="12"/>
      <c r="ASY60" s="12"/>
      <c r="ASZ60" s="12"/>
      <c r="ATA60" s="12"/>
      <c r="ATB60" s="12"/>
      <c r="ATC60" s="12"/>
      <c r="ATD60" s="12"/>
      <c r="ATE60" s="12"/>
      <c r="ATF60" s="12"/>
      <c r="ATG60" s="12"/>
      <c r="ATH60" s="12"/>
      <c r="ATI60" s="12"/>
      <c r="ATJ60" s="12"/>
      <c r="ATK60" s="12"/>
      <c r="ATL60" s="12"/>
      <c r="ATM60" s="12"/>
      <c r="ATN60" s="12"/>
      <c r="ATO60" s="12"/>
      <c r="ATP60" s="12"/>
      <c r="ATQ60" s="12"/>
      <c r="ATR60" s="12"/>
      <c r="ATS60" s="12"/>
      <c r="ATT60" s="12"/>
      <c r="ATU60" s="12"/>
      <c r="ATV60" s="12"/>
      <c r="ATW60" s="12"/>
      <c r="ATX60" s="12"/>
      <c r="ATY60" s="12"/>
      <c r="ATZ60" s="12"/>
      <c r="AUA60" s="12"/>
      <c r="AUB60" s="12"/>
      <c r="AUC60" s="12"/>
      <c r="AUD60" s="12"/>
      <c r="AUE60" s="12"/>
      <c r="AUF60" s="12"/>
      <c r="AUG60" s="12"/>
      <c r="AUH60" s="12"/>
      <c r="AUI60" s="12"/>
      <c r="AUJ60" s="12"/>
      <c r="AUK60" s="12"/>
      <c r="AUL60" s="12"/>
      <c r="AUM60" s="12"/>
      <c r="AUN60" s="12"/>
      <c r="AUO60" s="12"/>
      <c r="AUP60" s="12"/>
      <c r="AUQ60" s="12"/>
      <c r="AUR60" s="12"/>
      <c r="AUS60" s="12"/>
      <c r="AUT60" s="12"/>
      <c r="AUU60" s="12"/>
      <c r="AUV60" s="12"/>
      <c r="AUW60" s="12"/>
      <c r="AUX60" s="12"/>
      <c r="AUY60" s="12"/>
      <c r="AUZ60" s="12"/>
      <c r="AVA60" s="12"/>
      <c r="AVB60" s="12"/>
      <c r="AVC60" s="12"/>
      <c r="AVD60" s="12"/>
      <c r="AVE60" s="12"/>
      <c r="AVF60" s="12"/>
      <c r="AVG60" s="12"/>
      <c r="AVH60" s="12"/>
      <c r="AVI60" s="12"/>
      <c r="AVJ60" s="12"/>
      <c r="AVK60" s="12"/>
      <c r="AVL60" s="12"/>
      <c r="AVM60" s="12"/>
      <c r="AVN60" s="12"/>
      <c r="AVO60" s="12"/>
      <c r="AVP60" s="12"/>
      <c r="AVQ60" s="12"/>
      <c r="AVR60" s="12"/>
      <c r="AVS60" s="12"/>
      <c r="AVT60" s="12"/>
      <c r="AVU60" s="12"/>
      <c r="AVV60" s="12"/>
      <c r="AVW60" s="12"/>
      <c r="AVX60" s="12"/>
      <c r="AVY60" s="12"/>
      <c r="AVZ60" s="12"/>
      <c r="AWA60" s="12"/>
      <c r="AWB60" s="12"/>
      <c r="AWC60" s="12"/>
      <c r="AWD60" s="12"/>
      <c r="AWE60" s="12"/>
      <c r="AWF60" s="12"/>
      <c r="AWG60" s="12"/>
      <c r="AWH60" s="12"/>
      <c r="AWI60" s="12"/>
      <c r="AWJ60" s="12"/>
      <c r="AWK60" s="12"/>
      <c r="AWL60" s="12"/>
      <c r="AWM60" s="12"/>
      <c r="AWN60" s="12"/>
      <c r="AWO60" s="12"/>
      <c r="AWP60" s="12"/>
      <c r="AWQ60" s="12"/>
      <c r="AWR60" s="12"/>
      <c r="AWS60" s="12"/>
      <c r="AWT60" s="12"/>
      <c r="AWU60" s="12"/>
      <c r="AWV60" s="12"/>
      <c r="AWW60" s="12"/>
      <c r="AWX60" s="12"/>
      <c r="AWY60" s="12"/>
      <c r="AWZ60" s="12"/>
      <c r="AXA60" s="12"/>
      <c r="AXB60" s="12"/>
      <c r="AXC60" s="12"/>
      <c r="AXD60" s="12"/>
      <c r="AXE60" s="12"/>
      <c r="AXF60" s="12"/>
      <c r="AXG60" s="12"/>
      <c r="AXH60" s="12"/>
      <c r="AXI60" s="12"/>
      <c r="AXJ60" s="12"/>
      <c r="AXK60" s="12"/>
      <c r="AXL60" s="12"/>
      <c r="AXM60" s="12"/>
      <c r="AXN60" s="12"/>
      <c r="AXO60" s="12"/>
      <c r="AXP60" s="12"/>
      <c r="AXQ60" s="12"/>
      <c r="AXR60" s="12"/>
      <c r="AXS60" s="12"/>
      <c r="AXT60" s="12"/>
      <c r="AXU60" s="12"/>
      <c r="AXV60" s="12"/>
      <c r="AXW60" s="12"/>
      <c r="AXX60" s="12"/>
      <c r="AXY60" s="12"/>
      <c r="AXZ60" s="12"/>
      <c r="AYA60" s="12"/>
      <c r="AYB60" s="12"/>
      <c r="AYC60" s="12"/>
      <c r="AYD60" s="12"/>
      <c r="AYE60" s="12"/>
      <c r="AYF60" s="12"/>
      <c r="AYG60" s="12"/>
      <c r="AYH60" s="12"/>
      <c r="AYI60" s="12"/>
      <c r="AYJ60" s="12"/>
      <c r="AYK60" s="12"/>
      <c r="AYL60" s="12"/>
      <c r="AYM60" s="12"/>
      <c r="AYN60" s="12"/>
      <c r="AYO60" s="12"/>
      <c r="AYP60" s="12"/>
      <c r="AYQ60" s="12"/>
      <c r="AYR60" s="12"/>
      <c r="AYS60" s="12"/>
      <c r="AYT60" s="12"/>
      <c r="AYU60" s="12"/>
      <c r="AYV60" s="12"/>
      <c r="AYW60" s="12"/>
      <c r="AYX60" s="12"/>
      <c r="AYY60" s="12"/>
      <c r="AYZ60" s="12"/>
      <c r="AZA60" s="12"/>
      <c r="AZB60" s="12"/>
      <c r="AZC60" s="12"/>
      <c r="AZD60" s="12"/>
      <c r="AZE60" s="12"/>
      <c r="AZF60" s="12"/>
      <c r="AZG60" s="12"/>
      <c r="AZH60" s="12"/>
      <c r="AZI60" s="12"/>
      <c r="AZJ60" s="12"/>
      <c r="AZK60" s="12"/>
      <c r="AZL60" s="12"/>
      <c r="AZM60" s="12"/>
      <c r="AZN60" s="12"/>
      <c r="AZO60" s="12"/>
      <c r="AZP60" s="12"/>
      <c r="AZQ60" s="12"/>
      <c r="AZR60" s="12"/>
      <c r="AZS60" s="12"/>
      <c r="AZT60" s="12"/>
      <c r="AZU60" s="12"/>
      <c r="AZV60" s="12"/>
      <c r="AZW60" s="12"/>
      <c r="AZX60" s="12"/>
      <c r="AZY60" s="12"/>
      <c r="AZZ60" s="12"/>
      <c r="BAA60" s="12"/>
      <c r="BAB60" s="12"/>
      <c r="BAC60" s="12"/>
      <c r="BAD60" s="12"/>
      <c r="BAE60" s="12"/>
      <c r="BAF60" s="12"/>
      <c r="BAG60" s="12"/>
      <c r="BAH60" s="12"/>
      <c r="BAI60" s="12"/>
      <c r="BAJ60" s="12"/>
      <c r="BAK60" s="12"/>
      <c r="BAL60" s="12"/>
      <c r="BAM60" s="12"/>
      <c r="BAN60" s="12"/>
      <c r="BAO60" s="12"/>
      <c r="BAP60" s="12"/>
      <c r="BAQ60" s="12"/>
      <c r="BAR60" s="12"/>
      <c r="BAS60" s="12"/>
      <c r="BAT60" s="12"/>
      <c r="BAU60" s="12"/>
      <c r="BAV60" s="12"/>
      <c r="BAW60" s="12"/>
      <c r="BAX60" s="12"/>
      <c r="BAY60" s="12"/>
      <c r="BAZ60" s="12"/>
      <c r="BBA60" s="12"/>
      <c r="BBB60" s="12"/>
      <c r="BBC60" s="12"/>
      <c r="BBD60" s="12"/>
      <c r="BBE60" s="12"/>
      <c r="BBF60" s="12"/>
      <c r="BBG60" s="12"/>
      <c r="BBH60" s="12"/>
      <c r="BBI60" s="12"/>
      <c r="BBJ60" s="12"/>
      <c r="BBK60" s="12"/>
      <c r="BBL60" s="12"/>
      <c r="BBM60" s="12"/>
      <c r="BBN60" s="12"/>
      <c r="BBO60" s="12"/>
      <c r="BBP60" s="12"/>
      <c r="BBQ60" s="12"/>
      <c r="BBR60" s="12"/>
      <c r="BBS60" s="12"/>
      <c r="BBT60" s="12"/>
      <c r="BBU60" s="12"/>
      <c r="BBV60" s="12"/>
      <c r="BBW60" s="12"/>
      <c r="BBX60" s="12"/>
      <c r="BBY60" s="12"/>
      <c r="BBZ60" s="12"/>
      <c r="BCA60" s="12"/>
      <c r="BCB60" s="12"/>
      <c r="BCC60" s="12"/>
      <c r="BCD60" s="12"/>
      <c r="BCE60" s="12"/>
      <c r="BCF60" s="12"/>
      <c r="BCG60" s="12"/>
      <c r="BCH60" s="12"/>
      <c r="BCI60" s="12"/>
      <c r="BCJ60" s="12"/>
      <c r="BCK60" s="12"/>
      <c r="BCL60" s="12"/>
      <c r="BCM60" s="12"/>
      <c r="BCN60" s="12"/>
      <c r="BCO60" s="12"/>
      <c r="BCP60" s="12"/>
      <c r="BCQ60" s="12"/>
      <c r="BCR60" s="12"/>
      <c r="BCS60" s="12"/>
      <c r="BCT60" s="12"/>
      <c r="BCU60" s="12"/>
      <c r="BCV60" s="12"/>
      <c r="BCW60" s="12"/>
      <c r="BCX60" s="12"/>
      <c r="BCY60" s="12"/>
      <c r="BCZ60" s="12"/>
      <c r="BDA60" s="12"/>
      <c r="BDB60" s="12"/>
      <c r="BDC60" s="12"/>
      <c r="BDD60" s="12"/>
      <c r="BDE60" s="12"/>
      <c r="BDF60" s="12"/>
      <c r="BDG60" s="12"/>
      <c r="BDH60" s="12"/>
      <c r="BDI60" s="12"/>
      <c r="BDJ60" s="12"/>
      <c r="BDK60" s="12"/>
      <c r="BDL60" s="12"/>
      <c r="BDM60" s="12"/>
      <c r="BDN60" s="12"/>
      <c r="BDO60" s="12"/>
      <c r="BDP60" s="12"/>
      <c r="BDQ60" s="12"/>
      <c r="BDR60" s="12"/>
      <c r="BDS60" s="12"/>
      <c r="BDT60" s="12"/>
      <c r="BDU60" s="12"/>
      <c r="BDV60" s="12"/>
      <c r="BDW60" s="12"/>
      <c r="BDX60" s="12"/>
      <c r="BDY60" s="12"/>
      <c r="BDZ60" s="12"/>
      <c r="BEA60" s="12"/>
      <c r="BEB60" s="12"/>
      <c r="BEC60" s="12"/>
      <c r="BED60" s="12"/>
      <c r="BEE60" s="12"/>
      <c r="BEF60" s="12"/>
      <c r="BEG60" s="12"/>
      <c r="BEH60" s="12"/>
      <c r="BEI60" s="12"/>
      <c r="BEJ60" s="12"/>
      <c r="BEK60" s="12"/>
      <c r="BEL60" s="12"/>
      <c r="BEM60" s="12"/>
      <c r="BEN60" s="12"/>
      <c r="BEO60" s="12"/>
      <c r="BEP60" s="12"/>
      <c r="BEQ60" s="12"/>
      <c r="BER60" s="12"/>
      <c r="BES60" s="12"/>
      <c r="BET60" s="12"/>
      <c r="BEU60" s="12"/>
      <c r="BEV60" s="12"/>
      <c r="BEW60" s="12"/>
      <c r="BEX60" s="12"/>
      <c r="BEY60" s="12"/>
      <c r="BEZ60" s="12"/>
      <c r="BFA60" s="12"/>
      <c r="BFB60" s="12"/>
      <c r="BFC60" s="12"/>
      <c r="BFD60" s="12"/>
      <c r="BFE60" s="12"/>
      <c r="BFF60" s="12"/>
      <c r="BFG60" s="12"/>
      <c r="BFH60" s="12"/>
      <c r="BFI60" s="12"/>
      <c r="BFJ60" s="12"/>
      <c r="BFK60" s="12"/>
      <c r="BFL60" s="12"/>
      <c r="BFM60" s="12"/>
      <c r="BFN60" s="12"/>
      <c r="BFO60" s="12"/>
      <c r="BFP60" s="12"/>
      <c r="BFQ60" s="12"/>
      <c r="BFR60" s="12"/>
      <c r="BFS60" s="12"/>
      <c r="BFT60" s="12"/>
      <c r="BFU60" s="12"/>
      <c r="BFV60" s="12"/>
      <c r="BFW60" s="12"/>
      <c r="BFX60" s="12"/>
      <c r="BFY60" s="12"/>
      <c r="BFZ60" s="12"/>
      <c r="BGA60" s="12"/>
      <c r="BGB60" s="12"/>
      <c r="BGC60" s="12"/>
      <c r="BGD60" s="12"/>
      <c r="BGE60" s="12"/>
      <c r="BGF60" s="12"/>
      <c r="BGG60" s="12"/>
      <c r="BGH60" s="12"/>
      <c r="BGI60" s="12"/>
      <c r="BGJ60" s="12"/>
      <c r="BGK60" s="12"/>
      <c r="BGL60" s="12"/>
      <c r="BGM60" s="12"/>
      <c r="BGN60" s="12"/>
      <c r="BGO60" s="12"/>
      <c r="BGP60" s="12"/>
      <c r="BGQ60" s="12"/>
      <c r="BGR60" s="12"/>
      <c r="BGS60" s="12"/>
      <c r="BGT60" s="12"/>
      <c r="BGU60" s="12"/>
      <c r="BGV60" s="12"/>
      <c r="BGW60" s="12"/>
      <c r="BGX60" s="12"/>
      <c r="BGY60" s="12"/>
      <c r="BGZ60" s="12"/>
      <c r="BHA60" s="12"/>
      <c r="BHB60" s="12"/>
      <c r="BHC60" s="12"/>
      <c r="BHD60" s="12"/>
      <c r="BHE60" s="12"/>
      <c r="BHF60" s="12"/>
      <c r="BHG60" s="12"/>
      <c r="BHH60" s="12"/>
    </row>
    <row r="61" spans="1:1568" ht="12.75" customHeight="1" x14ac:dyDescent="0.2">
      <c r="A61" s="1556">
        <v>1385</v>
      </c>
      <c r="B61" s="768" t="s">
        <v>2134</v>
      </c>
      <c r="C61" s="870">
        <v>3000000</v>
      </c>
      <c r="D61" s="870">
        <f>3000000+3000000</f>
        <v>6000000</v>
      </c>
      <c r="E61" s="1218">
        <v>6100643.8700000001</v>
      </c>
      <c r="F61" s="1163"/>
      <c r="G61" s="825">
        <f t="shared" si="30"/>
        <v>203.35479566666669</v>
      </c>
      <c r="H61" s="1244">
        <f t="shared" si="31"/>
        <v>101.67739783333334</v>
      </c>
      <c r="I61" s="1245">
        <f t="shared" ref="I61" si="32">E61/J61*100</f>
        <v>61.129044735994633</v>
      </c>
      <c r="J61" s="1520">
        <v>9979943.0800000001</v>
      </c>
    </row>
    <row r="62" spans="1:1568" ht="12.75" customHeight="1" x14ac:dyDescent="0.2">
      <c r="A62" s="1556">
        <v>1386</v>
      </c>
      <c r="B62" s="768" t="s">
        <v>2136</v>
      </c>
      <c r="C62" s="870">
        <v>0</v>
      </c>
      <c r="D62" s="870">
        <v>0</v>
      </c>
      <c r="E62" s="1218">
        <v>878237.03</v>
      </c>
      <c r="F62" s="1163"/>
      <c r="G62" s="825">
        <v>0</v>
      </c>
      <c r="H62" s="1244">
        <v>0</v>
      </c>
      <c r="I62" s="1245">
        <v>0</v>
      </c>
      <c r="J62" s="1520">
        <v>0</v>
      </c>
    </row>
    <row r="63" spans="1:1568" ht="12.75" customHeight="1" x14ac:dyDescent="0.2">
      <c r="A63" s="1556">
        <v>1387</v>
      </c>
      <c r="B63" s="768" t="s">
        <v>2137</v>
      </c>
      <c r="C63" s="870">
        <v>0</v>
      </c>
      <c r="D63" s="870">
        <v>0</v>
      </c>
      <c r="E63" s="1218">
        <v>1423461.13</v>
      </c>
      <c r="F63" s="1163"/>
      <c r="G63" s="825">
        <v>0</v>
      </c>
      <c r="H63" s="1244">
        <v>0</v>
      </c>
      <c r="I63" s="1245">
        <v>0</v>
      </c>
      <c r="J63" s="1520">
        <v>0</v>
      </c>
    </row>
    <row r="64" spans="1:1568" s="116" customFormat="1" ht="12.75" customHeight="1" x14ac:dyDescent="0.2">
      <c r="A64" s="739">
        <v>1511</v>
      </c>
      <c r="B64" s="760" t="s">
        <v>1234</v>
      </c>
      <c r="C64" s="701">
        <v>23960000</v>
      </c>
      <c r="D64" s="701">
        <v>23960000</v>
      </c>
      <c r="E64" s="1218">
        <v>15115532.060000001</v>
      </c>
      <c r="F64" s="707"/>
      <c r="G64" s="825">
        <f t="shared" si="30"/>
        <v>63.086527796327218</v>
      </c>
      <c r="H64" s="1244">
        <f t="shared" si="31"/>
        <v>63.086527796327218</v>
      </c>
      <c r="I64" s="1245">
        <f t="shared" ref="I64" si="33">E64/J64*100</f>
        <v>177.70562810947084</v>
      </c>
      <c r="J64" s="1520">
        <v>8505938.8499999996</v>
      </c>
    </row>
    <row r="65" spans="1:57" s="116" customFormat="1" ht="12.75" customHeight="1" thickBot="1" x14ac:dyDescent="0.25">
      <c r="A65" s="830"/>
      <c r="B65" s="786"/>
      <c r="C65" s="718"/>
      <c r="D65" s="718"/>
      <c r="E65" s="718"/>
      <c r="F65" s="711"/>
      <c r="G65" s="718"/>
      <c r="H65" s="718"/>
      <c r="I65" s="1250"/>
      <c r="J65" s="1520"/>
    </row>
    <row r="66" spans="1:57" s="116" customFormat="1" ht="18.75" customHeight="1" thickBot="1" x14ac:dyDescent="0.3">
      <c r="A66" s="831"/>
      <c r="B66" s="787" t="s">
        <v>10</v>
      </c>
      <c r="C66" s="436">
        <f>SUM(C67,C79:C82,C95:C96,C111:C111,C126:C128,C144:C145)</f>
        <v>163957324.72000003</v>
      </c>
      <c r="D66" s="436">
        <f>SUM(D67,D79:D82,D95:D96,D111:D111,D126:D128,D144:D145)</f>
        <v>189794148.43000001</v>
      </c>
      <c r="E66" s="1621">
        <v>203617804.81</v>
      </c>
      <c r="F66" s="1622">
        <f>SUM(E67,E79:E82,E95:E96,E111,E125:E128,E144:E145)</f>
        <v>203617804.81</v>
      </c>
      <c r="G66" s="1609">
        <f>E66/C66*100</f>
        <v>124.18951404442015</v>
      </c>
      <c r="H66" s="1609">
        <f>E66/D66*100</f>
        <v>107.2834997782339</v>
      </c>
      <c r="I66" s="1620">
        <f>E66/J66*100</f>
        <v>239.96718764646877</v>
      </c>
      <c r="J66" s="1179">
        <v>84852352.859999999</v>
      </c>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row>
    <row r="67" spans="1:57" s="116" customFormat="1" ht="12.75" customHeight="1" x14ac:dyDescent="0.2">
      <c r="A67" s="773">
        <v>2111</v>
      </c>
      <c r="B67" s="785" t="s">
        <v>1235</v>
      </c>
      <c r="C67" s="706">
        <f>SUM(C68:C78)</f>
        <v>16515400</v>
      </c>
      <c r="D67" s="706">
        <f>SUM(D68:D78)</f>
        <v>16515400</v>
      </c>
      <c r="E67" s="947">
        <v>11160239.65</v>
      </c>
      <c r="F67" s="1254">
        <f>SUM(E68:E78)</f>
        <v>11160239.649999999</v>
      </c>
      <c r="G67" s="825">
        <f>E67/C67*100</f>
        <v>67.574746297395166</v>
      </c>
      <c r="H67" s="1244">
        <f>E67/D67*100</f>
        <v>67.574746297395166</v>
      </c>
      <c r="I67" s="1245">
        <f t="shared" ref="I67:I134" si="34">E67/J67*100</f>
        <v>116.21182391055376</v>
      </c>
      <c r="J67" s="1179">
        <v>9603359.8599999994</v>
      </c>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row>
    <row r="68" spans="1:57" s="116" customFormat="1" ht="12.75" customHeight="1" x14ac:dyDescent="0.2">
      <c r="A68" s="1189"/>
      <c r="B68" s="1213" t="s">
        <v>1936</v>
      </c>
      <c r="C68" s="1163">
        <v>0</v>
      </c>
      <c r="D68" s="1163">
        <v>0</v>
      </c>
      <c r="E68" s="1163">
        <v>270</v>
      </c>
      <c r="F68" s="1163"/>
      <c r="G68" s="1243">
        <v>0</v>
      </c>
      <c r="H68" s="1248">
        <v>0</v>
      </c>
      <c r="I68" s="1249">
        <f t="shared" si="34"/>
        <v>100</v>
      </c>
      <c r="J68" s="1179">
        <v>270</v>
      </c>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row>
    <row r="69" spans="1:57" ht="12.75" customHeight="1" x14ac:dyDescent="0.2">
      <c r="A69" s="713"/>
      <c r="B69" s="761" t="s">
        <v>1236</v>
      </c>
      <c r="C69" s="871">
        <v>800000</v>
      </c>
      <c r="D69" s="871">
        <v>800000</v>
      </c>
      <c r="E69" s="1163">
        <v>128091.97</v>
      </c>
      <c r="F69" s="1163"/>
      <c r="G69" s="1243">
        <f>E69/C69*100</f>
        <v>16.01149625</v>
      </c>
      <c r="H69" s="1248">
        <f t="shared" ref="H69:H79" si="35">E69/D69*100</f>
        <v>16.01149625</v>
      </c>
      <c r="I69" s="1249">
        <f t="shared" si="34"/>
        <v>78.776763100348404</v>
      </c>
      <c r="J69" s="1179">
        <v>162601.21</v>
      </c>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row>
    <row r="70" spans="1:57" s="12" customFormat="1" ht="12.75" customHeight="1" x14ac:dyDescent="0.2">
      <c r="A70" s="728"/>
      <c r="B70" s="761" t="s">
        <v>1237</v>
      </c>
      <c r="C70" s="871">
        <v>950000</v>
      </c>
      <c r="D70" s="871">
        <v>950000</v>
      </c>
      <c r="E70" s="1163">
        <v>715486</v>
      </c>
      <c r="F70" s="1163"/>
      <c r="G70" s="1243">
        <f t="shared" ref="G70:G83" si="36">E70/C70*100</f>
        <v>75.314315789473682</v>
      </c>
      <c r="H70" s="1248">
        <f t="shared" si="35"/>
        <v>75.314315789473682</v>
      </c>
      <c r="I70" s="1249">
        <f t="shared" si="34"/>
        <v>130.72845531432168</v>
      </c>
      <c r="J70" s="1179">
        <v>547307.01</v>
      </c>
    </row>
    <row r="71" spans="1:57" s="12" customFormat="1" ht="12.75" customHeight="1" x14ac:dyDescent="0.2">
      <c r="A71" s="728"/>
      <c r="B71" s="761" t="s">
        <v>1937</v>
      </c>
      <c r="C71" s="1163">
        <v>0</v>
      </c>
      <c r="D71" s="1163">
        <v>0</v>
      </c>
      <c r="E71" s="1163">
        <v>23500</v>
      </c>
      <c r="F71" s="1163"/>
      <c r="G71" s="1243">
        <v>0</v>
      </c>
      <c r="H71" s="1248">
        <v>0</v>
      </c>
      <c r="I71" s="1249">
        <f t="shared" si="34"/>
        <v>117.5</v>
      </c>
      <c r="J71" s="1179">
        <v>20000</v>
      </c>
    </row>
    <row r="72" spans="1:57" s="737" customFormat="1" ht="12.75" customHeight="1" x14ac:dyDescent="0.2">
      <c r="A72" s="728"/>
      <c r="B72" s="967" t="s">
        <v>1240</v>
      </c>
      <c r="C72" s="874">
        <v>6700000</v>
      </c>
      <c r="D72" s="874">
        <v>6700000</v>
      </c>
      <c r="E72" s="1163">
        <v>5093951.43</v>
      </c>
      <c r="F72" s="1163"/>
      <c r="G72" s="1243">
        <f t="shared" si="36"/>
        <v>76.029125820895516</v>
      </c>
      <c r="H72" s="1248">
        <f t="shared" si="35"/>
        <v>76.029125820895516</v>
      </c>
      <c r="I72" s="1249">
        <f t="shared" si="34"/>
        <v>108.20760858751926</v>
      </c>
      <c r="J72" s="1179">
        <v>4707572.32</v>
      </c>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row>
    <row r="73" spans="1:57" s="737" customFormat="1" ht="12.75" customHeight="1" x14ac:dyDescent="0.2">
      <c r="A73" s="728"/>
      <c r="B73" s="967" t="s">
        <v>1241</v>
      </c>
      <c r="C73" s="874">
        <v>2049000</v>
      </c>
      <c r="D73" s="874">
        <v>2049000</v>
      </c>
      <c r="E73" s="1163">
        <v>1212876.42</v>
      </c>
      <c r="F73" s="1163"/>
      <c r="G73" s="1243">
        <f t="shared" si="36"/>
        <v>59.193578330893118</v>
      </c>
      <c r="H73" s="1248">
        <f t="shared" si="35"/>
        <v>59.193578330893118</v>
      </c>
      <c r="I73" s="1249">
        <f t="shared" si="34"/>
        <v>113.92005389972577</v>
      </c>
      <c r="J73" s="1179">
        <v>1064673.32</v>
      </c>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row>
    <row r="74" spans="1:57" s="737" customFormat="1" ht="12.75" customHeight="1" x14ac:dyDescent="0.2">
      <c r="A74" s="728"/>
      <c r="B74" s="967" t="s">
        <v>1939</v>
      </c>
      <c r="C74" s="874">
        <v>2955900</v>
      </c>
      <c r="D74" s="874">
        <v>2955900</v>
      </c>
      <c r="E74" s="1163">
        <v>1691328.83</v>
      </c>
      <c r="F74" s="1163"/>
      <c r="G74" s="1243">
        <f t="shared" si="36"/>
        <v>57.218743191582945</v>
      </c>
      <c r="H74" s="1248">
        <f t="shared" si="35"/>
        <v>57.218743191582945</v>
      </c>
      <c r="I74" s="1249">
        <f t="shared" ref="I74" si="37">E74/J74*100</f>
        <v>132.44631368090012</v>
      </c>
      <c r="J74" s="1179">
        <v>1276992</v>
      </c>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row>
    <row r="75" spans="1:57" s="737" customFormat="1" ht="12.75" customHeight="1" x14ac:dyDescent="0.2">
      <c r="A75" s="728"/>
      <c r="B75" s="967" t="s">
        <v>1018</v>
      </c>
      <c r="C75" s="874">
        <v>0</v>
      </c>
      <c r="D75" s="874">
        <v>0</v>
      </c>
      <c r="E75" s="1163">
        <v>37691</v>
      </c>
      <c r="F75" s="1163"/>
      <c r="G75" s="1243">
        <v>0</v>
      </c>
      <c r="H75" s="1248">
        <v>0</v>
      </c>
      <c r="I75" s="1249">
        <v>0</v>
      </c>
      <c r="J75" s="1179">
        <v>0</v>
      </c>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row>
    <row r="76" spans="1:57" ht="12.75" customHeight="1" x14ac:dyDescent="0.2">
      <c r="A76" s="728"/>
      <c r="B76" s="967" t="s">
        <v>1323</v>
      </c>
      <c r="C76" s="874">
        <v>3000000</v>
      </c>
      <c r="D76" s="874">
        <v>3000000</v>
      </c>
      <c r="E76" s="1163">
        <v>2225789</v>
      </c>
      <c r="F76" s="1163"/>
      <c r="G76" s="1243">
        <f t="shared" si="36"/>
        <v>74.192966666666678</v>
      </c>
      <c r="H76" s="1248">
        <f t="shared" si="35"/>
        <v>74.192966666666678</v>
      </c>
      <c r="I76" s="1249">
        <f t="shared" si="34"/>
        <v>128.19017023379357</v>
      </c>
      <c r="J76" s="1179">
        <v>1736318</v>
      </c>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row>
    <row r="77" spans="1:57" ht="12.75" customHeight="1" x14ac:dyDescent="0.2">
      <c r="A77" s="728"/>
      <c r="B77" s="967" t="s">
        <v>1238</v>
      </c>
      <c r="C77" s="874">
        <v>60000</v>
      </c>
      <c r="D77" s="874">
        <v>60000</v>
      </c>
      <c r="E77" s="1163">
        <v>30800</v>
      </c>
      <c r="F77" s="1163"/>
      <c r="G77" s="1243">
        <f t="shared" si="36"/>
        <v>51.333333333333329</v>
      </c>
      <c r="H77" s="1248">
        <f t="shared" si="35"/>
        <v>51.333333333333329</v>
      </c>
      <c r="I77" s="1249">
        <v>0</v>
      </c>
      <c r="J77" s="1179">
        <v>0</v>
      </c>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row>
    <row r="78" spans="1:57" ht="12.75" customHeight="1" x14ac:dyDescent="0.2">
      <c r="A78" s="728"/>
      <c r="B78" s="967" t="s">
        <v>1239</v>
      </c>
      <c r="C78" s="874">
        <v>500</v>
      </c>
      <c r="D78" s="874">
        <v>500</v>
      </c>
      <c r="E78" s="1163">
        <v>455</v>
      </c>
      <c r="F78" s="1163"/>
      <c r="G78" s="1243">
        <f t="shared" si="36"/>
        <v>91</v>
      </c>
      <c r="H78" s="1248">
        <f t="shared" si="35"/>
        <v>91</v>
      </c>
      <c r="I78" s="1249">
        <f t="shared" si="34"/>
        <v>210.64814814814815</v>
      </c>
      <c r="J78" s="1179">
        <v>216</v>
      </c>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row>
    <row r="79" spans="1:57" s="738" customFormat="1" ht="12.75" customHeight="1" x14ac:dyDescent="0.2">
      <c r="A79" s="713">
        <v>2119</v>
      </c>
      <c r="B79" s="968" t="s">
        <v>1480</v>
      </c>
      <c r="C79" s="940">
        <v>3000000</v>
      </c>
      <c r="D79" s="940">
        <v>3000000</v>
      </c>
      <c r="E79" s="1218">
        <v>168613.5</v>
      </c>
      <c r="F79" s="1163"/>
      <c r="G79" s="825">
        <f t="shared" si="36"/>
        <v>5.6204499999999999</v>
      </c>
      <c r="H79" s="1244">
        <f t="shared" si="35"/>
        <v>5.6204499999999999</v>
      </c>
      <c r="I79" s="1255">
        <f t="shared" si="34"/>
        <v>8.2640266061922976</v>
      </c>
      <c r="J79" s="1179">
        <v>2040331.04</v>
      </c>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row>
    <row r="80" spans="1:57" s="116" customFormat="1" ht="12.75" customHeight="1" x14ac:dyDescent="0.2">
      <c r="A80" s="713">
        <v>2122</v>
      </c>
      <c r="B80" s="905" t="s">
        <v>1698</v>
      </c>
      <c r="C80" s="906">
        <f>SUM(355760+288696.24+157064+934180+398227+74093+156477+126060+522020+175356+962729.12)</f>
        <v>4150662.3600000003</v>
      </c>
      <c r="D80" s="906">
        <f>SUM(355760+288696.24+157064+934180+398227+74093+156477+126060+522020+175356+962729.12)+192228+(1009024.72+835189.98)-1196</f>
        <v>6185909.0600000005</v>
      </c>
      <c r="E80" s="820">
        <v>2806943.82</v>
      </c>
      <c r="F80" s="1256"/>
      <c r="G80" s="825">
        <f t="shared" si="36"/>
        <v>67.626406981463063</v>
      </c>
      <c r="H80" s="1244">
        <f t="shared" ref="H80:H83" si="38">E80/D80*100</f>
        <v>45.376415863443029</v>
      </c>
      <c r="I80" s="1255">
        <f t="shared" si="34"/>
        <v>443.47629365587744</v>
      </c>
      <c r="J80" s="1179">
        <v>632941.12</v>
      </c>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c r="AZ80" s="107"/>
      <c r="BA80" s="107"/>
      <c r="BB80" s="107"/>
      <c r="BC80" s="107"/>
      <c r="BD80" s="107"/>
      <c r="BE80" s="107"/>
    </row>
    <row r="81" spans="1:57" s="116" customFormat="1" ht="12.75" customHeight="1" x14ac:dyDescent="0.2">
      <c r="A81" s="713">
        <v>2131</v>
      </c>
      <c r="B81" s="968" t="s">
        <v>1479</v>
      </c>
      <c r="C81" s="940">
        <v>1000000</v>
      </c>
      <c r="D81" s="940">
        <v>1000000</v>
      </c>
      <c r="E81" s="1218">
        <v>1053400.6000000001</v>
      </c>
      <c r="F81" s="1163"/>
      <c r="G81" s="825">
        <f t="shared" si="36"/>
        <v>105.34006000000001</v>
      </c>
      <c r="H81" s="1244">
        <f t="shared" si="38"/>
        <v>105.34006000000001</v>
      </c>
      <c r="I81" s="1257">
        <f t="shared" si="34"/>
        <v>131.32281631904101</v>
      </c>
      <c r="J81" s="1179">
        <v>802145.91</v>
      </c>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c r="AZ81" s="107"/>
      <c r="BA81" s="107"/>
      <c r="BB81" s="107"/>
      <c r="BC81" s="107"/>
      <c r="BD81" s="107"/>
      <c r="BE81" s="107"/>
    </row>
    <row r="82" spans="1:57" s="116" customFormat="1" ht="12.75" customHeight="1" x14ac:dyDescent="0.2">
      <c r="A82" s="713">
        <v>2132</v>
      </c>
      <c r="B82" s="905" t="s">
        <v>2138</v>
      </c>
      <c r="C82" s="862">
        <f>SUM(C83:C94)</f>
        <v>105248875</v>
      </c>
      <c r="D82" s="862">
        <f>SUM(D83:D94)</f>
        <v>105538208</v>
      </c>
      <c r="E82" s="701">
        <v>63238715.869999997</v>
      </c>
      <c r="F82" s="707">
        <f>SUM(E83:E94)</f>
        <v>63238715.869999997</v>
      </c>
      <c r="G82" s="825">
        <f t="shared" si="36"/>
        <v>60.084932850826192</v>
      </c>
      <c r="H82" s="1244">
        <f t="shared" si="38"/>
        <v>59.920210005839778</v>
      </c>
      <c r="I82" s="1255">
        <f t="shared" si="34"/>
        <v>118.18305280389636</v>
      </c>
      <c r="J82" s="1179">
        <v>53509123.659999996</v>
      </c>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row>
    <row r="83" spans="1:57" ht="12.75" customHeight="1" x14ac:dyDescent="0.2">
      <c r="A83" s="728"/>
      <c r="B83" s="967" t="s">
        <v>1251</v>
      </c>
      <c r="C83" s="874">
        <v>810000</v>
      </c>
      <c r="D83" s="874">
        <v>810000</v>
      </c>
      <c r="E83" s="1163">
        <v>762244</v>
      </c>
      <c r="F83" s="1163"/>
      <c r="G83" s="1243">
        <f t="shared" si="36"/>
        <v>94.104197530864198</v>
      </c>
      <c r="H83" s="1248">
        <f t="shared" si="38"/>
        <v>94.104197530864198</v>
      </c>
      <c r="I83" s="1249">
        <f t="shared" si="34"/>
        <v>102.30007542550992</v>
      </c>
      <c r="J83" s="1179">
        <v>745106</v>
      </c>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row>
    <row r="84" spans="1:57" ht="12.75" customHeight="1" x14ac:dyDescent="0.2">
      <c r="A84" s="728"/>
      <c r="B84" s="967" t="s">
        <v>1252</v>
      </c>
      <c r="C84" s="874">
        <v>7000</v>
      </c>
      <c r="D84" s="874">
        <v>7000</v>
      </c>
      <c r="E84" s="1163">
        <v>8606</v>
      </c>
      <c r="F84" s="1163"/>
      <c r="G84" s="1243">
        <f t="shared" ref="G84:G108" si="39">E84/C84*100</f>
        <v>122.94285714285715</v>
      </c>
      <c r="H84" s="1248">
        <f t="shared" ref="H84:H108" si="40">E84/D84*100</f>
        <v>122.94285714285715</v>
      </c>
      <c r="I84" s="1249">
        <f t="shared" si="34"/>
        <v>194.52983725135624</v>
      </c>
      <c r="J84" s="1179">
        <v>4424</v>
      </c>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row>
    <row r="85" spans="1:57" ht="12.75" customHeight="1" x14ac:dyDescent="0.2">
      <c r="A85" s="728"/>
      <c r="B85" s="967" t="s">
        <v>1324</v>
      </c>
      <c r="C85" s="874">
        <v>600000</v>
      </c>
      <c r="D85" s="874">
        <v>600000</v>
      </c>
      <c r="E85" s="1163">
        <v>368630.24</v>
      </c>
      <c r="F85" s="1163"/>
      <c r="G85" s="1243">
        <f t="shared" si="39"/>
        <v>61.438373333333331</v>
      </c>
      <c r="H85" s="1248">
        <f t="shared" si="40"/>
        <v>61.438373333333331</v>
      </c>
      <c r="I85" s="1249">
        <f t="shared" si="34"/>
        <v>101.87609643928863</v>
      </c>
      <c r="J85" s="1179">
        <v>361841.74</v>
      </c>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row>
    <row r="86" spans="1:57" s="737" customFormat="1" ht="12.75" customHeight="1" x14ac:dyDescent="0.2">
      <c r="A86" s="728"/>
      <c r="B86" s="967" t="s">
        <v>1253</v>
      </c>
      <c r="C86" s="874">
        <v>340000</v>
      </c>
      <c r="D86" s="874">
        <v>340000</v>
      </c>
      <c r="E86" s="1163">
        <v>345109.16</v>
      </c>
      <c r="F86" s="1163"/>
      <c r="G86" s="1243">
        <f t="shared" si="39"/>
        <v>101.50269411764705</v>
      </c>
      <c r="H86" s="1248">
        <f t="shared" si="40"/>
        <v>101.50269411764705</v>
      </c>
      <c r="I86" s="1249">
        <v>0</v>
      </c>
      <c r="J86" s="1179">
        <v>308993.67</v>
      </c>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row>
    <row r="87" spans="1:57" s="737" customFormat="1" ht="12.75" customHeight="1" x14ac:dyDescent="0.2">
      <c r="A87" s="728"/>
      <c r="B87" s="969" t="s">
        <v>1467</v>
      </c>
      <c r="C87" s="874">
        <v>75480000</v>
      </c>
      <c r="D87" s="874">
        <v>75480000</v>
      </c>
      <c r="E87" s="1163">
        <v>39707587.850000001</v>
      </c>
      <c r="F87" s="1163"/>
      <c r="G87" s="1243">
        <f t="shared" si="39"/>
        <v>52.606767156862745</v>
      </c>
      <c r="H87" s="1248">
        <f t="shared" si="40"/>
        <v>52.606767156862745</v>
      </c>
      <c r="I87" s="1258">
        <f t="shared" si="34"/>
        <v>127.41853739542665</v>
      </c>
      <c r="J87" s="1179">
        <v>31163116.969999999</v>
      </c>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row>
    <row r="88" spans="1:57" ht="12.75" customHeight="1" x14ac:dyDescent="0.2">
      <c r="A88" s="728"/>
      <c r="B88" s="969" t="s">
        <v>1478</v>
      </c>
      <c r="C88" s="874">
        <v>180875</v>
      </c>
      <c r="D88" s="874">
        <v>180875</v>
      </c>
      <c r="E88" s="1163">
        <v>76710.87</v>
      </c>
      <c r="F88" s="1163"/>
      <c r="G88" s="1243">
        <f t="shared" si="39"/>
        <v>42.410985487214923</v>
      </c>
      <c r="H88" s="1248">
        <f t="shared" si="40"/>
        <v>42.410985487214923</v>
      </c>
      <c r="I88" s="1249">
        <f t="shared" si="34"/>
        <v>130.9909091188515</v>
      </c>
      <c r="J88" s="1179">
        <v>58561.98</v>
      </c>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row>
    <row r="89" spans="1:57" ht="12.75" customHeight="1" x14ac:dyDescent="0.2">
      <c r="A89" s="728"/>
      <c r="B89" s="967" t="s">
        <v>1560</v>
      </c>
      <c r="C89" s="874">
        <v>500000</v>
      </c>
      <c r="D89" s="874">
        <v>500000</v>
      </c>
      <c r="E89" s="1163">
        <v>371910.56</v>
      </c>
      <c r="F89" s="1163"/>
      <c r="G89" s="1243">
        <f t="shared" si="39"/>
        <v>74.382112000000006</v>
      </c>
      <c r="H89" s="1248">
        <f t="shared" si="40"/>
        <v>74.382112000000006</v>
      </c>
      <c r="I89" s="1249">
        <f t="shared" si="34"/>
        <v>111.41526471608114</v>
      </c>
      <c r="J89" s="1179">
        <v>333805.75</v>
      </c>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row>
    <row r="90" spans="1:57" s="737" customFormat="1" ht="24.75" x14ac:dyDescent="0.2">
      <c r="A90" s="728"/>
      <c r="B90" s="970" t="s">
        <v>1468</v>
      </c>
      <c r="C90" s="874">
        <v>15796000</v>
      </c>
      <c r="D90" s="874">
        <v>15796000</v>
      </c>
      <c r="E90" s="1163">
        <v>9770393.1899999995</v>
      </c>
      <c r="F90" s="1163"/>
      <c r="G90" s="1243">
        <f t="shared" si="39"/>
        <v>61.853590719169404</v>
      </c>
      <c r="H90" s="1248">
        <f t="shared" si="40"/>
        <v>61.853590719169404</v>
      </c>
      <c r="I90" s="1258">
        <f t="shared" si="34"/>
        <v>108.44690398241686</v>
      </c>
      <c r="J90" s="1612">
        <v>9009379.5500000007</v>
      </c>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row>
    <row r="91" spans="1:57" s="737" customFormat="1" ht="12.75" customHeight="1" x14ac:dyDescent="0.2">
      <c r="A91" s="728"/>
      <c r="B91" s="967" t="s">
        <v>1325</v>
      </c>
      <c r="C91" s="874">
        <v>11500000</v>
      </c>
      <c r="D91" s="874">
        <f>11500000+289333</f>
        <v>11789333</v>
      </c>
      <c r="E91" s="1163">
        <v>11789333</v>
      </c>
      <c r="F91" s="1163"/>
      <c r="G91" s="1243">
        <f t="shared" si="39"/>
        <v>102.51593913043477</v>
      </c>
      <c r="H91" s="1248">
        <f t="shared" si="40"/>
        <v>100</v>
      </c>
      <c r="I91" s="1258">
        <f t="shared" si="34"/>
        <v>102.51593913043477</v>
      </c>
      <c r="J91" s="1179">
        <v>11500000</v>
      </c>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row>
    <row r="92" spans="1:57" s="737" customFormat="1" ht="12.75" customHeight="1" x14ac:dyDescent="0.2">
      <c r="A92" s="728"/>
      <c r="B92" s="967" t="s">
        <v>2096</v>
      </c>
      <c r="C92" s="874">
        <v>0</v>
      </c>
      <c r="D92" s="874">
        <v>0</v>
      </c>
      <c r="E92" s="1163">
        <v>0</v>
      </c>
      <c r="F92" s="1163"/>
      <c r="G92" s="1243">
        <v>0</v>
      </c>
      <c r="H92" s="1248">
        <v>0</v>
      </c>
      <c r="I92" s="1258">
        <v>0</v>
      </c>
      <c r="J92" s="1179">
        <v>0</v>
      </c>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row>
    <row r="93" spans="1:57" s="737" customFormat="1" ht="12.75" customHeight="1" x14ac:dyDescent="0.2">
      <c r="A93" s="728"/>
      <c r="B93" s="967" t="s">
        <v>1137</v>
      </c>
      <c r="C93" s="874">
        <v>20000</v>
      </c>
      <c r="D93" s="874">
        <v>20000</v>
      </c>
      <c r="E93" s="1163">
        <v>12700</v>
      </c>
      <c r="F93" s="1163"/>
      <c r="G93" s="1243">
        <f t="shared" si="39"/>
        <v>63.5</v>
      </c>
      <c r="H93" s="1248">
        <f t="shared" si="40"/>
        <v>63.5</v>
      </c>
      <c r="I93" s="1249">
        <f t="shared" si="34"/>
        <v>92.028985507246375</v>
      </c>
      <c r="J93" s="1179">
        <v>13800</v>
      </c>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row>
    <row r="94" spans="1:57" ht="12.75" customHeight="1" x14ac:dyDescent="0.2">
      <c r="A94" s="971"/>
      <c r="B94" s="967" t="s">
        <v>1421</v>
      </c>
      <c r="C94" s="874">
        <v>15000</v>
      </c>
      <c r="D94" s="874">
        <v>15000</v>
      </c>
      <c r="E94" s="1163">
        <v>25491</v>
      </c>
      <c r="F94" s="1163"/>
      <c r="G94" s="1243">
        <f t="shared" si="39"/>
        <v>169.94</v>
      </c>
      <c r="H94" s="1248">
        <f t="shared" si="40"/>
        <v>169.94</v>
      </c>
      <c r="I94" s="1249">
        <f t="shared" si="34"/>
        <v>252.53616009510603</v>
      </c>
      <c r="J94" s="1179">
        <v>10094</v>
      </c>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row>
    <row r="95" spans="1:57" s="116" customFormat="1" ht="12.75" customHeight="1" x14ac:dyDescent="0.2">
      <c r="A95" s="972">
        <v>2141</v>
      </c>
      <c r="B95" s="905" t="s">
        <v>118</v>
      </c>
      <c r="C95" s="940">
        <v>10000</v>
      </c>
      <c r="D95" s="940">
        <v>10000</v>
      </c>
      <c r="E95" s="1218">
        <v>327178.59000000003</v>
      </c>
      <c r="F95" s="1163"/>
      <c r="G95" s="825">
        <f t="shared" si="39"/>
        <v>3271.7859000000003</v>
      </c>
      <c r="H95" s="1244">
        <f t="shared" si="40"/>
        <v>3271.7859000000003</v>
      </c>
      <c r="I95" s="1255">
        <f t="shared" si="34"/>
        <v>21784.747681224078</v>
      </c>
      <c r="J95" s="1179">
        <v>1501.87</v>
      </c>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7"/>
      <c r="BC95" s="107"/>
      <c r="BD95" s="107"/>
      <c r="BE95" s="107"/>
    </row>
    <row r="96" spans="1:57" s="116" customFormat="1" ht="12.75" customHeight="1" x14ac:dyDescent="0.2">
      <c r="A96" s="972">
        <v>2212</v>
      </c>
      <c r="B96" s="905" t="s">
        <v>2139</v>
      </c>
      <c r="C96" s="862">
        <f>SUM(C97:C110)</f>
        <v>11730000</v>
      </c>
      <c r="D96" s="862">
        <f>SUM(D97:D110)</f>
        <v>11780700</v>
      </c>
      <c r="E96" s="701">
        <v>11426690.630000001</v>
      </c>
      <c r="F96" s="707">
        <f>SUM(E97:E110)</f>
        <v>11426690.629999999</v>
      </c>
      <c r="G96" s="825">
        <f t="shared" si="39"/>
        <v>97.414242369991484</v>
      </c>
      <c r="H96" s="1244">
        <f t="shared" si="40"/>
        <v>96.995005644825866</v>
      </c>
      <c r="I96" s="1255">
        <f t="shared" si="34"/>
        <v>252.35108501636557</v>
      </c>
      <c r="J96" s="1179">
        <v>4528092.53</v>
      </c>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c r="BC96" s="107"/>
      <c r="BD96" s="107"/>
      <c r="BE96" s="107"/>
    </row>
    <row r="97" spans="1:57" ht="12.75" customHeight="1" x14ac:dyDescent="0.2">
      <c r="A97" s="973"/>
      <c r="B97" s="967" t="s">
        <v>1414</v>
      </c>
      <c r="C97" s="874">
        <v>15000</v>
      </c>
      <c r="D97" s="874">
        <v>15000</v>
      </c>
      <c r="E97" s="1163">
        <v>14500</v>
      </c>
      <c r="F97" s="1163"/>
      <c r="G97" s="1243">
        <f t="shared" si="39"/>
        <v>96.666666666666671</v>
      </c>
      <c r="H97" s="1248">
        <f t="shared" si="40"/>
        <v>96.666666666666671</v>
      </c>
      <c r="I97" s="1249">
        <f t="shared" si="34"/>
        <v>100</v>
      </c>
      <c r="J97" s="1179">
        <v>14500</v>
      </c>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row>
    <row r="98" spans="1:57" ht="12.75" customHeight="1" x14ac:dyDescent="0.2">
      <c r="A98" s="971"/>
      <c r="B98" s="967" t="s">
        <v>121</v>
      </c>
      <c r="C98" s="874">
        <v>100000</v>
      </c>
      <c r="D98" s="874">
        <v>100000</v>
      </c>
      <c r="E98" s="1163">
        <v>33350</v>
      </c>
      <c r="F98" s="1163"/>
      <c r="G98" s="1243">
        <f t="shared" si="39"/>
        <v>33.35</v>
      </c>
      <c r="H98" s="1248">
        <f t="shared" si="40"/>
        <v>33.35</v>
      </c>
      <c r="I98" s="1249">
        <f t="shared" si="34"/>
        <v>36.408296943231441</v>
      </c>
      <c r="J98" s="1179">
        <v>91600</v>
      </c>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row>
    <row r="99" spans="1:57" ht="12.75" customHeight="1" x14ac:dyDescent="0.2">
      <c r="A99" s="971"/>
      <c r="B99" s="967" t="s">
        <v>2097</v>
      </c>
      <c r="C99" s="874">
        <v>0</v>
      </c>
      <c r="D99" s="874">
        <v>0</v>
      </c>
      <c r="E99" s="1259">
        <v>121449.64</v>
      </c>
      <c r="F99" s="1259"/>
      <c r="G99" s="1243">
        <v>0</v>
      </c>
      <c r="H99" s="1248">
        <v>0</v>
      </c>
      <c r="I99" s="1249">
        <v>0</v>
      </c>
      <c r="J99" s="1179">
        <v>0</v>
      </c>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row>
    <row r="100" spans="1:57" ht="12.75" customHeight="1" x14ac:dyDescent="0.2">
      <c r="A100" s="971"/>
      <c r="B100" s="967" t="s">
        <v>1859</v>
      </c>
      <c r="C100" s="974">
        <v>2500000</v>
      </c>
      <c r="D100" s="974">
        <v>2500000</v>
      </c>
      <c r="E100" s="1259">
        <v>1410397.14</v>
      </c>
      <c r="F100" s="1259"/>
      <c r="G100" s="1243">
        <f t="shared" si="39"/>
        <v>56.415885599999996</v>
      </c>
      <c r="H100" s="1248">
        <f t="shared" si="40"/>
        <v>56.415885599999996</v>
      </c>
      <c r="I100" s="1249">
        <f t="shared" si="34"/>
        <v>108.33051023635531</v>
      </c>
      <c r="J100" s="1179">
        <v>1301938.98</v>
      </c>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row>
    <row r="101" spans="1:57" ht="12.75" customHeight="1" x14ac:dyDescent="0.2">
      <c r="A101" s="971"/>
      <c r="B101" s="967" t="s">
        <v>1326</v>
      </c>
      <c r="C101" s="974">
        <v>7500000</v>
      </c>
      <c r="D101" s="974">
        <v>7500000</v>
      </c>
      <c r="E101" s="1259">
        <v>9123550.1099999994</v>
      </c>
      <c r="F101" s="1259"/>
      <c r="G101" s="1243">
        <f t="shared" si="39"/>
        <v>121.64733479999998</v>
      </c>
      <c r="H101" s="1248">
        <f t="shared" si="40"/>
        <v>121.64733479999998</v>
      </c>
      <c r="I101" s="1249">
        <f t="shared" si="34"/>
        <v>378.23558890418798</v>
      </c>
      <c r="J101" s="1179">
        <v>2412134.23</v>
      </c>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row>
    <row r="102" spans="1:57" ht="12.75" customHeight="1" x14ac:dyDescent="0.2">
      <c r="A102" s="971"/>
      <c r="B102" s="875" t="s">
        <v>1425</v>
      </c>
      <c r="C102" s="974">
        <v>150000</v>
      </c>
      <c r="D102" s="974">
        <v>150000</v>
      </c>
      <c r="E102" s="1259">
        <v>52000</v>
      </c>
      <c r="F102" s="1259"/>
      <c r="G102" s="1243">
        <f t="shared" si="39"/>
        <v>34.666666666666671</v>
      </c>
      <c r="H102" s="1248">
        <f t="shared" si="40"/>
        <v>34.666666666666671</v>
      </c>
      <c r="I102" s="1249">
        <v>0</v>
      </c>
      <c r="J102" s="1179">
        <v>-85250</v>
      </c>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row>
    <row r="103" spans="1:57" s="737" customFormat="1" ht="12.75" customHeight="1" x14ac:dyDescent="0.2">
      <c r="A103" s="971"/>
      <c r="B103" s="967" t="s">
        <v>2098</v>
      </c>
      <c r="C103" s="874">
        <v>0</v>
      </c>
      <c r="D103" s="874">
        <v>0</v>
      </c>
      <c r="E103" s="1163">
        <v>23996</v>
      </c>
      <c r="F103" s="1163"/>
      <c r="G103" s="1243">
        <v>0</v>
      </c>
      <c r="H103" s="1248">
        <v>0</v>
      </c>
      <c r="I103" s="1249">
        <v>0</v>
      </c>
      <c r="J103" s="1179">
        <v>0</v>
      </c>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row>
    <row r="104" spans="1:57" s="737" customFormat="1" ht="12.75" customHeight="1" x14ac:dyDescent="0.2">
      <c r="A104" s="971"/>
      <c r="B104" s="967" t="s">
        <v>1138</v>
      </c>
      <c r="C104" s="874">
        <v>400000</v>
      </c>
      <c r="D104" s="874">
        <v>400000</v>
      </c>
      <c r="E104" s="1163">
        <v>0</v>
      </c>
      <c r="F104" s="1163"/>
      <c r="G104" s="1243">
        <f t="shared" si="39"/>
        <v>0</v>
      </c>
      <c r="H104" s="1248">
        <f t="shared" si="40"/>
        <v>0</v>
      </c>
      <c r="I104" s="1249">
        <v>0</v>
      </c>
      <c r="J104" s="1179">
        <v>0</v>
      </c>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row>
    <row r="105" spans="1:57" s="737" customFormat="1" ht="12.75" customHeight="1" x14ac:dyDescent="0.2">
      <c r="A105" s="971"/>
      <c r="B105" s="967" t="s">
        <v>1313</v>
      </c>
      <c r="C105" s="874">
        <v>50000</v>
      </c>
      <c r="D105" s="874">
        <v>50000</v>
      </c>
      <c r="E105" s="1163">
        <v>0</v>
      </c>
      <c r="F105" s="1163"/>
      <c r="G105" s="1243">
        <f t="shared" si="39"/>
        <v>0</v>
      </c>
      <c r="H105" s="1248">
        <f t="shared" si="40"/>
        <v>0</v>
      </c>
      <c r="I105" s="1249">
        <v>0</v>
      </c>
      <c r="J105" s="1179">
        <v>0</v>
      </c>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row>
    <row r="106" spans="1:57" ht="12.75" customHeight="1" x14ac:dyDescent="0.2">
      <c r="A106" s="971"/>
      <c r="B106" s="967" t="s">
        <v>126</v>
      </c>
      <c r="C106" s="874">
        <v>0</v>
      </c>
      <c r="D106" s="874">
        <v>50700</v>
      </c>
      <c r="E106" s="1163">
        <v>54200</v>
      </c>
      <c r="F106" s="1163"/>
      <c r="G106" s="1243">
        <v>0</v>
      </c>
      <c r="H106" s="1248">
        <f t="shared" si="40"/>
        <v>106.9033530571992</v>
      </c>
      <c r="I106" s="1249">
        <f t="shared" si="34"/>
        <v>271</v>
      </c>
      <c r="J106" s="1179">
        <v>20000</v>
      </c>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row>
    <row r="107" spans="1:57" ht="12.75" customHeight="1" x14ac:dyDescent="0.2">
      <c r="A107" s="971"/>
      <c r="B107" s="967" t="s">
        <v>1941</v>
      </c>
      <c r="C107" s="874">
        <v>650000</v>
      </c>
      <c r="D107" s="874">
        <v>650000</v>
      </c>
      <c r="E107" s="1163">
        <v>302609.02</v>
      </c>
      <c r="F107" s="1163"/>
      <c r="G107" s="1243">
        <f t="shared" si="39"/>
        <v>46.555233846153847</v>
      </c>
      <c r="H107" s="1248">
        <f t="shared" si="40"/>
        <v>46.555233846153847</v>
      </c>
      <c r="I107" s="1249">
        <f t="shared" si="34"/>
        <v>92.023906039884764</v>
      </c>
      <c r="J107" s="1179">
        <v>328837.40000000002</v>
      </c>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row>
    <row r="108" spans="1:57" ht="12.75" customHeight="1" x14ac:dyDescent="0.2">
      <c r="A108" s="971"/>
      <c r="B108" s="967" t="s">
        <v>1254</v>
      </c>
      <c r="C108" s="974">
        <v>350000</v>
      </c>
      <c r="D108" s="974">
        <v>350000</v>
      </c>
      <c r="E108" s="1163">
        <v>210838.72</v>
      </c>
      <c r="F108" s="1163"/>
      <c r="G108" s="1243">
        <f t="shared" si="39"/>
        <v>60.239634285714281</v>
      </c>
      <c r="H108" s="1248">
        <f t="shared" si="40"/>
        <v>60.239634285714281</v>
      </c>
      <c r="I108" s="1249">
        <f t="shared" si="34"/>
        <v>100.0785434315937</v>
      </c>
      <c r="J108" s="1179">
        <v>210673.25</v>
      </c>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row>
    <row r="109" spans="1:57" s="146" customFormat="1" ht="12.75" customHeight="1" x14ac:dyDescent="0.2">
      <c r="A109" s="973"/>
      <c r="B109" s="967" t="s">
        <v>1426</v>
      </c>
      <c r="C109" s="874">
        <v>15000</v>
      </c>
      <c r="D109" s="874">
        <v>15000</v>
      </c>
      <c r="E109" s="1163">
        <v>7800</v>
      </c>
      <c r="F109" s="1163"/>
      <c r="G109" s="1243">
        <f t="shared" ref="G109:G141" si="41">E109/C109*100</f>
        <v>52</v>
      </c>
      <c r="H109" s="1248">
        <f t="shared" ref="H109:H141" si="42">E109/D109*100</f>
        <v>52</v>
      </c>
      <c r="I109" s="1249">
        <f t="shared" si="34"/>
        <v>78</v>
      </c>
      <c r="J109" s="1179">
        <v>10000</v>
      </c>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row>
    <row r="110" spans="1:57" s="146" customFormat="1" ht="12.75" customHeight="1" x14ac:dyDescent="0.2">
      <c r="A110" s="973"/>
      <c r="B110" s="967" t="s">
        <v>1410</v>
      </c>
      <c r="C110" s="874">
        <v>0</v>
      </c>
      <c r="D110" s="874">
        <v>0</v>
      </c>
      <c r="E110" s="1163">
        <v>72000</v>
      </c>
      <c r="F110" s="1163"/>
      <c r="G110" s="1243">
        <v>0</v>
      </c>
      <c r="H110" s="1248">
        <v>0</v>
      </c>
      <c r="I110" s="1249">
        <v>0</v>
      </c>
      <c r="J110" s="1179">
        <v>0</v>
      </c>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row>
    <row r="111" spans="1:57" s="12" customFormat="1" ht="12.75" customHeight="1" x14ac:dyDescent="0.2">
      <c r="A111" s="972">
        <v>2229</v>
      </c>
      <c r="B111" s="905" t="s">
        <v>2140</v>
      </c>
      <c r="C111" s="975">
        <f>SUM(C112:C124)</f>
        <v>1000000</v>
      </c>
      <c r="D111" s="975">
        <f>SUM(D112:D124)</f>
        <v>8067020.7400000002</v>
      </c>
      <c r="E111" s="719">
        <v>9124431.4800000004</v>
      </c>
      <c r="F111" s="1260">
        <f>SUM(E112:E124)</f>
        <v>9124431.4800000004</v>
      </c>
      <c r="G111" s="825">
        <f t="shared" si="41"/>
        <v>912.44314800000006</v>
      </c>
      <c r="H111" s="1244">
        <f t="shared" si="42"/>
        <v>113.10782225657201</v>
      </c>
      <c r="I111" s="1255">
        <f t="shared" si="34"/>
        <v>107.77438836556554</v>
      </c>
      <c r="J111" s="1179">
        <v>8466233.5999999996</v>
      </c>
    </row>
    <row r="112" spans="1:57" s="129" customFormat="1" ht="12.75" customHeight="1" x14ac:dyDescent="0.2">
      <c r="A112" s="1557"/>
      <c r="B112" s="1558" t="s">
        <v>2057</v>
      </c>
      <c r="C112" s="1150">
        <v>0</v>
      </c>
      <c r="D112" s="1150">
        <v>1600000</v>
      </c>
      <c r="E112" s="1163">
        <v>1600000</v>
      </c>
      <c r="F112" s="1163"/>
      <c r="G112" s="1243">
        <v>0</v>
      </c>
      <c r="H112" s="1248">
        <f t="shared" si="42"/>
        <v>100</v>
      </c>
      <c r="I112" s="1543">
        <v>0</v>
      </c>
      <c r="J112" s="92">
        <v>0</v>
      </c>
    </row>
    <row r="113" spans="1:57" s="12" customFormat="1" ht="12.75" customHeight="1" x14ac:dyDescent="0.2">
      <c r="A113" s="971"/>
      <c r="B113" s="967" t="s">
        <v>2058</v>
      </c>
      <c r="C113" s="874">
        <v>0</v>
      </c>
      <c r="D113" s="874">
        <f>(13779.02+87878.61+201127.47)</f>
        <v>302785.09999999998</v>
      </c>
      <c r="E113" s="1163">
        <v>302785.09999999998</v>
      </c>
      <c r="F113" s="1163"/>
      <c r="G113" s="1243">
        <v>0</v>
      </c>
      <c r="H113" s="1248">
        <f t="shared" si="42"/>
        <v>100</v>
      </c>
      <c r="I113" s="1249">
        <f t="shared" ref="I113" si="43">E113/J113*100</f>
        <v>120.76934496637077</v>
      </c>
      <c r="J113" s="1179">
        <v>250713.54</v>
      </c>
    </row>
    <row r="114" spans="1:57" s="12" customFormat="1" ht="12.75" customHeight="1" x14ac:dyDescent="0.2">
      <c r="A114" s="971"/>
      <c r="B114" s="967" t="s">
        <v>2032</v>
      </c>
      <c r="C114" s="874">
        <v>0</v>
      </c>
      <c r="D114" s="874">
        <v>236709.36</v>
      </c>
      <c r="E114" s="1163">
        <v>236709.36</v>
      </c>
      <c r="F114" s="1163"/>
      <c r="G114" s="1243">
        <v>0</v>
      </c>
      <c r="H114" s="1248">
        <f t="shared" si="42"/>
        <v>100</v>
      </c>
      <c r="I114" s="1249">
        <f t="shared" si="34"/>
        <v>792.01869451571326</v>
      </c>
      <c r="J114" s="1179">
        <v>29886.84</v>
      </c>
    </row>
    <row r="115" spans="1:57" s="12" customFormat="1" ht="12.75" customHeight="1" x14ac:dyDescent="0.2">
      <c r="A115" s="971"/>
      <c r="B115" s="967" t="s">
        <v>2031</v>
      </c>
      <c r="C115" s="874">
        <v>0</v>
      </c>
      <c r="D115" s="874">
        <v>159713.54999999999</v>
      </c>
      <c r="E115" s="1163">
        <v>159713.54999999999</v>
      </c>
      <c r="F115" s="1163"/>
      <c r="G115" s="1243">
        <v>0</v>
      </c>
      <c r="H115" s="1248">
        <f t="shared" si="42"/>
        <v>100</v>
      </c>
      <c r="I115" s="1249">
        <f t="shared" si="34"/>
        <v>52.262141941031906</v>
      </c>
      <c r="J115" s="1179">
        <v>305600.84999999998</v>
      </c>
    </row>
    <row r="116" spans="1:57" s="12" customFormat="1" ht="12.75" customHeight="1" x14ac:dyDescent="0.2">
      <c r="A116" s="971"/>
      <c r="B116" s="967" t="s">
        <v>2033</v>
      </c>
      <c r="C116" s="874">
        <v>0</v>
      </c>
      <c r="D116" s="874">
        <v>391374.39</v>
      </c>
      <c r="E116" s="1163">
        <v>391374.39</v>
      </c>
      <c r="F116" s="1163"/>
      <c r="G116" s="1243">
        <v>0</v>
      </c>
      <c r="H116" s="1248">
        <f t="shared" si="42"/>
        <v>100</v>
      </c>
      <c r="I116" s="1249">
        <f t="shared" si="34"/>
        <v>258.71326480751111</v>
      </c>
      <c r="J116" s="1179">
        <v>151277.28</v>
      </c>
    </row>
    <row r="117" spans="1:57" s="12" customFormat="1" ht="12.75" customHeight="1" x14ac:dyDescent="0.2">
      <c r="A117" s="971"/>
      <c r="B117" s="967" t="s">
        <v>1315</v>
      </c>
      <c r="C117" s="874">
        <v>1000000</v>
      </c>
      <c r="D117" s="874">
        <f>1000000+3226272.84</f>
        <v>4226272.84</v>
      </c>
      <c r="E117" s="1163">
        <v>4226272.84</v>
      </c>
      <c r="F117" s="1163"/>
      <c r="G117" s="1243">
        <f t="shared" si="41"/>
        <v>422.62728400000003</v>
      </c>
      <c r="H117" s="1248">
        <f t="shared" si="42"/>
        <v>100</v>
      </c>
      <c r="I117" s="1249">
        <f t="shared" ref="I117" si="44">E117/J117*100</f>
        <v>74.056198128677579</v>
      </c>
      <c r="J117" s="1179">
        <v>5706845.54</v>
      </c>
    </row>
    <row r="118" spans="1:57" ht="12.75" customHeight="1" x14ac:dyDescent="0.2">
      <c r="A118" s="971"/>
      <c r="B118" s="967" t="s">
        <v>2063</v>
      </c>
      <c r="C118" s="874">
        <v>0</v>
      </c>
      <c r="D118" s="874">
        <v>0</v>
      </c>
      <c r="E118" s="1163">
        <v>1525</v>
      </c>
      <c r="F118" s="1163"/>
      <c r="G118" s="1243">
        <v>0</v>
      </c>
      <c r="H118" s="1248">
        <v>0</v>
      </c>
      <c r="I118" s="1249">
        <f t="shared" si="34"/>
        <v>50.833333333333329</v>
      </c>
      <c r="J118" s="1179">
        <v>3000</v>
      </c>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row>
    <row r="119" spans="1:57" s="12" customFormat="1" ht="12.75" customHeight="1" x14ac:dyDescent="0.2">
      <c r="A119" s="971"/>
      <c r="B119" s="967" t="s">
        <v>2062</v>
      </c>
      <c r="C119" s="976">
        <v>0</v>
      </c>
      <c r="D119" s="976">
        <f>25251</f>
        <v>25251</v>
      </c>
      <c r="E119" s="1163">
        <v>31826</v>
      </c>
      <c r="F119" s="1163"/>
      <c r="G119" s="1243">
        <v>0</v>
      </c>
      <c r="H119" s="1248">
        <f t="shared" si="42"/>
        <v>126.03857272979289</v>
      </c>
      <c r="I119" s="1249">
        <f t="shared" si="34"/>
        <v>11.868149062848424</v>
      </c>
      <c r="J119" s="1179">
        <v>268163.13</v>
      </c>
    </row>
    <row r="120" spans="1:57" ht="12.75" customHeight="1" x14ac:dyDescent="0.2">
      <c r="A120" s="971"/>
      <c r="B120" s="967" t="s">
        <v>2059</v>
      </c>
      <c r="C120" s="874">
        <v>0</v>
      </c>
      <c r="D120" s="874">
        <f>(74693.5+40293)</f>
        <v>114986.5</v>
      </c>
      <c r="E120" s="1163">
        <v>1164297.24</v>
      </c>
      <c r="F120" s="1163"/>
      <c r="G120" s="1243">
        <v>0</v>
      </c>
      <c r="H120" s="1248">
        <f t="shared" si="42"/>
        <v>1012.5512473203376</v>
      </c>
      <c r="I120" s="1249">
        <f t="shared" si="34"/>
        <v>763.49362606232296</v>
      </c>
      <c r="J120" s="1179">
        <v>152496</v>
      </c>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row>
    <row r="121" spans="1:57" s="129" customFormat="1" ht="12.75" customHeight="1" x14ac:dyDescent="0.2">
      <c r="A121" s="1557"/>
      <c r="B121" s="1558" t="s">
        <v>2061</v>
      </c>
      <c r="C121" s="1150">
        <v>0</v>
      </c>
      <c r="D121" s="1150">
        <v>900000</v>
      </c>
      <c r="E121" s="1163">
        <v>900000</v>
      </c>
      <c r="F121" s="1163"/>
      <c r="G121" s="1243">
        <v>0</v>
      </c>
      <c r="H121" s="1248">
        <f t="shared" si="42"/>
        <v>100</v>
      </c>
      <c r="I121" s="1543">
        <v>0</v>
      </c>
      <c r="J121" s="92">
        <v>0</v>
      </c>
    </row>
    <row r="122" spans="1:57" ht="12.75" customHeight="1" x14ac:dyDescent="0.2">
      <c r="A122" s="971"/>
      <c r="B122" s="753" t="s">
        <v>2055</v>
      </c>
      <c r="C122" s="874">
        <v>0</v>
      </c>
      <c r="D122" s="874">
        <f>(1835.4+16518.6)</f>
        <v>18354</v>
      </c>
      <c r="E122" s="1261">
        <v>18354</v>
      </c>
      <c r="F122" s="1261"/>
      <c r="G122" s="1243">
        <v>0</v>
      </c>
      <c r="H122" s="1248">
        <f t="shared" si="42"/>
        <v>100</v>
      </c>
      <c r="I122" s="1543">
        <v>0</v>
      </c>
      <c r="J122" s="1179">
        <v>0</v>
      </c>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row>
    <row r="123" spans="1:57" s="12" customFormat="1" ht="12.75" customHeight="1" x14ac:dyDescent="0.2">
      <c r="A123" s="753"/>
      <c r="B123" s="753" t="s">
        <v>2052</v>
      </c>
      <c r="C123" s="1345">
        <v>0</v>
      </c>
      <c r="D123" s="1345">
        <f>(5068.4+45615.6)</f>
        <v>50684</v>
      </c>
      <c r="E123" s="1261">
        <v>50684</v>
      </c>
      <c r="F123" s="1261"/>
      <c r="G123" s="1243">
        <v>0</v>
      </c>
      <c r="H123" s="1248">
        <f t="shared" si="42"/>
        <v>100</v>
      </c>
      <c r="I123" s="1543">
        <v>0</v>
      </c>
      <c r="J123" s="1555">
        <v>0</v>
      </c>
      <c r="K123" s="1499"/>
      <c r="L123" s="173"/>
    </row>
    <row r="124" spans="1:57" s="12" customFormat="1" ht="12.75" customHeight="1" x14ac:dyDescent="0.2">
      <c r="A124" s="753"/>
      <c r="B124" s="753" t="s">
        <v>2053</v>
      </c>
      <c r="C124" s="1345">
        <v>0</v>
      </c>
      <c r="D124" s="1345">
        <f>(4089+36801)</f>
        <v>40890</v>
      </c>
      <c r="E124" s="1261">
        <v>40890</v>
      </c>
      <c r="F124" s="1261"/>
      <c r="G124" s="1243">
        <v>0</v>
      </c>
      <c r="H124" s="1248">
        <f t="shared" si="42"/>
        <v>100</v>
      </c>
      <c r="I124" s="1543">
        <v>0</v>
      </c>
      <c r="J124" s="1555">
        <v>0</v>
      </c>
      <c r="K124" s="1499"/>
      <c r="L124" s="173"/>
    </row>
    <row r="125" spans="1:57" ht="12.75" customHeight="1" x14ac:dyDescent="0.2">
      <c r="A125" s="1043">
        <v>2310</v>
      </c>
      <c r="B125" s="979" t="s">
        <v>2141</v>
      </c>
      <c r="C125" s="1184">
        <v>0</v>
      </c>
      <c r="D125" s="1184">
        <v>0</v>
      </c>
      <c r="E125" s="1577">
        <v>6175</v>
      </c>
      <c r="F125" s="1261"/>
      <c r="G125" s="825">
        <v>0</v>
      </c>
      <c r="H125" s="1244">
        <v>0</v>
      </c>
      <c r="I125" s="1255">
        <v>0</v>
      </c>
      <c r="J125" s="1179">
        <v>0</v>
      </c>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row>
    <row r="126" spans="1:57" ht="12.75" customHeight="1" x14ac:dyDescent="0.2">
      <c r="A126" s="972">
        <v>2321</v>
      </c>
      <c r="B126" s="905" t="s">
        <v>2142</v>
      </c>
      <c r="C126" s="940">
        <v>100000</v>
      </c>
      <c r="D126" s="940">
        <v>100000</v>
      </c>
      <c r="E126" s="1577">
        <v>105000</v>
      </c>
      <c r="F126" s="1261"/>
      <c r="G126" s="825">
        <f t="shared" si="41"/>
        <v>105</v>
      </c>
      <c r="H126" s="1244">
        <f t="shared" si="42"/>
        <v>105</v>
      </c>
      <c r="I126" s="1255">
        <f t="shared" si="34"/>
        <v>190.90909090909091</v>
      </c>
      <c r="J126" s="1179">
        <v>55000</v>
      </c>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row>
    <row r="127" spans="1:57" s="737" customFormat="1" ht="12.75" customHeight="1" x14ac:dyDescent="0.2">
      <c r="A127" s="972">
        <v>2322</v>
      </c>
      <c r="B127" s="905" t="s">
        <v>2143</v>
      </c>
      <c r="C127" s="940">
        <v>100000</v>
      </c>
      <c r="D127" s="940">
        <f>100000+112397+186860</f>
        <v>399257</v>
      </c>
      <c r="E127" s="1218">
        <v>519918</v>
      </c>
      <c r="F127" s="1163"/>
      <c r="G127" s="825">
        <f t="shared" si="41"/>
        <v>519.91800000000001</v>
      </c>
      <c r="H127" s="1244">
        <f t="shared" si="42"/>
        <v>130.22138622491278</v>
      </c>
      <c r="I127" s="1255">
        <f t="shared" si="34"/>
        <v>162.92802772720293</v>
      </c>
      <c r="J127" s="1179">
        <v>319109</v>
      </c>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row>
    <row r="128" spans="1:57" s="116" customFormat="1" ht="12.75" customHeight="1" x14ac:dyDescent="0.2">
      <c r="A128" s="972">
        <v>2324</v>
      </c>
      <c r="B128" s="905" t="s">
        <v>2144</v>
      </c>
      <c r="C128" s="862">
        <f>SUM(C129:C143)</f>
        <v>3408000</v>
      </c>
      <c r="D128" s="862">
        <f>SUM(D129:D143)</f>
        <v>3839000</v>
      </c>
      <c r="E128" s="1218">
        <v>4724828.47</v>
      </c>
      <c r="F128" s="1163">
        <f>SUM(E129:E143)</f>
        <v>4724828.47</v>
      </c>
      <c r="G128" s="825">
        <f t="shared" si="41"/>
        <v>138.63933303990609</v>
      </c>
      <c r="H128" s="1244">
        <f t="shared" si="42"/>
        <v>123.07445871320655</v>
      </c>
      <c r="I128" s="1255">
        <f t="shared" si="34"/>
        <v>132.74762160375744</v>
      </c>
      <c r="J128" s="1179">
        <v>3559256.59</v>
      </c>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7"/>
      <c r="AY128" s="107"/>
      <c r="AZ128" s="107"/>
      <c r="BA128" s="107"/>
      <c r="BB128" s="107"/>
      <c r="BC128" s="107"/>
      <c r="BD128" s="107"/>
      <c r="BE128" s="107"/>
    </row>
    <row r="129" spans="1:45" s="116" customFormat="1" ht="12.75" customHeight="1" x14ac:dyDescent="0.2">
      <c r="A129" s="978"/>
      <c r="B129" s="979" t="s">
        <v>1242</v>
      </c>
      <c r="C129" s="874">
        <v>15000</v>
      </c>
      <c r="D129" s="874">
        <v>15000</v>
      </c>
      <c r="E129" s="1163">
        <v>3000</v>
      </c>
      <c r="F129" s="1163"/>
      <c r="G129" s="1243">
        <f t="shared" si="41"/>
        <v>20</v>
      </c>
      <c r="H129" s="1248">
        <f t="shared" si="42"/>
        <v>20</v>
      </c>
      <c r="I129" s="1249">
        <f t="shared" si="34"/>
        <v>44.799990442668701</v>
      </c>
      <c r="J129" s="1179">
        <v>6696.43</v>
      </c>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row>
    <row r="130" spans="1:45" s="116" customFormat="1" ht="12.75" customHeight="1" x14ac:dyDescent="0.2">
      <c r="A130" s="972"/>
      <c r="B130" s="979" t="s">
        <v>1412</v>
      </c>
      <c r="C130" s="874">
        <v>30000</v>
      </c>
      <c r="D130" s="874">
        <v>30000</v>
      </c>
      <c r="E130" s="1163">
        <v>17000</v>
      </c>
      <c r="F130" s="1163"/>
      <c r="G130" s="1243">
        <f t="shared" si="41"/>
        <v>56.666666666666664</v>
      </c>
      <c r="H130" s="1248">
        <f t="shared" si="42"/>
        <v>56.666666666666664</v>
      </c>
      <c r="I130" s="1249">
        <f t="shared" si="34"/>
        <v>60.714285714285708</v>
      </c>
      <c r="J130" s="1179">
        <v>28000</v>
      </c>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row>
    <row r="131" spans="1:45" s="116" customFormat="1" ht="12.75" customHeight="1" x14ac:dyDescent="0.2">
      <c r="A131" s="972"/>
      <c r="B131" s="979" t="s">
        <v>2099</v>
      </c>
      <c r="C131" s="874">
        <v>0</v>
      </c>
      <c r="D131" s="874">
        <v>0</v>
      </c>
      <c r="E131" s="1163">
        <v>1000</v>
      </c>
      <c r="F131" s="1163"/>
      <c r="G131" s="1243">
        <v>0</v>
      </c>
      <c r="H131" s="1248">
        <v>0</v>
      </c>
      <c r="I131" s="1249">
        <v>0</v>
      </c>
      <c r="J131" s="1179">
        <v>0</v>
      </c>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row>
    <row r="132" spans="1:45" s="116" customFormat="1" ht="12.75" customHeight="1" x14ac:dyDescent="0.2">
      <c r="A132" s="972"/>
      <c r="B132" s="979" t="s">
        <v>1243</v>
      </c>
      <c r="C132" s="874">
        <v>100000</v>
      </c>
      <c r="D132" s="874">
        <v>100000</v>
      </c>
      <c r="E132" s="1163">
        <v>69864.3</v>
      </c>
      <c r="F132" s="1163"/>
      <c r="G132" s="1243">
        <f t="shared" si="41"/>
        <v>69.8643</v>
      </c>
      <c r="H132" s="1248">
        <f t="shared" si="42"/>
        <v>69.8643</v>
      </c>
      <c r="I132" s="1249">
        <f t="shared" si="34"/>
        <v>124.38386064737583</v>
      </c>
      <c r="J132" s="1179">
        <v>56168.3</v>
      </c>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07"/>
      <c r="AS132" s="107"/>
    </row>
    <row r="133" spans="1:45" s="738" customFormat="1" ht="12.75" customHeight="1" x14ac:dyDescent="0.2">
      <c r="A133" s="972"/>
      <c r="B133" s="979" t="s">
        <v>1244</v>
      </c>
      <c r="C133" s="874">
        <v>150000</v>
      </c>
      <c r="D133" s="874">
        <f>150000+180000</f>
        <v>330000</v>
      </c>
      <c r="E133" s="1163">
        <v>424868.35</v>
      </c>
      <c r="F133" s="1163"/>
      <c r="G133" s="1243">
        <f t="shared" si="41"/>
        <v>283.24556666666666</v>
      </c>
      <c r="H133" s="1248">
        <f t="shared" si="42"/>
        <v>128.74798484848483</v>
      </c>
      <c r="I133" s="1249">
        <f t="shared" si="34"/>
        <v>536.85115176354645</v>
      </c>
      <c r="J133" s="1179">
        <v>79140.81</v>
      </c>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row>
    <row r="134" spans="1:45" s="738" customFormat="1" ht="12.75" customHeight="1" x14ac:dyDescent="0.2">
      <c r="A134" s="972"/>
      <c r="B134" s="979" t="s">
        <v>1562</v>
      </c>
      <c r="C134" s="874">
        <v>15000</v>
      </c>
      <c r="D134" s="874">
        <v>15000</v>
      </c>
      <c r="E134" s="1163">
        <v>52616.91</v>
      </c>
      <c r="F134" s="1163"/>
      <c r="G134" s="1243">
        <f t="shared" si="41"/>
        <v>350.77940000000001</v>
      </c>
      <c r="H134" s="1248">
        <f t="shared" si="42"/>
        <v>350.77940000000001</v>
      </c>
      <c r="I134" s="1249">
        <f t="shared" si="34"/>
        <v>3705.4161971830986</v>
      </c>
      <c r="J134" s="1179">
        <v>1420</v>
      </c>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07"/>
      <c r="AS134" s="107"/>
    </row>
    <row r="135" spans="1:45" s="738" customFormat="1" ht="12.75" customHeight="1" x14ac:dyDescent="0.2">
      <c r="A135" s="972"/>
      <c r="B135" s="979" t="s">
        <v>2017</v>
      </c>
      <c r="C135" s="874">
        <v>0</v>
      </c>
      <c r="D135" s="874">
        <v>250000</v>
      </c>
      <c r="E135" s="1163">
        <v>250000</v>
      </c>
      <c r="F135" s="1163"/>
      <c r="G135" s="1243">
        <v>0</v>
      </c>
      <c r="H135" s="1248">
        <f t="shared" si="42"/>
        <v>100</v>
      </c>
      <c r="I135" s="1249">
        <v>0</v>
      </c>
      <c r="J135" s="1179">
        <v>0</v>
      </c>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row>
    <row r="136" spans="1:45" ht="12.75" customHeight="1" x14ac:dyDescent="0.2">
      <c r="A136" s="980"/>
      <c r="B136" s="981" t="s">
        <v>1245</v>
      </c>
      <c r="C136" s="874">
        <v>5000</v>
      </c>
      <c r="D136" s="874">
        <v>5000</v>
      </c>
      <c r="E136" s="1163">
        <v>664</v>
      </c>
      <c r="F136" s="1163"/>
      <c r="G136" s="1243">
        <f t="shared" si="41"/>
        <v>13.28</v>
      </c>
      <c r="H136" s="1248">
        <f t="shared" si="42"/>
        <v>13.28</v>
      </c>
      <c r="I136" s="1249">
        <f t="shared" ref="I136:I155" si="45">E136/J136*100</f>
        <v>181.12384069830878</v>
      </c>
      <c r="J136" s="1179">
        <v>366.6</v>
      </c>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row>
    <row r="137" spans="1:45" s="186" customFormat="1" ht="12.75" customHeight="1" x14ac:dyDescent="0.2">
      <c r="A137" s="971"/>
      <c r="B137" s="967" t="s">
        <v>1246</v>
      </c>
      <c r="C137" s="874">
        <v>3000000</v>
      </c>
      <c r="D137" s="874">
        <f>3000000-3000000</f>
        <v>0</v>
      </c>
      <c r="E137" s="1163">
        <v>41600</v>
      </c>
      <c r="F137" s="1163"/>
      <c r="G137" s="1243">
        <f t="shared" si="41"/>
        <v>1.3866666666666667</v>
      </c>
      <c r="H137" s="1248">
        <v>0</v>
      </c>
      <c r="I137" s="1249">
        <v>0</v>
      </c>
      <c r="J137" s="1612">
        <v>0</v>
      </c>
      <c r="K137" s="859"/>
      <c r="L137" s="859"/>
      <c r="M137" s="859"/>
      <c r="N137" s="859"/>
      <c r="O137" s="859"/>
      <c r="P137" s="859"/>
      <c r="Q137" s="859"/>
      <c r="R137" s="859"/>
      <c r="S137" s="859"/>
      <c r="T137" s="859"/>
      <c r="U137" s="859"/>
      <c r="V137" s="859"/>
      <c r="W137" s="859"/>
      <c r="X137" s="859"/>
      <c r="Y137" s="859"/>
      <c r="Z137" s="859"/>
      <c r="AA137" s="859"/>
      <c r="AB137" s="859"/>
      <c r="AC137" s="859"/>
      <c r="AD137" s="859"/>
      <c r="AE137" s="859"/>
      <c r="AF137" s="859"/>
      <c r="AG137" s="859"/>
      <c r="AH137" s="859"/>
      <c r="AI137" s="859"/>
      <c r="AJ137" s="859"/>
      <c r="AK137" s="859"/>
      <c r="AL137" s="859"/>
      <c r="AM137" s="859"/>
      <c r="AN137" s="859"/>
      <c r="AO137" s="859"/>
      <c r="AP137" s="859"/>
      <c r="AQ137" s="859"/>
      <c r="AR137" s="859"/>
      <c r="AS137" s="859"/>
    </row>
    <row r="138" spans="1:45" s="186" customFormat="1" ht="12.75" customHeight="1" x14ac:dyDescent="0.2">
      <c r="A138" s="971"/>
      <c r="B138" s="967" t="s">
        <v>2056</v>
      </c>
      <c r="C138" s="874">
        <v>0</v>
      </c>
      <c r="D138" s="874">
        <v>3000000</v>
      </c>
      <c r="E138" s="1163">
        <v>3802146.8</v>
      </c>
      <c r="F138" s="1163"/>
      <c r="G138" s="1243">
        <v>0</v>
      </c>
      <c r="H138" s="1248">
        <f t="shared" si="42"/>
        <v>126.73822666666665</v>
      </c>
      <c r="I138" s="1249">
        <f t="shared" si="45"/>
        <v>209.2954955706069</v>
      </c>
      <c r="J138" s="1612">
        <v>1816640.53</v>
      </c>
      <c r="K138" s="859"/>
      <c r="L138" s="859"/>
      <c r="M138" s="859"/>
      <c r="N138" s="859"/>
      <c r="O138" s="859"/>
      <c r="P138" s="859"/>
      <c r="Q138" s="859"/>
      <c r="R138" s="859"/>
      <c r="S138" s="859"/>
      <c r="T138" s="859"/>
      <c r="U138" s="859"/>
      <c r="V138" s="859"/>
      <c r="W138" s="859"/>
      <c r="X138" s="859"/>
      <c r="Y138" s="859"/>
      <c r="Z138" s="859"/>
      <c r="AA138" s="859"/>
      <c r="AB138" s="859"/>
      <c r="AC138" s="859"/>
      <c r="AD138" s="859"/>
      <c r="AE138" s="859"/>
      <c r="AF138" s="859"/>
      <c r="AG138" s="859"/>
      <c r="AH138" s="859"/>
      <c r="AI138" s="859"/>
      <c r="AJ138" s="859"/>
      <c r="AK138" s="859"/>
      <c r="AL138" s="859"/>
      <c r="AM138" s="859"/>
      <c r="AN138" s="859"/>
      <c r="AO138" s="859"/>
      <c r="AP138" s="859"/>
      <c r="AQ138" s="859"/>
      <c r="AR138" s="859"/>
      <c r="AS138" s="859"/>
    </row>
    <row r="139" spans="1:45" s="186" customFormat="1" ht="12.75" customHeight="1" x14ac:dyDescent="0.2">
      <c r="A139" s="971"/>
      <c r="B139" s="967" t="s">
        <v>1946</v>
      </c>
      <c r="C139" s="1150">
        <v>0</v>
      </c>
      <c r="D139" s="1150">
        <v>1000</v>
      </c>
      <c r="E139" s="1163">
        <v>3000</v>
      </c>
      <c r="F139" s="1163"/>
      <c r="G139" s="1243">
        <v>0</v>
      </c>
      <c r="H139" s="1248">
        <f t="shared" si="42"/>
        <v>300</v>
      </c>
      <c r="I139" s="1249">
        <f t="shared" si="45"/>
        <v>300</v>
      </c>
      <c r="J139" s="1612">
        <v>1000</v>
      </c>
      <c r="K139" s="859"/>
      <c r="L139" s="859"/>
      <c r="M139" s="859"/>
      <c r="N139" s="859"/>
      <c r="O139" s="859"/>
      <c r="P139" s="859"/>
      <c r="Q139" s="859"/>
      <c r="R139" s="859"/>
      <c r="S139" s="859"/>
      <c r="T139" s="859"/>
      <c r="U139" s="859"/>
      <c r="V139" s="859"/>
      <c r="W139" s="859"/>
      <c r="X139" s="859"/>
      <c r="Y139" s="859"/>
      <c r="Z139" s="859"/>
      <c r="AA139" s="859"/>
      <c r="AB139" s="859"/>
      <c r="AC139" s="859"/>
      <c r="AD139" s="859"/>
      <c r="AE139" s="859"/>
      <c r="AF139" s="859"/>
      <c r="AG139" s="859"/>
      <c r="AH139" s="859"/>
      <c r="AI139" s="859"/>
      <c r="AJ139" s="859"/>
      <c r="AK139" s="859"/>
      <c r="AL139" s="859"/>
      <c r="AM139" s="859"/>
      <c r="AN139" s="859"/>
      <c r="AO139" s="859"/>
      <c r="AP139" s="859"/>
      <c r="AQ139" s="859"/>
      <c r="AR139" s="859"/>
      <c r="AS139" s="859"/>
    </row>
    <row r="140" spans="1:45" s="186" customFormat="1" ht="12.75" customHeight="1" x14ac:dyDescent="0.2">
      <c r="A140" s="971"/>
      <c r="B140" s="967" t="s">
        <v>1247</v>
      </c>
      <c r="C140" s="874">
        <v>3000</v>
      </c>
      <c r="D140" s="874">
        <v>3000</v>
      </c>
      <c r="E140" s="1163">
        <v>1133</v>
      </c>
      <c r="F140" s="1163"/>
      <c r="G140" s="1243">
        <f t="shared" si="41"/>
        <v>37.766666666666666</v>
      </c>
      <c r="H140" s="1248">
        <f t="shared" si="42"/>
        <v>37.766666666666666</v>
      </c>
      <c r="I140" s="1249">
        <f t="shared" si="45"/>
        <v>125.88749013899844</v>
      </c>
      <c r="J140" s="1612">
        <v>900.01</v>
      </c>
      <c r="K140" s="859"/>
      <c r="L140" s="859"/>
      <c r="M140" s="859"/>
      <c r="N140" s="859"/>
      <c r="O140" s="859"/>
      <c r="P140" s="859"/>
      <c r="Q140" s="859"/>
      <c r="R140" s="859"/>
      <c r="S140" s="859"/>
      <c r="T140" s="859"/>
      <c r="U140" s="859"/>
      <c r="V140" s="859"/>
      <c r="W140" s="859"/>
      <c r="X140" s="859"/>
      <c r="Y140" s="859"/>
      <c r="Z140" s="859"/>
      <c r="AA140" s="859"/>
      <c r="AB140" s="859"/>
      <c r="AC140" s="859"/>
      <c r="AD140" s="859"/>
      <c r="AE140" s="859"/>
      <c r="AF140" s="859"/>
      <c r="AG140" s="859"/>
      <c r="AH140" s="859"/>
      <c r="AI140" s="859"/>
      <c r="AJ140" s="859"/>
      <c r="AK140" s="859"/>
      <c r="AL140" s="859"/>
      <c r="AM140" s="859"/>
      <c r="AN140" s="859"/>
      <c r="AO140" s="859"/>
      <c r="AP140" s="859"/>
      <c r="AQ140" s="859"/>
      <c r="AR140" s="859"/>
      <c r="AS140" s="859"/>
    </row>
    <row r="141" spans="1:45" s="186" customFormat="1" ht="12.75" customHeight="1" x14ac:dyDescent="0.2">
      <c r="A141" s="971"/>
      <c r="B141" s="967" t="s">
        <v>1248</v>
      </c>
      <c r="C141" s="874">
        <v>60000</v>
      </c>
      <c r="D141" s="874">
        <v>60000</v>
      </c>
      <c r="E141" s="1163">
        <v>28402.09</v>
      </c>
      <c r="F141" s="1163"/>
      <c r="G141" s="1243">
        <f t="shared" si="41"/>
        <v>47.336816666666664</v>
      </c>
      <c r="H141" s="1248">
        <f t="shared" si="42"/>
        <v>47.336816666666664</v>
      </c>
      <c r="I141" s="1249">
        <f t="shared" si="45"/>
        <v>96.453227532381618</v>
      </c>
      <c r="J141" s="1612">
        <v>29446.49</v>
      </c>
      <c r="K141" s="859"/>
      <c r="L141" s="859"/>
      <c r="M141" s="859"/>
      <c r="N141" s="859"/>
      <c r="O141" s="859"/>
      <c r="P141" s="859"/>
      <c r="Q141" s="859"/>
      <c r="R141" s="859"/>
      <c r="S141" s="859"/>
      <c r="T141" s="859"/>
      <c r="U141" s="859"/>
      <c r="V141" s="859"/>
      <c r="W141" s="859"/>
      <c r="X141" s="859"/>
      <c r="Y141" s="859"/>
      <c r="Z141" s="859"/>
      <c r="AA141" s="859"/>
      <c r="AB141" s="859"/>
      <c r="AC141" s="859"/>
      <c r="AD141" s="859"/>
      <c r="AE141" s="859"/>
      <c r="AF141" s="859"/>
      <c r="AG141" s="859"/>
      <c r="AH141" s="859"/>
      <c r="AI141" s="859"/>
      <c r="AJ141" s="859"/>
      <c r="AK141" s="859"/>
      <c r="AL141" s="859"/>
      <c r="AM141" s="859"/>
      <c r="AN141" s="859"/>
      <c r="AO141" s="859"/>
      <c r="AP141" s="859"/>
      <c r="AQ141" s="859"/>
      <c r="AR141" s="859"/>
      <c r="AS141" s="859"/>
    </row>
    <row r="142" spans="1:45" s="186" customFormat="1" ht="12.75" customHeight="1" x14ac:dyDescent="0.2">
      <c r="A142" s="971"/>
      <c r="B142" s="967" t="s">
        <v>1945</v>
      </c>
      <c r="C142" s="1150">
        <v>0</v>
      </c>
      <c r="D142" s="1150">
        <v>0</v>
      </c>
      <c r="E142" s="1163">
        <v>9071.8700000000008</v>
      </c>
      <c r="F142" s="1163"/>
      <c r="G142" s="1243">
        <v>0</v>
      </c>
      <c r="H142" s="1248">
        <v>0</v>
      </c>
      <c r="I142" s="1249">
        <v>0</v>
      </c>
      <c r="J142" s="1612">
        <v>0</v>
      </c>
      <c r="K142" s="859"/>
      <c r="L142" s="859"/>
      <c r="M142" s="859"/>
      <c r="N142" s="859"/>
      <c r="O142" s="859"/>
      <c r="P142" s="859"/>
      <c r="Q142" s="859"/>
      <c r="R142" s="859"/>
      <c r="S142" s="859"/>
      <c r="T142" s="859"/>
      <c r="U142" s="859"/>
      <c r="V142" s="859"/>
      <c r="W142" s="859"/>
      <c r="X142" s="859"/>
      <c r="Y142" s="859"/>
      <c r="Z142" s="859"/>
      <c r="AA142" s="859"/>
      <c r="AB142" s="859"/>
      <c r="AC142" s="859"/>
      <c r="AD142" s="859"/>
      <c r="AE142" s="859"/>
      <c r="AF142" s="859"/>
      <c r="AG142" s="859"/>
      <c r="AH142" s="859"/>
      <c r="AI142" s="859"/>
      <c r="AJ142" s="859"/>
      <c r="AK142" s="859"/>
      <c r="AL142" s="859"/>
      <c r="AM142" s="859"/>
      <c r="AN142" s="859"/>
      <c r="AO142" s="859"/>
      <c r="AP142" s="859"/>
      <c r="AQ142" s="859"/>
      <c r="AR142" s="859"/>
      <c r="AS142" s="859"/>
    </row>
    <row r="143" spans="1:45" s="186" customFormat="1" ht="12.75" customHeight="1" x14ac:dyDescent="0.2">
      <c r="A143" s="982"/>
      <c r="B143" s="967" t="s">
        <v>1928</v>
      </c>
      <c r="C143" s="874">
        <v>30000</v>
      </c>
      <c r="D143" s="874">
        <v>30000</v>
      </c>
      <c r="E143" s="1163">
        <v>20461.150000000001</v>
      </c>
      <c r="F143" s="1163"/>
      <c r="G143" s="1243">
        <f t="shared" ref="G143:G162" si="46">E143/C143*100</f>
        <v>68.203833333333336</v>
      </c>
      <c r="H143" s="1248">
        <f t="shared" ref="H143:H163" si="47">E143/D143*100</f>
        <v>68.203833333333336</v>
      </c>
      <c r="I143" s="1249">
        <f t="shared" si="45"/>
        <v>121.92740542814616</v>
      </c>
      <c r="J143" s="1612">
        <v>16781.419999999998</v>
      </c>
      <c r="K143" s="859"/>
      <c r="L143" s="859"/>
      <c r="M143" s="859"/>
      <c r="N143" s="859"/>
      <c r="O143" s="859"/>
      <c r="P143" s="859"/>
      <c r="Q143" s="859"/>
      <c r="R143" s="859"/>
      <c r="S143" s="859"/>
      <c r="T143" s="859"/>
      <c r="U143" s="859"/>
      <c r="V143" s="859"/>
      <c r="W143" s="859"/>
      <c r="X143" s="859"/>
      <c r="Y143" s="859"/>
      <c r="Z143" s="859"/>
      <c r="AA143" s="859"/>
      <c r="AB143" s="859"/>
      <c r="AC143" s="859"/>
      <c r="AD143" s="859"/>
      <c r="AE143" s="859"/>
      <c r="AF143" s="859"/>
      <c r="AG143" s="859"/>
      <c r="AH143" s="859"/>
      <c r="AI143" s="859"/>
      <c r="AJ143" s="859"/>
      <c r="AK143" s="859"/>
      <c r="AL143" s="859"/>
      <c r="AM143" s="859"/>
      <c r="AN143" s="859"/>
      <c r="AO143" s="859"/>
      <c r="AP143" s="859"/>
      <c r="AQ143" s="859"/>
      <c r="AR143" s="859"/>
      <c r="AS143" s="859"/>
    </row>
    <row r="144" spans="1:45" s="186" customFormat="1" ht="13.5" customHeight="1" x14ac:dyDescent="0.2">
      <c r="A144" s="1023">
        <v>2328</v>
      </c>
      <c r="B144" s="1021" t="s">
        <v>1943</v>
      </c>
      <c r="C144" s="940">
        <v>0</v>
      </c>
      <c r="D144" s="940">
        <v>0</v>
      </c>
      <c r="E144" s="701">
        <v>64529.04</v>
      </c>
      <c r="F144" s="707"/>
      <c r="G144" s="825">
        <v>0</v>
      </c>
      <c r="H144" s="1244">
        <v>0</v>
      </c>
      <c r="I144" s="1255">
        <f t="shared" si="45"/>
        <v>75.426476267599767</v>
      </c>
      <c r="J144" s="1612">
        <v>85552.24</v>
      </c>
      <c r="K144" s="859"/>
      <c r="L144" s="859"/>
      <c r="M144" s="859"/>
      <c r="N144" s="859"/>
      <c r="O144" s="859"/>
      <c r="P144" s="859"/>
      <c r="Q144" s="859"/>
      <c r="R144" s="859"/>
      <c r="S144" s="859"/>
      <c r="T144" s="859"/>
      <c r="U144" s="859"/>
      <c r="V144" s="859"/>
      <c r="W144" s="859"/>
      <c r="X144" s="859"/>
      <c r="Y144" s="859"/>
      <c r="Z144" s="859"/>
      <c r="AA144" s="859"/>
      <c r="AB144" s="859"/>
      <c r="AC144" s="859"/>
      <c r="AD144" s="859"/>
      <c r="AE144" s="859"/>
      <c r="AF144" s="859"/>
      <c r="AG144" s="859"/>
      <c r="AH144" s="859"/>
      <c r="AI144" s="859"/>
      <c r="AJ144" s="859"/>
      <c r="AK144" s="859"/>
      <c r="AL144" s="859"/>
      <c r="AM144" s="859"/>
      <c r="AN144" s="859"/>
      <c r="AO144" s="859"/>
      <c r="AP144" s="859"/>
      <c r="AQ144" s="859"/>
      <c r="AR144" s="859"/>
      <c r="AS144" s="859"/>
    </row>
    <row r="145" spans="1:45" s="116" customFormat="1" ht="12.75" customHeight="1" x14ac:dyDescent="0.2">
      <c r="A145" s="972">
        <v>2329</v>
      </c>
      <c r="B145" s="905" t="s">
        <v>164</v>
      </c>
      <c r="C145" s="862">
        <f>SUM(C146:C163)</f>
        <v>17694387.359999999</v>
      </c>
      <c r="D145" s="862">
        <f>SUM(D146:D163)</f>
        <v>33358653.629999999</v>
      </c>
      <c r="E145" s="701">
        <v>98891140.159999996</v>
      </c>
      <c r="F145" s="707">
        <f>SUM(E146:E163)</f>
        <v>98891140.160000011</v>
      </c>
      <c r="G145" s="825">
        <f t="shared" si="46"/>
        <v>558.88422779504469</v>
      </c>
      <c r="H145" s="1244">
        <f t="shared" si="47"/>
        <v>296.4482357617261</v>
      </c>
      <c r="I145" s="1255">
        <f t="shared" si="45"/>
        <v>7913.1496001572987</v>
      </c>
      <c r="J145" s="1179">
        <v>1249706.44</v>
      </c>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row>
    <row r="146" spans="1:45" s="116" customFormat="1" ht="12.75" customHeight="1" x14ac:dyDescent="0.2">
      <c r="A146" s="972"/>
      <c r="B146" s="979" t="s">
        <v>1716</v>
      </c>
      <c r="C146" s="874">
        <v>200000</v>
      </c>
      <c r="D146" s="874">
        <v>200000</v>
      </c>
      <c r="E146" s="1163">
        <v>0</v>
      </c>
      <c r="F146" s="1163"/>
      <c r="G146" s="1243">
        <f t="shared" si="46"/>
        <v>0</v>
      </c>
      <c r="H146" s="1248">
        <f t="shared" si="47"/>
        <v>0</v>
      </c>
      <c r="I146" s="1249">
        <v>0</v>
      </c>
      <c r="J146" s="1179">
        <v>0</v>
      </c>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c r="AQ146" s="107"/>
      <c r="AR146" s="107"/>
      <c r="AS146" s="107"/>
    </row>
    <row r="147" spans="1:45" ht="12.75" customHeight="1" x14ac:dyDescent="0.2">
      <c r="A147" s="971"/>
      <c r="B147" s="967" t="s">
        <v>2100</v>
      </c>
      <c r="C147" s="874">
        <v>0</v>
      </c>
      <c r="D147" s="874">
        <v>0</v>
      </c>
      <c r="E147" s="1163">
        <v>530</v>
      </c>
      <c r="F147" s="1163"/>
      <c r="G147" s="1243">
        <v>0</v>
      </c>
      <c r="H147" s="1248">
        <v>0</v>
      </c>
      <c r="I147" s="1249">
        <v>0</v>
      </c>
      <c r="J147" s="1179">
        <v>0</v>
      </c>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row>
    <row r="148" spans="1:45" ht="12.75" customHeight="1" x14ac:dyDescent="0.2">
      <c r="A148" s="971"/>
      <c r="B148" s="967" t="s">
        <v>1331</v>
      </c>
      <c r="C148" s="874">
        <v>5000</v>
      </c>
      <c r="D148" s="874">
        <v>5000</v>
      </c>
      <c r="E148" s="1163">
        <v>0</v>
      </c>
      <c r="F148" s="1163"/>
      <c r="G148" s="1243">
        <f t="shared" si="46"/>
        <v>0</v>
      </c>
      <c r="H148" s="1248">
        <f t="shared" si="47"/>
        <v>0</v>
      </c>
      <c r="I148" s="1249">
        <v>0</v>
      </c>
      <c r="J148" s="1179">
        <v>0</v>
      </c>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row>
    <row r="149" spans="1:45" ht="12.75" customHeight="1" x14ac:dyDescent="0.2">
      <c r="A149" s="971"/>
      <c r="B149" s="967" t="s">
        <v>2060</v>
      </c>
      <c r="C149" s="874">
        <v>0</v>
      </c>
      <c r="D149" s="874">
        <v>250000</v>
      </c>
      <c r="E149" s="1163">
        <v>132750</v>
      </c>
      <c r="F149" s="1163"/>
      <c r="G149" s="1243">
        <v>0</v>
      </c>
      <c r="H149" s="1248">
        <f t="shared" si="47"/>
        <v>53.1</v>
      </c>
      <c r="I149" s="1249">
        <f t="shared" si="45"/>
        <v>110.625</v>
      </c>
      <c r="J149" s="1179">
        <v>120000</v>
      </c>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row>
    <row r="150" spans="1:45" s="737" customFormat="1" ht="12.75" customHeight="1" x14ac:dyDescent="0.2">
      <c r="A150" s="971"/>
      <c r="B150" s="967" t="s">
        <v>1017</v>
      </c>
      <c r="C150" s="874">
        <v>500000</v>
      </c>
      <c r="D150" s="874">
        <v>500000</v>
      </c>
      <c r="E150" s="1163">
        <v>733886.75</v>
      </c>
      <c r="F150" s="1163"/>
      <c r="G150" s="1243">
        <f t="shared" si="46"/>
        <v>146.77735000000001</v>
      </c>
      <c r="H150" s="1248">
        <f t="shared" si="47"/>
        <v>146.77735000000001</v>
      </c>
      <c r="I150" s="1249">
        <f t="shared" si="45"/>
        <v>72.694986003857636</v>
      </c>
      <c r="J150" s="1179">
        <v>1009542.46</v>
      </c>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row>
    <row r="151" spans="1:45" s="737" customFormat="1" ht="12.75" customHeight="1" x14ac:dyDescent="0.2">
      <c r="A151" s="971"/>
      <c r="B151" s="967" t="s">
        <v>1018</v>
      </c>
      <c r="C151" s="874">
        <v>20000</v>
      </c>
      <c r="D151" s="874">
        <v>20000</v>
      </c>
      <c r="E151" s="1163">
        <v>886.56</v>
      </c>
      <c r="F151" s="1163"/>
      <c r="G151" s="1243">
        <f t="shared" si="46"/>
        <v>4.4328000000000003</v>
      </c>
      <c r="H151" s="1248">
        <f t="shared" si="47"/>
        <v>4.4328000000000003</v>
      </c>
      <c r="I151" s="1249">
        <v>0</v>
      </c>
      <c r="J151" s="1179">
        <v>0</v>
      </c>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row>
    <row r="152" spans="1:45" ht="12.75" customHeight="1" x14ac:dyDescent="0.2">
      <c r="A152" s="971"/>
      <c r="B152" s="967" t="s">
        <v>1332</v>
      </c>
      <c r="C152" s="874">
        <v>250000</v>
      </c>
      <c r="D152" s="874">
        <f>250000-250000</f>
        <v>0</v>
      </c>
      <c r="E152" s="1163">
        <v>141722.60999999999</v>
      </c>
      <c r="F152" s="1163"/>
      <c r="G152" s="1243">
        <f t="shared" si="46"/>
        <v>56.689044000000003</v>
      </c>
      <c r="H152" s="1248">
        <v>0</v>
      </c>
      <c r="I152" s="1249">
        <v>0</v>
      </c>
      <c r="J152" s="1179">
        <v>0</v>
      </c>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row>
    <row r="153" spans="1:45" ht="12.75" customHeight="1" x14ac:dyDescent="0.2">
      <c r="A153" s="971"/>
      <c r="B153" s="967" t="s">
        <v>2101</v>
      </c>
      <c r="C153" s="874">
        <v>0</v>
      </c>
      <c r="D153" s="874">
        <v>0</v>
      </c>
      <c r="E153" s="1163">
        <v>2541</v>
      </c>
      <c r="F153" s="1163"/>
      <c r="G153" s="1243">
        <v>0</v>
      </c>
      <c r="H153" s="1248">
        <v>0</v>
      </c>
      <c r="I153" s="1249">
        <v>0</v>
      </c>
      <c r="J153" s="1179">
        <v>0</v>
      </c>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row>
    <row r="154" spans="1:45" ht="12.75" customHeight="1" x14ac:dyDescent="0.2">
      <c r="A154" s="971"/>
      <c r="B154" s="967" t="s">
        <v>1333</v>
      </c>
      <c r="C154" s="874">
        <v>50000</v>
      </c>
      <c r="D154" s="874">
        <v>50000</v>
      </c>
      <c r="E154" s="1163">
        <v>81512.3</v>
      </c>
      <c r="F154" s="1163"/>
      <c r="G154" s="1243">
        <f t="shared" si="46"/>
        <v>163.02460000000002</v>
      </c>
      <c r="H154" s="1248">
        <f t="shared" si="47"/>
        <v>163.02460000000002</v>
      </c>
      <c r="I154" s="1249">
        <f t="shared" si="45"/>
        <v>334.65931485252582</v>
      </c>
      <c r="J154" s="1179">
        <v>24356.799999999999</v>
      </c>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row>
    <row r="155" spans="1:45" ht="12.75" customHeight="1" x14ac:dyDescent="0.2">
      <c r="A155" s="971"/>
      <c r="B155" s="967" t="s">
        <v>1483</v>
      </c>
      <c r="C155" s="974">
        <v>40000</v>
      </c>
      <c r="D155" s="974">
        <v>40000</v>
      </c>
      <c r="E155" s="707">
        <v>22770</v>
      </c>
      <c r="F155" s="707"/>
      <c r="G155" s="1243">
        <f t="shared" si="46"/>
        <v>56.925000000000004</v>
      </c>
      <c r="H155" s="1248">
        <f t="shared" si="47"/>
        <v>56.925000000000004</v>
      </c>
      <c r="I155" s="1249">
        <f t="shared" si="45"/>
        <v>99.649890590809633</v>
      </c>
      <c r="J155" s="1179">
        <v>22850</v>
      </c>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row>
    <row r="156" spans="1:45" ht="12.75" customHeight="1" x14ac:dyDescent="0.2">
      <c r="A156" s="971"/>
      <c r="B156" s="969" t="s">
        <v>1931</v>
      </c>
      <c r="C156" s="983">
        <v>5500000</v>
      </c>
      <c r="D156" s="983">
        <v>5500000</v>
      </c>
      <c r="E156" s="1163">
        <v>0</v>
      </c>
      <c r="F156" s="1163"/>
      <c r="G156" s="1243">
        <f t="shared" si="46"/>
        <v>0</v>
      </c>
      <c r="H156" s="1248">
        <f t="shared" si="47"/>
        <v>0</v>
      </c>
      <c r="I156" s="1258">
        <v>0</v>
      </c>
      <c r="J156" s="1179">
        <v>0</v>
      </c>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row>
    <row r="157" spans="1:45" ht="24.75" x14ac:dyDescent="0.2">
      <c r="A157" s="971"/>
      <c r="B157" s="969" t="s">
        <v>1746</v>
      </c>
      <c r="C157" s="874">
        <v>8304000</v>
      </c>
      <c r="D157" s="874">
        <v>8304000</v>
      </c>
      <c r="E157" s="707">
        <v>0</v>
      </c>
      <c r="F157" s="707"/>
      <c r="G157" s="1243">
        <f t="shared" si="46"/>
        <v>0</v>
      </c>
      <c r="H157" s="1248">
        <f t="shared" si="47"/>
        <v>0</v>
      </c>
      <c r="I157" s="1258">
        <v>0</v>
      </c>
      <c r="J157" s="1612">
        <v>0</v>
      </c>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row>
    <row r="158" spans="1:45" ht="24.75" x14ac:dyDescent="0.2">
      <c r="A158" s="971"/>
      <c r="B158" s="969" t="s">
        <v>1932</v>
      </c>
      <c r="C158" s="983">
        <v>1000000</v>
      </c>
      <c r="D158" s="983">
        <v>1000000</v>
      </c>
      <c r="E158" s="1163">
        <v>0</v>
      </c>
      <c r="F158" s="1163"/>
      <c r="G158" s="1243">
        <f t="shared" si="46"/>
        <v>0</v>
      </c>
      <c r="H158" s="1248">
        <f t="shared" si="47"/>
        <v>0</v>
      </c>
      <c r="I158" s="1249">
        <v>0</v>
      </c>
      <c r="J158" s="1612">
        <v>0</v>
      </c>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row>
    <row r="159" spans="1:45" ht="24.75" x14ac:dyDescent="0.2">
      <c r="A159" s="984"/>
      <c r="B159" s="985" t="s">
        <v>1934</v>
      </c>
      <c r="C159" s="960">
        <v>700000</v>
      </c>
      <c r="D159" s="960">
        <v>700000</v>
      </c>
      <c r="E159" s="1163">
        <v>0</v>
      </c>
      <c r="F159" s="1163"/>
      <c r="G159" s="1243">
        <f t="shared" si="46"/>
        <v>0</v>
      </c>
      <c r="H159" s="1248">
        <f t="shared" si="47"/>
        <v>0</v>
      </c>
      <c r="I159" s="1249">
        <v>0</v>
      </c>
      <c r="J159" s="1179">
        <v>0</v>
      </c>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row>
    <row r="160" spans="1:45" x14ac:dyDescent="0.2">
      <c r="A160" s="978"/>
      <c r="B160" s="967" t="s">
        <v>1933</v>
      </c>
      <c r="C160" s="974">
        <v>125387.36</v>
      </c>
      <c r="D160" s="974">
        <v>125387.36</v>
      </c>
      <c r="E160" s="1163">
        <v>0</v>
      </c>
      <c r="F160" s="1163"/>
      <c r="G160" s="1243">
        <f t="shared" si="46"/>
        <v>0</v>
      </c>
      <c r="H160" s="1248">
        <f t="shared" si="47"/>
        <v>0</v>
      </c>
      <c r="I160" s="1249">
        <v>0</v>
      </c>
      <c r="J160" s="1179">
        <v>0</v>
      </c>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row>
    <row r="161" spans="1:45" ht="12.75" customHeight="1" x14ac:dyDescent="0.2">
      <c r="A161" s="971"/>
      <c r="B161" s="967" t="s">
        <v>1316</v>
      </c>
      <c r="C161" s="974">
        <v>0</v>
      </c>
      <c r="D161" s="974">
        <v>0</v>
      </c>
      <c r="E161" s="1331">
        <v>39680.400000000001</v>
      </c>
      <c r="F161" s="1331"/>
      <c r="G161" s="1243">
        <v>0</v>
      </c>
      <c r="H161" s="1248">
        <v>0</v>
      </c>
      <c r="I161" s="1249">
        <f t="shared" ref="I161" si="48">E161/J161*100</f>
        <v>94.465109801489575</v>
      </c>
      <c r="J161" s="1179">
        <v>42005.35</v>
      </c>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row>
    <row r="162" spans="1:45" ht="12.75" customHeight="1" x14ac:dyDescent="0.2">
      <c r="A162" s="987"/>
      <c r="B162" s="988" t="s">
        <v>2083</v>
      </c>
      <c r="C162" s="1138">
        <v>1000000</v>
      </c>
      <c r="D162" s="1138">
        <f>1000000-500000</f>
        <v>500000</v>
      </c>
      <c r="E162" s="744">
        <v>0</v>
      </c>
      <c r="F162" s="744"/>
      <c r="G162" s="1243">
        <f t="shared" si="46"/>
        <v>0</v>
      </c>
      <c r="H162" s="1248">
        <f t="shared" si="47"/>
        <v>0</v>
      </c>
      <c r="I162" s="1249">
        <v>0</v>
      </c>
      <c r="J162" s="1179">
        <v>0</v>
      </c>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row>
    <row r="163" spans="1:45" ht="12.75" customHeight="1" x14ac:dyDescent="0.2">
      <c r="A163" s="987"/>
      <c r="B163" s="988" t="s">
        <v>2084</v>
      </c>
      <c r="C163" s="1138">
        <v>0</v>
      </c>
      <c r="D163" s="1138">
        <v>16164266.27</v>
      </c>
      <c r="E163" s="744">
        <v>97734860.540000007</v>
      </c>
      <c r="F163" s="744"/>
      <c r="G163" s="1243">
        <v>0</v>
      </c>
      <c r="H163" s="1248">
        <f t="shared" si="47"/>
        <v>604.63530424137218</v>
      </c>
      <c r="I163" s="1249">
        <v>0</v>
      </c>
      <c r="J163" s="1179">
        <v>0</v>
      </c>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row>
    <row r="164" spans="1:45" ht="12.75" customHeight="1" thickBot="1" x14ac:dyDescent="0.25">
      <c r="A164" s="989"/>
      <c r="B164" s="988"/>
      <c r="C164" s="990"/>
      <c r="D164" s="990"/>
      <c r="E164" s="1143"/>
      <c r="F164" s="1143"/>
      <c r="G164" s="1143"/>
      <c r="H164" s="1143"/>
      <c r="I164" s="1400"/>
      <c r="J164" s="1179"/>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row>
    <row r="165" spans="1:45" s="116" customFormat="1" ht="18.75" customHeight="1" thickBot="1" x14ac:dyDescent="0.3">
      <c r="A165" s="991"/>
      <c r="B165" s="1215" t="s">
        <v>11</v>
      </c>
      <c r="C165" s="993">
        <f>SUM(C166:C168,C174:C174,C175,C177)</f>
        <v>72976820.010000005</v>
      </c>
      <c r="D165" s="993">
        <f>SUM(D166:D168,D174:D174,D175,D177)</f>
        <v>71051552</v>
      </c>
      <c r="E165" s="1618">
        <v>3001467</v>
      </c>
      <c r="F165" s="1619">
        <f>SUM(E166:E168,E171:E172,E174:E175,E177)</f>
        <v>3001467</v>
      </c>
      <c r="G165" s="1609">
        <f>E165/C165*100</f>
        <v>4.1129046176425739</v>
      </c>
      <c r="H165" s="1609">
        <f>E165/D165*100</f>
        <v>4.2243510739920218</v>
      </c>
      <c r="I165" s="1620">
        <f>E165/J165*100</f>
        <v>84.922924136526106</v>
      </c>
      <c r="J165" s="1179">
        <v>3534342.5</v>
      </c>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row>
    <row r="166" spans="1:45" s="116" customFormat="1" ht="24.75" x14ac:dyDescent="0.2">
      <c r="A166" s="995">
        <v>3111</v>
      </c>
      <c r="B166" s="1214" t="s">
        <v>2145</v>
      </c>
      <c r="C166" s="884">
        <v>49200000</v>
      </c>
      <c r="D166" s="884">
        <v>49200000</v>
      </c>
      <c r="E166" s="1218">
        <v>953071</v>
      </c>
      <c r="F166" s="1163"/>
      <c r="G166" s="825">
        <f>E166/C166*100</f>
        <v>1.9371361788617887</v>
      </c>
      <c r="H166" s="1244">
        <f>E166/D166*100</f>
        <v>1.9371361788617887</v>
      </c>
      <c r="I166" s="1257">
        <f t="shared" ref="I166:I167" si="49">E166/J166*100</f>
        <v>27.997717460035354</v>
      </c>
      <c r="J166" s="1612">
        <v>3404102.5</v>
      </c>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row>
    <row r="167" spans="1:45" s="116" customFormat="1" x14ac:dyDescent="0.2">
      <c r="A167" s="995">
        <v>3111</v>
      </c>
      <c r="B167" s="996" t="s">
        <v>2146</v>
      </c>
      <c r="C167" s="997">
        <v>600000</v>
      </c>
      <c r="D167" s="997">
        <v>600000</v>
      </c>
      <c r="E167" s="1218">
        <v>24970</v>
      </c>
      <c r="F167" s="1163"/>
      <c r="G167" s="825">
        <f t="shared" ref="G167" si="50">E167/C167*100</f>
        <v>4.1616666666666671</v>
      </c>
      <c r="H167" s="1244">
        <f t="shared" ref="H167" si="51">E167/D167*100</f>
        <v>4.1616666666666671</v>
      </c>
      <c r="I167" s="1255">
        <f t="shared" si="49"/>
        <v>19.172297297297298</v>
      </c>
      <c r="J167" s="1179">
        <v>130240</v>
      </c>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c r="AQ167" s="107"/>
      <c r="AR167" s="107"/>
      <c r="AS167" s="107"/>
    </row>
    <row r="168" spans="1:45" s="116" customFormat="1" x14ac:dyDescent="0.2">
      <c r="A168" s="972">
        <v>3112</v>
      </c>
      <c r="B168" s="905" t="s">
        <v>2147</v>
      </c>
      <c r="C168" s="862">
        <f>SUM(C169:C173)</f>
        <v>14648000</v>
      </c>
      <c r="D168" s="862">
        <f>SUM(D169:D173)</f>
        <v>14648000</v>
      </c>
      <c r="E168" s="701">
        <v>0</v>
      </c>
      <c r="F168" s="707">
        <f>SUM(E169:E170)</f>
        <v>0</v>
      </c>
      <c r="G168" s="825">
        <f t="shared" ref="G168:G183" si="52">E168/C168*100</f>
        <v>0</v>
      </c>
      <c r="H168" s="1244">
        <f t="shared" ref="H168:H183" si="53">E168/D168*100</f>
        <v>0</v>
      </c>
      <c r="I168" s="1255">
        <v>0</v>
      </c>
      <c r="J168" s="1179">
        <v>0</v>
      </c>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row>
    <row r="169" spans="1:45" s="738" customFormat="1" x14ac:dyDescent="0.2">
      <c r="A169" s="972"/>
      <c r="B169" s="988" t="s">
        <v>1020</v>
      </c>
      <c r="C169" s="983">
        <v>3306000</v>
      </c>
      <c r="D169" s="983">
        <v>3306000</v>
      </c>
      <c r="E169" s="707">
        <v>0</v>
      </c>
      <c r="F169" s="707"/>
      <c r="G169" s="1243">
        <f t="shared" si="52"/>
        <v>0</v>
      </c>
      <c r="H169" s="1248">
        <f t="shared" si="53"/>
        <v>0</v>
      </c>
      <c r="I169" s="1249">
        <v>0</v>
      </c>
      <c r="J169" s="1179">
        <v>0</v>
      </c>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row>
    <row r="170" spans="1:45" s="738" customFormat="1" x14ac:dyDescent="0.2">
      <c r="A170" s="972"/>
      <c r="B170" s="988" t="s">
        <v>1021</v>
      </c>
      <c r="C170" s="874">
        <v>4200000</v>
      </c>
      <c r="D170" s="874">
        <v>4200000</v>
      </c>
      <c r="E170" s="1163">
        <v>0</v>
      </c>
      <c r="F170" s="1163"/>
      <c r="G170" s="1243">
        <f t="shared" si="52"/>
        <v>0</v>
      </c>
      <c r="H170" s="1248">
        <f t="shared" si="53"/>
        <v>0</v>
      </c>
      <c r="I170" s="1249">
        <v>0</v>
      </c>
      <c r="J170" s="1179">
        <v>0</v>
      </c>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row>
    <row r="171" spans="1:45" s="738" customFormat="1" x14ac:dyDescent="0.2">
      <c r="A171" s="972"/>
      <c r="B171" s="988" t="s">
        <v>1862</v>
      </c>
      <c r="C171" s="874">
        <v>5690000</v>
      </c>
      <c r="D171" s="874">
        <v>5690000</v>
      </c>
      <c r="E171" s="1163">
        <v>0</v>
      </c>
      <c r="F171" s="1163"/>
      <c r="G171" s="1243">
        <f t="shared" si="52"/>
        <v>0</v>
      </c>
      <c r="H171" s="1248">
        <f t="shared" si="53"/>
        <v>0</v>
      </c>
      <c r="I171" s="1249">
        <v>0</v>
      </c>
      <c r="J171" s="1179">
        <v>0</v>
      </c>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c r="AP171" s="107"/>
      <c r="AQ171" s="107"/>
      <c r="AR171" s="107"/>
      <c r="AS171" s="107"/>
    </row>
    <row r="172" spans="1:45" s="738" customFormat="1" x14ac:dyDescent="0.2">
      <c r="A172" s="972"/>
      <c r="B172" s="988" t="s">
        <v>1733</v>
      </c>
      <c r="C172" s="874">
        <v>842000</v>
      </c>
      <c r="D172" s="874">
        <v>842000</v>
      </c>
      <c r="E172" s="1163">
        <v>0</v>
      </c>
      <c r="F172" s="1163"/>
      <c r="G172" s="1243">
        <f t="shared" si="52"/>
        <v>0</v>
      </c>
      <c r="H172" s="1248">
        <f t="shared" si="53"/>
        <v>0</v>
      </c>
      <c r="I172" s="1249">
        <v>0</v>
      </c>
      <c r="J172" s="1179">
        <v>0</v>
      </c>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row>
    <row r="173" spans="1:45" s="738" customFormat="1" x14ac:dyDescent="0.2">
      <c r="A173" s="972"/>
      <c r="B173" s="988" t="s">
        <v>1097</v>
      </c>
      <c r="C173" s="874">
        <v>610000</v>
      </c>
      <c r="D173" s="874">
        <v>610000</v>
      </c>
      <c r="E173" s="1163">
        <v>0</v>
      </c>
      <c r="F173" s="1163"/>
      <c r="G173" s="1243">
        <f t="shared" si="52"/>
        <v>0</v>
      </c>
      <c r="H173" s="1248">
        <f t="shared" si="53"/>
        <v>0</v>
      </c>
      <c r="I173" s="1249">
        <v>0</v>
      </c>
      <c r="J173" s="1179">
        <v>0</v>
      </c>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c r="AQ173" s="107"/>
      <c r="AR173" s="107"/>
      <c r="AS173" s="107"/>
    </row>
    <row r="174" spans="1:45" s="116" customFormat="1" x14ac:dyDescent="0.2">
      <c r="A174" s="972">
        <v>3113</v>
      </c>
      <c r="B174" s="905" t="s">
        <v>2148</v>
      </c>
      <c r="C174" s="940">
        <v>50000</v>
      </c>
      <c r="D174" s="940">
        <v>50000</v>
      </c>
      <c r="E174" s="1218">
        <v>46300</v>
      </c>
      <c r="F174" s="1163"/>
      <c r="G174" s="825">
        <f t="shared" si="52"/>
        <v>92.600000000000009</v>
      </c>
      <c r="H174" s="1244">
        <f t="shared" si="53"/>
        <v>92.600000000000009</v>
      </c>
      <c r="I174" s="1255">
        <v>0</v>
      </c>
      <c r="J174" s="1179">
        <v>0</v>
      </c>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c r="AP174" s="107"/>
      <c r="AQ174" s="107"/>
      <c r="AR174" s="107"/>
      <c r="AS174" s="107"/>
    </row>
    <row r="175" spans="1:45" s="116" customFormat="1" x14ac:dyDescent="0.2">
      <c r="A175" s="972">
        <v>3122</v>
      </c>
      <c r="B175" s="968" t="s">
        <v>1485</v>
      </c>
      <c r="C175" s="997">
        <f t="shared" ref="C175:D175" si="54">C176</f>
        <v>2372552</v>
      </c>
      <c r="D175" s="997">
        <f t="shared" si="54"/>
        <v>2372552</v>
      </c>
      <c r="E175" s="1358">
        <v>1977126</v>
      </c>
      <c r="F175" s="864"/>
      <c r="G175" s="825">
        <f t="shared" si="52"/>
        <v>83.33330523419508</v>
      </c>
      <c r="H175" s="1244">
        <f t="shared" si="53"/>
        <v>83.33330523419508</v>
      </c>
      <c r="I175" s="1255">
        <v>0</v>
      </c>
      <c r="J175" s="1179">
        <v>0</v>
      </c>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row>
    <row r="176" spans="1:45" s="116" customFormat="1" x14ac:dyDescent="0.2">
      <c r="A176" s="972"/>
      <c r="B176" s="968" t="s">
        <v>1617</v>
      </c>
      <c r="C176" s="974">
        <v>2372552</v>
      </c>
      <c r="D176" s="974">
        <v>2372552</v>
      </c>
      <c r="E176" s="744">
        <v>1977126</v>
      </c>
      <c r="F176" s="744"/>
      <c r="G176" s="1243">
        <f t="shared" si="52"/>
        <v>83.33330523419508</v>
      </c>
      <c r="H176" s="1248">
        <f t="shared" si="53"/>
        <v>83.33330523419508</v>
      </c>
      <c r="I176" s="1399">
        <v>0</v>
      </c>
      <c r="J176" s="1179">
        <v>0</v>
      </c>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07"/>
      <c r="AP176" s="107"/>
      <c r="AQ176" s="107"/>
      <c r="AR176" s="107"/>
      <c r="AS176" s="107"/>
    </row>
    <row r="177" spans="1:45" s="116" customFormat="1" ht="12.75" customHeight="1" x14ac:dyDescent="0.2">
      <c r="A177" s="972">
        <v>3129</v>
      </c>
      <c r="B177" s="905" t="s">
        <v>191</v>
      </c>
      <c r="C177" s="862">
        <f>SUM(C178:C183)</f>
        <v>6106268.0099999998</v>
      </c>
      <c r="D177" s="862">
        <f>SUM(D178:D183)</f>
        <v>4181000</v>
      </c>
      <c r="E177" s="1218">
        <v>0</v>
      </c>
      <c r="F177" s="1163">
        <f>SUM(E178:E183)</f>
        <v>0</v>
      </c>
      <c r="G177" s="825">
        <f t="shared" si="52"/>
        <v>0</v>
      </c>
      <c r="H177" s="1244">
        <f t="shared" si="53"/>
        <v>0</v>
      </c>
      <c r="I177" s="1255">
        <v>0</v>
      </c>
      <c r="J177" s="1179">
        <v>0</v>
      </c>
      <c r="K177" s="107"/>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07"/>
      <c r="AP177" s="107"/>
      <c r="AQ177" s="107"/>
      <c r="AR177" s="107"/>
      <c r="AS177" s="107"/>
    </row>
    <row r="178" spans="1:45" s="116" customFormat="1" ht="12.75" customHeight="1" x14ac:dyDescent="0.2">
      <c r="A178" s="998"/>
      <c r="B178" s="1000" t="s">
        <v>1581</v>
      </c>
      <c r="C178" s="903">
        <v>1896000</v>
      </c>
      <c r="D178" s="903">
        <v>1896000</v>
      </c>
      <c r="E178" s="744">
        <v>0</v>
      </c>
      <c r="F178" s="744"/>
      <c r="G178" s="1243">
        <f t="shared" si="52"/>
        <v>0</v>
      </c>
      <c r="H178" s="1248">
        <f t="shared" si="53"/>
        <v>0</v>
      </c>
      <c r="I178" s="1249">
        <v>0</v>
      </c>
      <c r="J178" s="1179">
        <v>0</v>
      </c>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row>
    <row r="179" spans="1:45" s="116" customFormat="1" ht="12.75" customHeight="1" x14ac:dyDescent="0.2">
      <c r="A179" s="998"/>
      <c r="B179" s="1004" t="s">
        <v>1583</v>
      </c>
      <c r="C179" s="1003">
        <v>522932</v>
      </c>
      <c r="D179" s="1003">
        <f>522932-522932</f>
        <v>0</v>
      </c>
      <c r="E179" s="744">
        <v>0</v>
      </c>
      <c r="F179" s="744"/>
      <c r="G179" s="1243">
        <f t="shared" si="52"/>
        <v>0</v>
      </c>
      <c r="H179" s="1248">
        <v>0</v>
      </c>
      <c r="I179" s="1399">
        <v>0</v>
      </c>
      <c r="J179" s="1179">
        <v>0</v>
      </c>
      <c r="K179" s="107"/>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07"/>
      <c r="AP179" s="107"/>
      <c r="AQ179" s="107"/>
      <c r="AR179" s="107"/>
      <c r="AS179" s="107"/>
    </row>
    <row r="180" spans="1:45" s="116" customFormat="1" ht="12.75" customHeight="1" x14ac:dyDescent="0.2">
      <c r="A180" s="998"/>
      <c r="B180" s="1005" t="s">
        <v>1584</v>
      </c>
      <c r="C180" s="1003">
        <v>400000</v>
      </c>
      <c r="D180" s="1003">
        <f>400000-400000</f>
        <v>0</v>
      </c>
      <c r="E180" s="744">
        <v>0</v>
      </c>
      <c r="F180" s="744"/>
      <c r="G180" s="1243">
        <f t="shared" si="52"/>
        <v>0</v>
      </c>
      <c r="H180" s="1248">
        <v>0</v>
      </c>
      <c r="I180" s="1249">
        <v>0</v>
      </c>
      <c r="J180" s="1179">
        <v>0</v>
      </c>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07"/>
      <c r="AP180" s="107"/>
      <c r="AQ180" s="107"/>
      <c r="AR180" s="107"/>
      <c r="AS180" s="107"/>
    </row>
    <row r="181" spans="1:45" s="116" customFormat="1" ht="12.75" customHeight="1" x14ac:dyDescent="0.2">
      <c r="A181" s="998"/>
      <c r="B181" s="1005" t="s">
        <v>1585</v>
      </c>
      <c r="C181" s="1003">
        <v>1002336.01</v>
      </c>
      <c r="D181" s="1003">
        <f>1002336.01-1002336.01</f>
        <v>0</v>
      </c>
      <c r="E181" s="864">
        <v>0</v>
      </c>
      <c r="F181" s="864"/>
      <c r="G181" s="1243">
        <f t="shared" si="52"/>
        <v>0</v>
      </c>
      <c r="H181" s="1248">
        <v>0</v>
      </c>
      <c r="I181" s="1249">
        <v>0</v>
      </c>
      <c r="J181" s="1179">
        <v>0</v>
      </c>
      <c r="K181" s="107"/>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c r="AO181" s="107"/>
      <c r="AP181" s="107"/>
      <c r="AQ181" s="107"/>
      <c r="AR181" s="107"/>
      <c r="AS181" s="107"/>
    </row>
    <row r="182" spans="1:45" s="116" customFormat="1" ht="12.75" customHeight="1" x14ac:dyDescent="0.2">
      <c r="A182" s="1006"/>
      <c r="B182" s="1636" t="s">
        <v>1586</v>
      </c>
      <c r="C182" s="1637">
        <v>1700000</v>
      </c>
      <c r="D182" s="1637">
        <v>1700000</v>
      </c>
      <c r="E182" s="1638">
        <v>0</v>
      </c>
      <c r="F182" s="1638"/>
      <c r="G182" s="1639">
        <f t="shared" si="52"/>
        <v>0</v>
      </c>
      <c r="H182" s="1248">
        <f t="shared" si="53"/>
        <v>0</v>
      </c>
      <c r="I182" s="1399">
        <v>0</v>
      </c>
      <c r="J182" s="1179">
        <v>0</v>
      </c>
      <c r="K182" s="107"/>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c r="AO182" s="107"/>
      <c r="AP182" s="107"/>
      <c r="AQ182" s="107"/>
      <c r="AR182" s="107"/>
      <c r="AS182" s="107"/>
    </row>
    <row r="183" spans="1:45" s="116" customFormat="1" x14ac:dyDescent="0.2">
      <c r="A183" s="1008"/>
      <c r="B183" s="1005" t="s">
        <v>1587</v>
      </c>
      <c r="C183" s="1001">
        <v>585000</v>
      </c>
      <c r="D183" s="1001">
        <v>585000</v>
      </c>
      <c r="E183" s="744">
        <v>0</v>
      </c>
      <c r="F183" s="744"/>
      <c r="G183" s="1243">
        <f t="shared" si="52"/>
        <v>0</v>
      </c>
      <c r="H183" s="1248">
        <f t="shared" si="53"/>
        <v>0</v>
      </c>
      <c r="I183" s="1399">
        <v>0</v>
      </c>
      <c r="J183" s="1179">
        <v>0</v>
      </c>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row>
    <row r="184" spans="1:45" s="116" customFormat="1" ht="13.5" thickBot="1" x14ac:dyDescent="0.25">
      <c r="A184" s="1007"/>
      <c r="B184" s="1005"/>
      <c r="C184" s="1009"/>
      <c r="D184" s="1009"/>
      <c r="E184" s="711"/>
      <c r="F184" s="711"/>
      <c r="G184" s="711"/>
      <c r="H184" s="711"/>
      <c r="I184" s="1265"/>
      <c r="J184" s="1179"/>
      <c r="K184" s="107"/>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c r="AN184" s="107"/>
      <c r="AO184" s="107"/>
      <c r="AP184" s="107"/>
      <c r="AQ184" s="107"/>
      <c r="AR184" s="107"/>
      <c r="AS184" s="107"/>
    </row>
    <row r="185" spans="1:45" s="116" customFormat="1" ht="18.75" thickBot="1" x14ac:dyDescent="0.3">
      <c r="A185" s="991"/>
      <c r="B185" s="1010" t="s">
        <v>196</v>
      </c>
      <c r="C185" s="994">
        <f>SUM(C186,C189,C190,C197,C206,C216,C219:C220,C222,C226)</f>
        <v>56420206.439999998</v>
      </c>
      <c r="D185" s="994">
        <f>SUM(D186,D189,D190,D197,D206,D216,D219:D220,D222,D226)</f>
        <v>85639315.75999999</v>
      </c>
      <c r="E185" s="1628">
        <v>62714416.380000003</v>
      </c>
      <c r="F185" s="1629">
        <f>SUM(E186,E189:E190,E197,E206,E216,E219:E220,E222,E226)</f>
        <v>62714416.380000003</v>
      </c>
      <c r="G185" s="1609">
        <f>E185/C185*100</f>
        <v>111.15594985759859</v>
      </c>
      <c r="H185" s="1609">
        <f>E185/D185*100</f>
        <v>73.230870451784199</v>
      </c>
      <c r="I185" s="1620">
        <f>E185/J185*100</f>
        <v>94.923914068078346</v>
      </c>
      <c r="J185" s="1179">
        <v>66068089.369999997</v>
      </c>
      <c r="K185" s="107"/>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c r="AN185" s="107"/>
      <c r="AO185" s="107"/>
      <c r="AP185" s="107"/>
      <c r="AQ185" s="107"/>
      <c r="AR185" s="107"/>
      <c r="AS185" s="107"/>
    </row>
    <row r="186" spans="1:45" s="116" customFormat="1" x14ac:dyDescent="0.2">
      <c r="A186" s="1011">
        <v>4111</v>
      </c>
      <c r="B186" s="1012" t="s">
        <v>197</v>
      </c>
      <c r="C186" s="1013">
        <f t="shared" ref="C186:D186" si="55">SUM(C187:C188)</f>
        <v>0</v>
      </c>
      <c r="D186" s="1013">
        <f t="shared" si="55"/>
        <v>848612.64</v>
      </c>
      <c r="E186" s="716">
        <v>848612.64</v>
      </c>
      <c r="F186" s="1269">
        <f>SUM(E187:E188)</f>
        <v>848612.64</v>
      </c>
      <c r="G186" s="825">
        <v>0</v>
      </c>
      <c r="H186" s="1244">
        <f>E186/D186*100</f>
        <v>100</v>
      </c>
      <c r="I186" s="1255">
        <v>0</v>
      </c>
      <c r="J186" s="1179">
        <v>867905.41</v>
      </c>
      <c r="K186" s="107"/>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7"/>
      <c r="AN186" s="107"/>
      <c r="AO186" s="107"/>
      <c r="AP186" s="107"/>
      <c r="AQ186" s="107"/>
      <c r="AR186" s="107"/>
      <c r="AS186" s="107"/>
    </row>
    <row r="187" spans="1:45" s="116" customFormat="1" x14ac:dyDescent="0.2">
      <c r="A187" s="1014"/>
      <c r="B187" s="1015" t="s">
        <v>2035</v>
      </c>
      <c r="C187" s="883">
        <v>0</v>
      </c>
      <c r="D187" s="883">
        <v>124612.64</v>
      </c>
      <c r="E187" s="1191">
        <v>124612.64</v>
      </c>
      <c r="F187" s="1191"/>
      <c r="G187" s="1243">
        <v>0</v>
      </c>
      <c r="H187" s="1248">
        <f t="shared" ref="H187" si="56">E187/D187*100</f>
        <v>100</v>
      </c>
      <c r="I187" s="1249">
        <f t="shared" ref="I187:I192" si="57">E187/J187*100</f>
        <v>14.419421430224485</v>
      </c>
      <c r="J187" s="1179">
        <v>864200</v>
      </c>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row>
    <row r="188" spans="1:45" s="116" customFormat="1" x14ac:dyDescent="0.2">
      <c r="A188" s="1014"/>
      <c r="B188" s="1015" t="s">
        <v>2077</v>
      </c>
      <c r="C188" s="883">
        <v>0</v>
      </c>
      <c r="D188" s="883">
        <v>724000</v>
      </c>
      <c r="E188" s="1191">
        <v>724000</v>
      </c>
      <c r="F188" s="1191"/>
      <c r="G188" s="1243">
        <v>0</v>
      </c>
      <c r="H188" s="1248">
        <f t="shared" ref="H188:H210" si="58">E188/D188*100</f>
        <v>100</v>
      </c>
      <c r="I188" s="1249">
        <v>0</v>
      </c>
      <c r="J188" s="1179">
        <v>0</v>
      </c>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row>
    <row r="189" spans="1:45" ht="25.5" x14ac:dyDescent="0.2">
      <c r="A189" s="986">
        <v>4112</v>
      </c>
      <c r="B189" s="1016" t="s">
        <v>1697</v>
      </c>
      <c r="C189" s="940">
        <f>(1016932+736317+467712+420864+713728+43008+4253687+8154340+23444493+795804+17710+1525000+1296966+241392+782383+86001+2624+348336+27880+12045)-22</f>
        <v>44387200</v>
      </c>
      <c r="D189" s="940">
        <f>(1016932+736317+467712+420864+713728+43008+4253687+8154340+23444493+795804+17710+1525000+1296966+241392+782383+86001+2624+348336+27880+12045)-22</f>
        <v>44387200</v>
      </c>
      <c r="E189" s="1218">
        <v>22193598</v>
      </c>
      <c r="F189" s="1163"/>
      <c r="G189" s="825">
        <f t="shared" ref="G189:G204" si="59">E189/C189*100</f>
        <v>49.999995494196526</v>
      </c>
      <c r="H189" s="1244">
        <f t="shared" si="58"/>
        <v>49.999995494196526</v>
      </c>
      <c r="I189" s="1257">
        <f t="shared" si="57"/>
        <v>96.142557641093518</v>
      </c>
      <c r="J189" s="1612">
        <v>23084052</v>
      </c>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row>
    <row r="190" spans="1:45" s="116" customFormat="1" x14ac:dyDescent="0.2">
      <c r="A190" s="972">
        <v>4116</v>
      </c>
      <c r="B190" s="905" t="s">
        <v>201</v>
      </c>
      <c r="C190" s="862">
        <f>SUM(C191:C196)</f>
        <v>100000</v>
      </c>
      <c r="D190" s="862">
        <f>SUM(D191:D196)</f>
        <v>5889554.2399999993</v>
      </c>
      <c r="E190" s="701">
        <v>13286922.890000001</v>
      </c>
      <c r="F190" s="707">
        <f>SUM(E191:E196)</f>
        <v>13286922.890000001</v>
      </c>
      <c r="G190" s="825">
        <f t="shared" si="59"/>
        <v>13286.92289</v>
      </c>
      <c r="H190" s="1244">
        <f t="shared" si="58"/>
        <v>225.6015030774214</v>
      </c>
      <c r="I190" s="1255">
        <f t="shared" si="57"/>
        <v>70.094209987300573</v>
      </c>
      <c r="J190" s="1179">
        <v>18955806.609999999</v>
      </c>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c r="AQ190" s="107"/>
      <c r="AR190" s="107"/>
      <c r="AS190" s="107"/>
    </row>
    <row r="191" spans="1:45" ht="12.75" customHeight="1" x14ac:dyDescent="0.2">
      <c r="A191" s="1020"/>
      <c r="B191" s="979" t="s">
        <v>2036</v>
      </c>
      <c r="C191" s="874">
        <v>0</v>
      </c>
      <c r="D191" s="874">
        <v>625431.35</v>
      </c>
      <c r="E191" s="1163">
        <v>0</v>
      </c>
      <c r="F191" s="1163"/>
      <c r="G191" s="1243">
        <v>0</v>
      </c>
      <c r="H191" s="1248">
        <f t="shared" si="58"/>
        <v>0</v>
      </c>
      <c r="I191" s="1249">
        <v>0</v>
      </c>
      <c r="J191" s="1179">
        <v>0</v>
      </c>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row>
    <row r="192" spans="1:45" ht="12.75" customHeight="1" x14ac:dyDescent="0.2">
      <c r="A192" s="1020"/>
      <c r="B192" s="979" t="s">
        <v>2102</v>
      </c>
      <c r="C192" s="874">
        <v>0</v>
      </c>
      <c r="D192" s="874">
        <v>0</v>
      </c>
      <c r="E192" s="1163">
        <v>8122800</v>
      </c>
      <c r="F192" s="1163"/>
      <c r="G192" s="1243">
        <v>0</v>
      </c>
      <c r="H192" s="1248">
        <v>0</v>
      </c>
      <c r="I192" s="1249">
        <f t="shared" si="57"/>
        <v>97.817919075144516</v>
      </c>
      <c r="J192" s="1179">
        <v>8304000</v>
      </c>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row>
    <row r="193" spans="1:45" s="116" customFormat="1" ht="12.75" customHeight="1" x14ac:dyDescent="0.2">
      <c r="A193" s="1020"/>
      <c r="B193" s="979" t="s">
        <v>2078</v>
      </c>
      <c r="C193" s="874">
        <v>0</v>
      </c>
      <c r="D193" s="874">
        <f>261245.45+4441172.63</f>
        <v>4702418.08</v>
      </c>
      <c r="E193" s="1163">
        <v>4702418.08</v>
      </c>
      <c r="F193" s="1163"/>
      <c r="G193" s="1243">
        <v>0</v>
      </c>
      <c r="H193" s="1248">
        <f t="shared" si="58"/>
        <v>100</v>
      </c>
      <c r="I193" s="1249">
        <v>0</v>
      </c>
      <c r="J193" s="1179">
        <v>0</v>
      </c>
      <c r="K193" s="107"/>
      <c r="L193" s="107"/>
      <c r="M193" s="107"/>
      <c r="N193" s="107"/>
      <c r="O193" s="107"/>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c r="AK193" s="107"/>
      <c r="AL193" s="107"/>
      <c r="AM193" s="107"/>
      <c r="AN193" s="107"/>
      <c r="AO193" s="107"/>
      <c r="AP193" s="107"/>
      <c r="AQ193" s="107"/>
      <c r="AR193" s="107"/>
      <c r="AS193" s="107"/>
    </row>
    <row r="194" spans="1:45" s="116" customFormat="1" ht="12.75" customHeight="1" x14ac:dyDescent="0.2">
      <c r="A194" s="1020"/>
      <c r="B194" s="979" t="s">
        <v>2081</v>
      </c>
      <c r="C194" s="874">
        <v>0</v>
      </c>
      <c r="D194" s="874">
        <v>61704.81</v>
      </c>
      <c r="E194" s="1163">
        <v>61704.81</v>
      </c>
      <c r="F194" s="1163"/>
      <c r="G194" s="1243">
        <v>0</v>
      </c>
      <c r="H194" s="1248">
        <f t="shared" si="58"/>
        <v>100</v>
      </c>
      <c r="I194" s="1249">
        <v>0</v>
      </c>
      <c r="J194" s="1179">
        <v>0</v>
      </c>
      <c r="K194" s="107"/>
      <c r="L194" s="107"/>
      <c r="M194" s="107"/>
      <c r="N194" s="107"/>
      <c r="O194" s="107"/>
      <c r="P194" s="107"/>
      <c r="Q194" s="107"/>
      <c r="R194" s="107"/>
      <c r="S194" s="107"/>
      <c r="T194" s="107"/>
      <c r="U194" s="107"/>
      <c r="V194" s="107"/>
      <c r="W194" s="107"/>
      <c r="X194" s="107"/>
      <c r="Y194" s="107"/>
      <c r="Z194" s="107"/>
      <c r="AA194" s="107"/>
      <c r="AB194" s="107"/>
      <c r="AC194" s="107"/>
      <c r="AD194" s="107"/>
      <c r="AE194" s="107"/>
      <c r="AF194" s="107"/>
      <c r="AG194" s="107"/>
      <c r="AH194" s="107"/>
      <c r="AI194" s="107"/>
      <c r="AJ194" s="107"/>
      <c r="AK194" s="107"/>
      <c r="AL194" s="107"/>
      <c r="AM194" s="107"/>
      <c r="AN194" s="107"/>
      <c r="AO194" s="107"/>
      <c r="AP194" s="107"/>
      <c r="AQ194" s="107"/>
      <c r="AR194" s="107"/>
      <c r="AS194" s="107"/>
    </row>
    <row r="195" spans="1:45" s="116" customFormat="1" ht="12.75" customHeight="1" x14ac:dyDescent="0.2">
      <c r="A195" s="1020"/>
      <c r="B195" s="979" t="s">
        <v>2075</v>
      </c>
      <c r="C195" s="874">
        <v>0</v>
      </c>
      <c r="D195" s="874">
        <v>400000</v>
      </c>
      <c r="E195" s="1163">
        <v>400000</v>
      </c>
      <c r="F195" s="1163"/>
      <c r="G195" s="1243">
        <v>0</v>
      </c>
      <c r="H195" s="1248">
        <f t="shared" si="58"/>
        <v>100</v>
      </c>
      <c r="I195" s="1249">
        <v>0</v>
      </c>
      <c r="J195" s="1179">
        <v>0</v>
      </c>
      <c r="K195" s="107"/>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c r="AN195" s="107"/>
      <c r="AO195" s="107"/>
      <c r="AP195" s="107"/>
      <c r="AQ195" s="107"/>
      <c r="AR195" s="107"/>
      <c r="AS195" s="107"/>
    </row>
    <row r="196" spans="1:45" s="116" customFormat="1" ht="12.75" customHeight="1" x14ac:dyDescent="0.2">
      <c r="A196" s="1020"/>
      <c r="B196" s="979" t="s">
        <v>2129</v>
      </c>
      <c r="C196" s="874">
        <v>100000</v>
      </c>
      <c r="D196" s="874">
        <v>100000</v>
      </c>
      <c r="E196" s="1163">
        <v>0</v>
      </c>
      <c r="F196" s="1163"/>
      <c r="G196" s="1243">
        <f t="shared" si="59"/>
        <v>0</v>
      </c>
      <c r="H196" s="1248">
        <f t="shared" si="58"/>
        <v>0</v>
      </c>
      <c r="I196" s="1249">
        <v>0</v>
      </c>
      <c r="J196" s="1179">
        <v>0</v>
      </c>
      <c r="K196" s="107"/>
      <c r="L196" s="107"/>
      <c r="M196" s="107"/>
      <c r="N196" s="107"/>
      <c r="O196" s="107"/>
      <c r="P196" s="107"/>
      <c r="Q196" s="107"/>
      <c r="R196" s="107"/>
      <c r="S196" s="107"/>
      <c r="T196" s="107"/>
      <c r="U196" s="107"/>
      <c r="V196" s="107"/>
      <c r="W196" s="107"/>
      <c r="X196" s="107"/>
      <c r="Y196" s="107"/>
      <c r="Z196" s="107"/>
      <c r="AA196" s="107"/>
      <c r="AB196" s="107"/>
      <c r="AC196" s="107"/>
      <c r="AD196" s="107"/>
      <c r="AE196" s="107"/>
      <c r="AF196" s="107"/>
      <c r="AG196" s="107"/>
      <c r="AH196" s="107"/>
      <c r="AI196" s="107"/>
      <c r="AJ196" s="107"/>
      <c r="AK196" s="107"/>
      <c r="AL196" s="107"/>
      <c r="AM196" s="107"/>
      <c r="AN196" s="107"/>
      <c r="AO196" s="107"/>
      <c r="AP196" s="107"/>
      <c r="AQ196" s="107"/>
      <c r="AR196" s="107"/>
      <c r="AS196" s="107"/>
    </row>
    <row r="197" spans="1:45" x14ac:dyDescent="0.2">
      <c r="A197" s="1043">
        <v>4121</v>
      </c>
      <c r="B197" s="977" t="s">
        <v>213</v>
      </c>
      <c r="C197" s="862">
        <f t="shared" ref="C197:D197" si="60">SUM(C198:C205)</f>
        <v>3747689</v>
      </c>
      <c r="D197" s="862">
        <f t="shared" si="60"/>
        <v>3747689</v>
      </c>
      <c r="E197" s="1218">
        <v>3321208</v>
      </c>
      <c r="F197" s="1163">
        <f>SUM(E198:E205)</f>
        <v>3321208</v>
      </c>
      <c r="G197" s="825">
        <f t="shared" si="59"/>
        <v>88.620160317464979</v>
      </c>
      <c r="H197" s="1244">
        <f t="shared" si="58"/>
        <v>88.620160317464979</v>
      </c>
      <c r="I197" s="1255">
        <f t="shared" ref="I197:I198" si="61">E197/J197*100</f>
        <v>166.20732727731314</v>
      </c>
      <c r="J197" s="1179">
        <v>1998232</v>
      </c>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row>
    <row r="198" spans="1:45" x14ac:dyDescent="0.2">
      <c r="A198" s="1043"/>
      <c r="B198" s="979" t="s">
        <v>1742</v>
      </c>
      <c r="C198" s="874">
        <v>420000</v>
      </c>
      <c r="D198" s="874">
        <v>420000</v>
      </c>
      <c r="E198" s="1163">
        <v>427500</v>
      </c>
      <c r="F198" s="1163"/>
      <c r="G198" s="1243">
        <f t="shared" si="59"/>
        <v>101.78571428571428</v>
      </c>
      <c r="H198" s="1248">
        <f t="shared" si="58"/>
        <v>101.78571428571428</v>
      </c>
      <c r="I198" s="1249">
        <f t="shared" si="61"/>
        <v>100</v>
      </c>
      <c r="J198" s="1179">
        <v>427500</v>
      </c>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row>
    <row r="199" spans="1:45" x14ac:dyDescent="0.2">
      <c r="A199" s="1043"/>
      <c r="B199" s="979" t="s">
        <v>1743</v>
      </c>
      <c r="C199" s="874">
        <v>3000</v>
      </c>
      <c r="D199" s="874">
        <v>3000</v>
      </c>
      <c r="E199" s="1163">
        <v>1869</v>
      </c>
      <c r="F199" s="1163"/>
      <c r="G199" s="1243">
        <f t="shared" si="59"/>
        <v>62.3</v>
      </c>
      <c r="H199" s="1248">
        <f t="shared" si="58"/>
        <v>62.3</v>
      </c>
      <c r="I199" s="1249">
        <v>0</v>
      </c>
      <c r="J199" s="1179">
        <v>0</v>
      </c>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row>
    <row r="200" spans="1:45" ht="12.75" customHeight="1" x14ac:dyDescent="0.2">
      <c r="A200" s="1043"/>
      <c r="B200" s="979" t="s">
        <v>1305</v>
      </c>
      <c r="C200" s="1457">
        <v>1459028</v>
      </c>
      <c r="D200" s="1457">
        <v>1459028</v>
      </c>
      <c r="E200" s="1163">
        <v>1375732</v>
      </c>
      <c r="F200" s="1163"/>
      <c r="G200" s="1243">
        <f t="shared" si="59"/>
        <v>94.290993730072344</v>
      </c>
      <c r="H200" s="1248">
        <f t="shared" si="58"/>
        <v>94.290993730072344</v>
      </c>
      <c r="I200" s="1249">
        <f t="shared" ref="I200:I204" si="62">E200/J200*100</f>
        <v>163.33311962919959</v>
      </c>
      <c r="J200" s="1179">
        <v>842286</v>
      </c>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row>
    <row r="201" spans="1:45" ht="12.75" customHeight="1" x14ac:dyDescent="0.2">
      <c r="A201" s="1043"/>
      <c r="B201" s="979" t="s">
        <v>1306</v>
      </c>
      <c r="C201" s="1458">
        <v>1203095</v>
      </c>
      <c r="D201" s="1458">
        <v>1203095</v>
      </c>
      <c r="E201" s="1163">
        <v>998061</v>
      </c>
      <c r="F201" s="1163"/>
      <c r="G201" s="1243">
        <f t="shared" si="59"/>
        <v>82.957788038351083</v>
      </c>
      <c r="H201" s="1248">
        <f t="shared" si="58"/>
        <v>82.957788038351083</v>
      </c>
      <c r="I201" s="1249">
        <f t="shared" si="62"/>
        <v>165.77021135240625</v>
      </c>
      <c r="J201" s="1179">
        <v>602075</v>
      </c>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row>
    <row r="202" spans="1:45" ht="12.75" customHeight="1" x14ac:dyDescent="0.2">
      <c r="A202" s="1043"/>
      <c r="B202" s="979" t="s">
        <v>1880</v>
      </c>
      <c r="C202" s="1459">
        <v>354926</v>
      </c>
      <c r="D202" s="1459">
        <v>354926</v>
      </c>
      <c r="E202" s="1163">
        <v>354926</v>
      </c>
      <c r="F202" s="1163"/>
      <c r="G202" s="1243">
        <f t="shared" si="59"/>
        <v>100</v>
      </c>
      <c r="H202" s="1248">
        <f t="shared" si="58"/>
        <v>100</v>
      </c>
      <c r="I202" s="1249">
        <f t="shared" si="62"/>
        <v>281.52866242038215</v>
      </c>
      <c r="J202" s="1179">
        <v>126071</v>
      </c>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row>
    <row r="203" spans="1:45" ht="12.75" customHeight="1" x14ac:dyDescent="0.2">
      <c r="A203" s="1043"/>
      <c r="B203" s="979" t="s">
        <v>1561</v>
      </c>
      <c r="C203" s="874">
        <v>307340</v>
      </c>
      <c r="D203" s="874">
        <v>307340</v>
      </c>
      <c r="E203" s="1163">
        <v>153670</v>
      </c>
      <c r="F203" s="1163"/>
      <c r="G203" s="1243">
        <f t="shared" si="59"/>
        <v>50</v>
      </c>
      <c r="H203" s="1248">
        <f t="shared" si="58"/>
        <v>50</v>
      </c>
      <c r="I203" s="1249">
        <v>0</v>
      </c>
      <c r="J203" s="1179">
        <v>0</v>
      </c>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row>
    <row r="204" spans="1:45" x14ac:dyDescent="0.2">
      <c r="A204" s="1043"/>
      <c r="B204" s="979" t="s">
        <v>1744</v>
      </c>
      <c r="C204" s="874">
        <v>300</v>
      </c>
      <c r="D204" s="874">
        <v>300</v>
      </c>
      <c r="E204" s="707">
        <v>450</v>
      </c>
      <c r="F204" s="707"/>
      <c r="G204" s="1243">
        <f t="shared" si="59"/>
        <v>150</v>
      </c>
      <c r="H204" s="1248">
        <f t="shared" si="58"/>
        <v>150</v>
      </c>
      <c r="I204" s="1249">
        <f t="shared" si="62"/>
        <v>150</v>
      </c>
      <c r="J204" s="1179">
        <v>300</v>
      </c>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row>
    <row r="205" spans="1:45" x14ac:dyDescent="0.2">
      <c r="A205" s="1043"/>
      <c r="B205" s="979" t="s">
        <v>2103</v>
      </c>
      <c r="C205" s="874">
        <v>0</v>
      </c>
      <c r="D205" s="874">
        <v>0</v>
      </c>
      <c r="E205" s="707">
        <v>9000</v>
      </c>
      <c r="F205" s="707"/>
      <c r="G205" s="1243">
        <v>0</v>
      </c>
      <c r="H205" s="1248">
        <v>0</v>
      </c>
      <c r="I205" s="1249">
        <v>0</v>
      </c>
      <c r="J205" s="1179">
        <v>0</v>
      </c>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row>
    <row r="206" spans="1:45" ht="12.75" customHeight="1" x14ac:dyDescent="0.2">
      <c r="A206" s="1043">
        <v>4122</v>
      </c>
      <c r="B206" s="1021" t="s">
        <v>221</v>
      </c>
      <c r="C206" s="862">
        <f>SUM(C207:C215)</f>
        <v>0</v>
      </c>
      <c r="D206" s="862">
        <f>SUM(D207:D215)</f>
        <v>9826286</v>
      </c>
      <c r="E206" s="1218">
        <v>7374786</v>
      </c>
      <c r="F206" s="1163">
        <f>SUM(E207:E215)</f>
        <v>7374786</v>
      </c>
      <c r="G206" s="825">
        <v>0</v>
      </c>
      <c r="H206" s="1244">
        <f t="shared" si="58"/>
        <v>75.051611565142721</v>
      </c>
      <c r="I206" s="1255">
        <f t="shared" ref="I206:I207" si="63">E206/J206*100</f>
        <v>85.935715443928302</v>
      </c>
      <c r="J206" s="1179">
        <v>8581747.3699999992</v>
      </c>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row>
    <row r="207" spans="1:45" s="116" customFormat="1" ht="12.75" customHeight="1" x14ac:dyDescent="0.2">
      <c r="A207" s="1020"/>
      <c r="B207" s="1123" t="s">
        <v>2015</v>
      </c>
      <c r="C207" s="874">
        <v>0</v>
      </c>
      <c r="D207" s="874">
        <v>4743000</v>
      </c>
      <c r="E207" s="1163">
        <v>2371500</v>
      </c>
      <c r="F207" s="1163"/>
      <c r="G207" s="1243">
        <v>0</v>
      </c>
      <c r="H207" s="1248">
        <f t="shared" si="58"/>
        <v>50</v>
      </c>
      <c r="I207" s="1249">
        <f t="shared" si="63"/>
        <v>104.2188529993408</v>
      </c>
      <c r="J207" s="1179">
        <v>2275500</v>
      </c>
      <c r="K207" s="107"/>
      <c r="L207" s="107"/>
      <c r="M207" s="107"/>
      <c r="N207" s="107"/>
      <c r="O207" s="107"/>
      <c r="P207" s="107"/>
      <c r="Q207" s="107"/>
      <c r="R207" s="107"/>
      <c r="S207" s="107"/>
      <c r="T207" s="107"/>
      <c r="U207" s="107"/>
      <c r="V207" s="107"/>
      <c r="W207" s="107"/>
      <c r="X207" s="107"/>
      <c r="Y207" s="107"/>
      <c r="Z207" s="107"/>
      <c r="AA207" s="107"/>
      <c r="AB207" s="107"/>
      <c r="AC207" s="107"/>
      <c r="AD207" s="107"/>
      <c r="AE207" s="107"/>
      <c r="AF207" s="107"/>
      <c r="AG207" s="107"/>
      <c r="AH207" s="107"/>
      <c r="AI207" s="107"/>
      <c r="AJ207" s="107"/>
      <c r="AK207" s="107"/>
      <c r="AL207" s="107"/>
      <c r="AM207" s="107"/>
      <c r="AN207" s="107"/>
      <c r="AO207" s="107"/>
      <c r="AP207" s="107"/>
      <c r="AQ207" s="107"/>
      <c r="AR207" s="107"/>
      <c r="AS207" s="107"/>
    </row>
    <row r="208" spans="1:45" s="116" customFormat="1" ht="12.75" customHeight="1" x14ac:dyDescent="0.2">
      <c r="A208" s="1020"/>
      <c r="B208" s="1123" t="s">
        <v>1635</v>
      </c>
      <c r="C208" s="874">
        <v>0</v>
      </c>
      <c r="D208" s="874">
        <f>80000</f>
        <v>80000</v>
      </c>
      <c r="E208" s="1163">
        <v>0</v>
      </c>
      <c r="F208" s="1163"/>
      <c r="G208" s="1243">
        <v>0</v>
      </c>
      <c r="H208" s="1248">
        <f t="shared" si="58"/>
        <v>0</v>
      </c>
      <c r="I208" s="1249">
        <v>0</v>
      </c>
      <c r="J208" s="1179">
        <v>0</v>
      </c>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row>
    <row r="209" spans="1:45" s="116" customFormat="1" ht="12.75" customHeight="1" x14ac:dyDescent="0.2">
      <c r="A209" s="1122"/>
      <c r="B209" s="1123" t="s">
        <v>2073</v>
      </c>
      <c r="C209" s="874">
        <v>0</v>
      </c>
      <c r="D209" s="874">
        <v>210200</v>
      </c>
      <c r="E209" s="1163">
        <v>210200</v>
      </c>
      <c r="F209" s="1163"/>
      <c r="G209" s="1243">
        <v>0</v>
      </c>
      <c r="H209" s="1248">
        <f t="shared" si="58"/>
        <v>100</v>
      </c>
      <c r="I209" s="1249">
        <f t="shared" ref="I209:I226" si="64">E209/J209*100</f>
        <v>467.11111111111114</v>
      </c>
      <c r="J209" s="1179">
        <v>45000</v>
      </c>
      <c r="K209" s="107"/>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107"/>
      <c r="AL209" s="107"/>
      <c r="AM209" s="107"/>
      <c r="AN209" s="107"/>
      <c r="AO209" s="107"/>
      <c r="AP209" s="107"/>
      <c r="AQ209" s="107"/>
      <c r="AR209" s="107"/>
      <c r="AS209" s="107"/>
    </row>
    <row r="210" spans="1:45" s="116" customFormat="1" ht="12.75" customHeight="1" x14ac:dyDescent="0.2">
      <c r="A210" s="1020"/>
      <c r="B210" s="1123" t="s">
        <v>2045</v>
      </c>
      <c r="C210" s="874">
        <v>0</v>
      </c>
      <c r="D210" s="874">
        <f>(3419.6+30776.4)</f>
        <v>34196</v>
      </c>
      <c r="E210" s="1163">
        <v>34196</v>
      </c>
      <c r="F210" s="1163"/>
      <c r="G210" s="1243">
        <v>0</v>
      </c>
      <c r="H210" s="1248">
        <f t="shared" si="58"/>
        <v>100</v>
      </c>
      <c r="I210" s="1249">
        <v>0</v>
      </c>
      <c r="J210" s="1179">
        <v>0</v>
      </c>
      <c r="K210" s="107"/>
      <c r="L210" s="107"/>
      <c r="M210" s="107"/>
      <c r="N210" s="107"/>
      <c r="O210" s="107"/>
      <c r="P210" s="107"/>
      <c r="Q210" s="107"/>
      <c r="R210" s="107"/>
      <c r="S210" s="107"/>
      <c r="T210" s="107"/>
      <c r="U210" s="107"/>
      <c r="V210" s="107"/>
      <c r="W210" s="107"/>
      <c r="X210" s="107"/>
      <c r="Y210" s="107"/>
      <c r="Z210" s="107"/>
      <c r="AA210" s="107"/>
      <c r="AB210" s="107"/>
      <c r="AC210" s="107"/>
      <c r="AD210" s="107"/>
      <c r="AE210" s="107"/>
      <c r="AF210" s="107"/>
      <c r="AG210" s="107"/>
      <c r="AH210" s="107"/>
      <c r="AI210" s="107"/>
      <c r="AJ210" s="107"/>
      <c r="AK210" s="107"/>
      <c r="AL210" s="107"/>
      <c r="AM210" s="107"/>
      <c r="AN210" s="107"/>
      <c r="AO210" s="107"/>
      <c r="AP210" s="107"/>
      <c r="AQ210" s="107"/>
      <c r="AR210" s="107"/>
      <c r="AS210" s="107"/>
    </row>
    <row r="211" spans="1:45" s="116" customFormat="1" ht="12.75" customHeight="1" x14ac:dyDescent="0.2">
      <c r="A211" s="1020"/>
      <c r="B211" s="1123" t="s">
        <v>2043</v>
      </c>
      <c r="C211" s="874">
        <v>0</v>
      </c>
      <c r="D211" s="874">
        <f>(4890+44010)</f>
        <v>48900</v>
      </c>
      <c r="E211" s="1163">
        <v>48900</v>
      </c>
      <c r="F211" s="1163"/>
      <c r="G211" s="1243">
        <v>0</v>
      </c>
      <c r="H211" s="1248">
        <v>0</v>
      </c>
      <c r="I211" s="1249">
        <f t="shared" si="64"/>
        <v>154.32756261864523</v>
      </c>
      <c r="J211" s="1179">
        <v>31685.85</v>
      </c>
      <c r="K211" s="107"/>
      <c r="L211" s="107"/>
      <c r="M211" s="107"/>
      <c r="N211" s="107"/>
      <c r="O211" s="107"/>
      <c r="P211" s="107"/>
      <c r="Q211" s="107"/>
      <c r="R211" s="107"/>
      <c r="S211" s="107"/>
      <c r="T211" s="107"/>
      <c r="U211" s="107"/>
      <c r="V211" s="107"/>
      <c r="W211" s="107"/>
      <c r="X211" s="107"/>
      <c r="Y211" s="107"/>
      <c r="Z211" s="107"/>
      <c r="AA211" s="107"/>
      <c r="AB211" s="107"/>
      <c r="AC211" s="107"/>
      <c r="AD211" s="107"/>
      <c r="AE211" s="107"/>
      <c r="AF211" s="107"/>
      <c r="AG211" s="107"/>
      <c r="AH211" s="107"/>
      <c r="AI211" s="107"/>
      <c r="AJ211" s="107"/>
      <c r="AK211" s="107"/>
      <c r="AL211" s="107"/>
      <c r="AM211" s="107"/>
      <c r="AN211" s="107"/>
      <c r="AO211" s="107"/>
      <c r="AP211" s="107"/>
      <c r="AQ211" s="107"/>
      <c r="AR211" s="107"/>
      <c r="AS211" s="107"/>
    </row>
    <row r="212" spans="1:45" s="116" customFormat="1" ht="12.75" customHeight="1" x14ac:dyDescent="0.2">
      <c r="A212" s="1020"/>
      <c r="B212" s="1123" t="s">
        <v>2042</v>
      </c>
      <c r="C212" s="874">
        <v>0</v>
      </c>
      <c r="D212" s="874">
        <f>(7519+67671)</f>
        <v>75190</v>
      </c>
      <c r="E212" s="1163">
        <v>75190</v>
      </c>
      <c r="F212" s="1163"/>
      <c r="G212" s="1243">
        <v>0</v>
      </c>
      <c r="H212" s="1248">
        <v>0</v>
      </c>
      <c r="I212" s="1249">
        <f t="shared" si="64"/>
        <v>624.48350753923262</v>
      </c>
      <c r="J212" s="1179">
        <v>12040.35</v>
      </c>
      <c r="K212" s="107"/>
      <c r="L212" s="107"/>
      <c r="M212" s="107"/>
      <c r="N212" s="107"/>
      <c r="O212" s="107"/>
      <c r="P212" s="107"/>
      <c r="Q212" s="107"/>
      <c r="R212" s="107"/>
      <c r="S212" s="107"/>
      <c r="T212" s="107"/>
      <c r="U212" s="107"/>
      <c r="V212" s="107"/>
      <c r="W212" s="107"/>
      <c r="X212" s="107"/>
      <c r="Y212" s="107"/>
      <c r="Z212" s="107"/>
      <c r="AA212" s="107"/>
      <c r="AB212" s="107"/>
      <c r="AC212" s="107"/>
      <c r="AD212" s="107"/>
      <c r="AE212" s="107"/>
      <c r="AF212" s="107"/>
      <c r="AG212" s="107"/>
      <c r="AH212" s="107"/>
      <c r="AI212" s="107"/>
      <c r="AJ212" s="107"/>
      <c r="AK212" s="107"/>
      <c r="AL212" s="107"/>
      <c r="AM212" s="107"/>
      <c r="AN212" s="107"/>
      <c r="AO212" s="107"/>
      <c r="AP212" s="107"/>
      <c r="AQ212" s="107"/>
      <c r="AR212" s="107"/>
      <c r="AS212" s="107"/>
    </row>
    <row r="213" spans="1:45" s="116" customFormat="1" ht="12.75" customHeight="1" x14ac:dyDescent="0.2">
      <c r="A213" s="1020"/>
      <c r="B213" s="1123" t="s">
        <v>2044</v>
      </c>
      <c r="C213" s="874">
        <v>0</v>
      </c>
      <c r="D213" s="874">
        <f>(6180+55620)</f>
        <v>61800</v>
      </c>
      <c r="E213" s="1163">
        <v>61800</v>
      </c>
      <c r="F213" s="1163"/>
      <c r="G213" s="1243">
        <v>0</v>
      </c>
      <c r="H213" s="1248">
        <v>0</v>
      </c>
      <c r="I213" s="1249">
        <f t="shared" si="64"/>
        <v>162.25936450516014</v>
      </c>
      <c r="J213" s="1179">
        <v>38087.17</v>
      </c>
      <c r="K213" s="92">
        <f>SUM(J211:J213)</f>
        <v>81813.37</v>
      </c>
      <c r="L213" s="107"/>
      <c r="M213" s="107"/>
      <c r="N213" s="107"/>
      <c r="O213" s="107"/>
      <c r="P213" s="107"/>
      <c r="Q213" s="107"/>
      <c r="R213" s="107"/>
      <c r="S213" s="107"/>
      <c r="T213" s="107"/>
      <c r="U213" s="107"/>
      <c r="V213" s="107"/>
      <c r="W213" s="107"/>
      <c r="X213" s="107"/>
      <c r="Y213" s="107"/>
      <c r="Z213" s="107"/>
      <c r="AA213" s="107"/>
      <c r="AB213" s="107"/>
      <c r="AC213" s="107"/>
      <c r="AD213" s="107"/>
      <c r="AE213" s="107"/>
      <c r="AF213" s="107"/>
      <c r="AG213" s="107"/>
      <c r="AH213" s="107"/>
      <c r="AI213" s="107"/>
      <c r="AJ213" s="107"/>
      <c r="AK213" s="107"/>
      <c r="AL213" s="107"/>
      <c r="AM213" s="107"/>
      <c r="AN213" s="107"/>
      <c r="AO213" s="107"/>
      <c r="AP213" s="107"/>
      <c r="AQ213" s="107"/>
      <c r="AR213" s="107"/>
      <c r="AS213" s="107"/>
    </row>
    <row r="214" spans="1:45" s="116" customFormat="1" ht="12.75" customHeight="1" x14ac:dyDescent="0.2">
      <c r="A214" s="1020"/>
      <c r="B214" s="1123" t="s">
        <v>1881</v>
      </c>
      <c r="C214" s="1150">
        <v>0</v>
      </c>
      <c r="D214" s="1150">
        <v>0</v>
      </c>
      <c r="E214" s="958">
        <v>1829200</v>
      </c>
      <c r="F214" s="958"/>
      <c r="G214" s="1243">
        <v>0</v>
      </c>
      <c r="H214" s="1248">
        <v>0</v>
      </c>
      <c r="I214" s="1249">
        <v>0</v>
      </c>
      <c r="J214" s="1179">
        <v>0</v>
      </c>
      <c r="K214" s="107"/>
      <c r="L214" s="107"/>
      <c r="M214" s="107"/>
      <c r="N214" s="107"/>
      <c r="O214" s="107"/>
      <c r="P214" s="107"/>
      <c r="Q214" s="107"/>
      <c r="R214" s="107"/>
      <c r="S214" s="107"/>
      <c r="T214" s="107"/>
      <c r="U214" s="107"/>
      <c r="V214" s="107"/>
      <c r="W214" s="107"/>
      <c r="X214" s="107"/>
      <c r="Y214" s="107"/>
      <c r="Z214" s="107"/>
      <c r="AA214" s="107"/>
      <c r="AB214" s="107"/>
      <c r="AC214" s="107"/>
      <c r="AD214" s="107"/>
      <c r="AE214" s="107"/>
      <c r="AF214" s="107"/>
      <c r="AG214" s="107"/>
      <c r="AH214" s="107"/>
      <c r="AI214" s="107"/>
      <c r="AJ214" s="107"/>
      <c r="AK214" s="107"/>
      <c r="AL214" s="107"/>
      <c r="AM214" s="107"/>
      <c r="AN214" s="107"/>
      <c r="AO214" s="107"/>
      <c r="AP214" s="107"/>
      <c r="AQ214" s="107"/>
      <c r="AR214" s="107"/>
      <c r="AS214" s="107"/>
    </row>
    <row r="215" spans="1:45" ht="12.75" customHeight="1" x14ac:dyDescent="0.2">
      <c r="A215" s="1544"/>
      <c r="B215" s="1559" t="s">
        <v>2082</v>
      </c>
      <c r="C215" s="1345">
        <v>0</v>
      </c>
      <c r="D215" s="1345">
        <v>4573000</v>
      </c>
      <c r="E215" s="1545">
        <v>2743800</v>
      </c>
      <c r="F215" s="1545"/>
      <c r="G215" s="1243">
        <v>0</v>
      </c>
      <c r="H215" s="1248">
        <f t="shared" ref="H215:H230" si="65">E215/D215*100</f>
        <v>60</v>
      </c>
      <c r="I215" s="1249">
        <f t="shared" si="64"/>
        <v>46.036912751677846</v>
      </c>
      <c r="J215" s="1499">
        <v>5960000</v>
      </c>
      <c r="K215" s="179"/>
    </row>
    <row r="216" spans="1:45" s="116" customFormat="1" x14ac:dyDescent="0.2">
      <c r="A216" s="1581">
        <v>4134</v>
      </c>
      <c r="B216" s="977" t="s">
        <v>1637</v>
      </c>
      <c r="C216" s="940">
        <f t="shared" ref="C216:D216" si="66">SUM(C217:C218)</f>
        <v>6000000</v>
      </c>
      <c r="D216" s="940">
        <f t="shared" si="66"/>
        <v>6000000</v>
      </c>
      <c r="E216" s="1218">
        <v>3000168.03</v>
      </c>
      <c r="F216" s="1163"/>
      <c r="G216" s="825">
        <f t="shared" ref="G216:G230" si="67">E216/C216*100</f>
        <v>50.002800499999999</v>
      </c>
      <c r="H216" s="1244">
        <f t="shared" si="65"/>
        <v>50.002800499999999</v>
      </c>
      <c r="I216" s="1255">
        <f t="shared" si="64"/>
        <v>99.900457433558785</v>
      </c>
      <c r="J216" s="1179">
        <v>3003157.45</v>
      </c>
      <c r="K216" s="107"/>
      <c r="L216" s="107"/>
      <c r="M216" s="107"/>
      <c r="N216" s="107"/>
      <c r="O216" s="107"/>
      <c r="P216" s="107"/>
      <c r="Q216" s="107"/>
      <c r="R216" s="107"/>
      <c r="S216" s="107"/>
      <c r="T216" s="107"/>
      <c r="U216" s="107"/>
      <c r="V216" s="107"/>
      <c r="W216" s="107"/>
      <c r="X216" s="107"/>
      <c r="Y216" s="107"/>
      <c r="Z216" s="107"/>
      <c r="AA216" s="107"/>
      <c r="AB216" s="107"/>
      <c r="AC216" s="107"/>
      <c r="AD216" s="107"/>
      <c r="AE216" s="107"/>
      <c r="AF216" s="107"/>
      <c r="AG216" s="107"/>
      <c r="AH216" s="107"/>
      <c r="AI216" s="107"/>
      <c r="AJ216" s="107"/>
      <c r="AK216" s="107"/>
      <c r="AL216" s="107"/>
      <c r="AM216" s="107"/>
      <c r="AN216" s="107"/>
      <c r="AO216" s="107"/>
      <c r="AP216" s="107"/>
      <c r="AQ216" s="107"/>
      <c r="AR216" s="107"/>
      <c r="AS216" s="107"/>
    </row>
    <row r="217" spans="1:45" s="116" customFormat="1" x14ac:dyDescent="0.2">
      <c r="A217" s="1022"/>
      <c r="B217" s="979" t="s">
        <v>1639</v>
      </c>
      <c r="C217" s="874">
        <v>6000000</v>
      </c>
      <c r="D217" s="874">
        <v>6000000</v>
      </c>
      <c r="E217" s="707">
        <v>3000168.03</v>
      </c>
      <c r="F217" s="707"/>
      <c r="G217" s="1243">
        <f t="shared" si="67"/>
        <v>50.002800499999999</v>
      </c>
      <c r="H217" s="1248">
        <f t="shared" si="65"/>
        <v>50.002800499999999</v>
      </c>
      <c r="I217" s="1249">
        <v>0</v>
      </c>
      <c r="J217" s="1179">
        <v>0</v>
      </c>
      <c r="K217" s="107"/>
      <c r="L217" s="107"/>
      <c r="M217" s="107"/>
      <c r="N217" s="107"/>
      <c r="O217" s="107"/>
      <c r="P217" s="107"/>
      <c r="Q217" s="107"/>
      <c r="R217" s="107"/>
      <c r="S217" s="107"/>
      <c r="T217" s="107"/>
      <c r="U217" s="107"/>
      <c r="V217" s="107"/>
      <c r="W217" s="107"/>
      <c r="X217" s="107"/>
      <c r="Y217" s="107"/>
      <c r="Z217" s="107"/>
      <c r="AA217" s="107"/>
      <c r="AB217" s="107"/>
      <c r="AC217" s="107"/>
      <c r="AD217" s="107"/>
      <c r="AE217" s="107"/>
      <c r="AF217" s="107"/>
      <c r="AG217" s="107"/>
      <c r="AH217" s="107"/>
      <c r="AI217" s="107"/>
      <c r="AJ217" s="107"/>
      <c r="AK217" s="107"/>
      <c r="AL217" s="107"/>
      <c r="AM217" s="107"/>
      <c r="AN217" s="107"/>
      <c r="AO217" s="107"/>
      <c r="AP217" s="107"/>
      <c r="AQ217" s="107"/>
      <c r="AR217" s="107"/>
      <c r="AS217" s="107"/>
    </row>
    <row r="218" spans="1:45" s="116" customFormat="1" x14ac:dyDescent="0.2">
      <c r="A218" s="1022"/>
      <c r="B218" s="979" t="s">
        <v>1699</v>
      </c>
      <c r="C218" s="874">
        <v>0</v>
      </c>
      <c r="D218" s="874">
        <v>0</v>
      </c>
      <c r="E218" s="707">
        <v>0</v>
      </c>
      <c r="F218" s="707"/>
      <c r="G218" s="1243">
        <v>0</v>
      </c>
      <c r="H218" s="1248">
        <v>0</v>
      </c>
      <c r="I218" s="1249">
        <v>0</v>
      </c>
      <c r="J218" s="1179">
        <v>0</v>
      </c>
      <c r="K218" s="107"/>
      <c r="L218" s="107"/>
      <c r="M218" s="107"/>
      <c r="N218" s="107"/>
      <c r="O218" s="107"/>
      <c r="P218" s="107"/>
      <c r="Q218" s="107"/>
      <c r="R218" s="107"/>
      <c r="S218" s="107"/>
      <c r="T218" s="107"/>
      <c r="U218" s="107"/>
      <c r="V218" s="107"/>
      <c r="W218" s="107"/>
      <c r="X218" s="107"/>
      <c r="Y218" s="107"/>
      <c r="Z218" s="107"/>
      <c r="AA218" s="107"/>
      <c r="AB218" s="107"/>
      <c r="AC218" s="107"/>
      <c r="AD218" s="107"/>
      <c r="AE218" s="107"/>
      <c r="AF218" s="107"/>
      <c r="AG218" s="107"/>
      <c r="AH218" s="107"/>
      <c r="AI218" s="107"/>
      <c r="AJ218" s="107"/>
      <c r="AK218" s="107"/>
      <c r="AL218" s="107"/>
      <c r="AM218" s="107"/>
      <c r="AN218" s="107"/>
      <c r="AO218" s="107"/>
      <c r="AP218" s="107"/>
      <c r="AQ218" s="107"/>
      <c r="AR218" s="107"/>
      <c r="AS218" s="107"/>
    </row>
    <row r="219" spans="1:45" s="116" customFormat="1" x14ac:dyDescent="0.2">
      <c r="A219" s="1581">
        <v>4140</v>
      </c>
      <c r="B219" s="977" t="s">
        <v>2149</v>
      </c>
      <c r="C219" s="940">
        <v>0</v>
      </c>
      <c r="D219" s="940">
        <v>0</v>
      </c>
      <c r="E219" s="1218">
        <v>233553.38</v>
      </c>
      <c r="F219" s="1163"/>
      <c r="G219" s="825">
        <v>0</v>
      </c>
      <c r="H219" s="1244">
        <v>0</v>
      </c>
      <c r="I219" s="1255">
        <v>0</v>
      </c>
      <c r="J219" s="1179">
        <v>0</v>
      </c>
      <c r="K219" s="107"/>
      <c r="L219" s="107"/>
      <c r="M219" s="107"/>
      <c r="N219" s="107"/>
      <c r="O219" s="107"/>
      <c r="P219" s="107"/>
      <c r="Q219" s="107"/>
      <c r="R219" s="107"/>
      <c r="S219" s="107"/>
      <c r="T219" s="107"/>
      <c r="U219" s="107"/>
      <c r="V219" s="107"/>
      <c r="W219" s="107"/>
      <c r="X219" s="107"/>
      <c r="Y219" s="107"/>
      <c r="Z219" s="107"/>
      <c r="AA219" s="107"/>
      <c r="AB219" s="107"/>
      <c r="AC219" s="107"/>
      <c r="AD219" s="107"/>
      <c r="AE219" s="107"/>
      <c r="AF219" s="107"/>
      <c r="AG219" s="107"/>
      <c r="AH219" s="107"/>
      <c r="AI219" s="107"/>
      <c r="AJ219" s="107"/>
      <c r="AK219" s="107"/>
      <c r="AL219" s="107"/>
      <c r="AM219" s="107"/>
      <c r="AN219" s="107"/>
      <c r="AO219" s="107"/>
      <c r="AP219" s="107"/>
      <c r="AQ219" s="107"/>
      <c r="AR219" s="107"/>
      <c r="AS219" s="107"/>
    </row>
    <row r="220" spans="1:45" s="116" customFormat="1" x14ac:dyDescent="0.2">
      <c r="A220" s="1043">
        <v>4213</v>
      </c>
      <c r="B220" s="977" t="s">
        <v>1404</v>
      </c>
      <c r="C220" s="862">
        <f>SUM(C221:C221)</f>
        <v>1817357.44</v>
      </c>
      <c r="D220" s="862">
        <f>SUM(D221:D221)</f>
        <v>1817357.44</v>
      </c>
      <c r="E220" s="702">
        <v>0</v>
      </c>
      <c r="F220" s="1271"/>
      <c r="G220" s="825">
        <f t="shared" si="67"/>
        <v>0</v>
      </c>
      <c r="H220" s="1244">
        <f t="shared" si="65"/>
        <v>0</v>
      </c>
      <c r="I220" s="1255">
        <v>0</v>
      </c>
      <c r="J220" s="1179">
        <v>0</v>
      </c>
      <c r="K220" s="107"/>
      <c r="L220" s="107"/>
      <c r="M220" s="107"/>
      <c r="N220" s="107"/>
      <c r="O220" s="107"/>
      <c r="P220" s="107"/>
      <c r="Q220" s="107"/>
      <c r="R220" s="107"/>
      <c r="S220" s="107"/>
      <c r="T220" s="107"/>
      <c r="U220" s="107"/>
      <c r="V220" s="107"/>
      <c r="W220" s="107"/>
      <c r="X220" s="107"/>
      <c r="Y220" s="107"/>
      <c r="Z220" s="107"/>
      <c r="AA220" s="107"/>
      <c r="AB220" s="107"/>
      <c r="AC220" s="107"/>
      <c r="AD220" s="107"/>
      <c r="AE220" s="107"/>
      <c r="AF220" s="107"/>
      <c r="AG220" s="107"/>
      <c r="AH220" s="107"/>
      <c r="AI220" s="107"/>
      <c r="AJ220" s="107"/>
      <c r="AK220" s="107"/>
      <c r="AL220" s="107"/>
      <c r="AM220" s="107"/>
      <c r="AN220" s="107"/>
      <c r="AO220" s="107"/>
      <c r="AP220" s="107"/>
      <c r="AQ220" s="107"/>
      <c r="AR220" s="107"/>
      <c r="AS220" s="107"/>
    </row>
    <row r="221" spans="1:45" s="2" customFormat="1" x14ac:dyDescent="0.2">
      <c r="A221" s="1024"/>
      <c r="B221" s="1027" t="s">
        <v>1640</v>
      </c>
      <c r="C221" s="983">
        <v>1817357.44</v>
      </c>
      <c r="D221" s="983">
        <v>1817357.44</v>
      </c>
      <c r="E221" s="707">
        <v>0</v>
      </c>
      <c r="F221" s="707"/>
      <c r="G221" s="1243">
        <f t="shared" si="67"/>
        <v>0</v>
      </c>
      <c r="H221" s="1248">
        <f t="shared" si="65"/>
        <v>0</v>
      </c>
      <c r="I221" s="1249">
        <v>0</v>
      </c>
      <c r="J221" s="92">
        <v>0</v>
      </c>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K221" s="129"/>
      <c r="AL221" s="129"/>
      <c r="AM221" s="129"/>
      <c r="AN221" s="129"/>
      <c r="AO221" s="129"/>
      <c r="AP221" s="129"/>
      <c r="AQ221" s="129"/>
      <c r="AR221" s="129"/>
      <c r="AS221" s="129"/>
    </row>
    <row r="222" spans="1:45" s="116" customFormat="1" ht="12.75" customHeight="1" x14ac:dyDescent="0.2">
      <c r="A222" s="972">
        <v>4216</v>
      </c>
      <c r="B222" s="996" t="s">
        <v>234</v>
      </c>
      <c r="C222" s="1028">
        <f>SUM(C223:C225)</f>
        <v>0</v>
      </c>
      <c r="D222" s="1028">
        <f>SUM(D223:D225)</f>
        <v>12454656.440000001</v>
      </c>
      <c r="E222" s="701">
        <v>12454656.439999999</v>
      </c>
      <c r="F222" s="707">
        <f>SUM(E223:E225)</f>
        <v>12454656.439999999</v>
      </c>
      <c r="G222" s="825">
        <v>0</v>
      </c>
      <c r="H222" s="1244">
        <f t="shared" si="65"/>
        <v>99.999999999999986</v>
      </c>
      <c r="I222" s="1255">
        <v>0</v>
      </c>
      <c r="J222" s="1179">
        <v>0</v>
      </c>
      <c r="K222" s="107"/>
      <c r="L222" s="107"/>
      <c r="M222" s="107"/>
      <c r="N222" s="107"/>
      <c r="O222" s="107"/>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7"/>
      <c r="AO222" s="107"/>
      <c r="AP222" s="107"/>
      <c r="AQ222" s="107"/>
      <c r="AR222" s="107"/>
      <c r="AS222" s="107"/>
    </row>
    <row r="223" spans="1:45" s="116" customFormat="1" ht="12.75" customHeight="1" x14ac:dyDescent="0.2">
      <c r="A223" s="1020"/>
      <c r="B223" s="979" t="s">
        <v>2079</v>
      </c>
      <c r="C223" s="874">
        <v>0</v>
      </c>
      <c r="D223" s="874">
        <f>336616.61+5722482.44</f>
        <v>6059099.0500000007</v>
      </c>
      <c r="E223" s="1163">
        <v>6059099.0499999998</v>
      </c>
      <c r="F223" s="1163"/>
      <c r="G223" s="1243">
        <v>0</v>
      </c>
      <c r="H223" s="1248">
        <f t="shared" si="65"/>
        <v>99.999999999999986</v>
      </c>
      <c r="I223" s="1249">
        <v>0</v>
      </c>
      <c r="J223" s="1179">
        <v>0</v>
      </c>
      <c r="K223" s="107"/>
      <c r="L223" s="107"/>
      <c r="M223" s="107"/>
      <c r="N223" s="107"/>
      <c r="O223" s="107"/>
      <c r="P223" s="107"/>
      <c r="Q223" s="107"/>
      <c r="R223" s="107"/>
      <c r="S223" s="107"/>
      <c r="T223" s="107"/>
      <c r="U223" s="107"/>
      <c r="V223" s="107"/>
      <c r="W223" s="107"/>
      <c r="X223" s="107"/>
      <c r="Y223" s="107"/>
      <c r="Z223" s="107"/>
      <c r="AA223" s="107"/>
      <c r="AB223" s="107"/>
      <c r="AC223" s="107"/>
      <c r="AD223" s="107"/>
      <c r="AE223" s="107"/>
      <c r="AF223" s="107"/>
      <c r="AG223" s="107"/>
      <c r="AH223" s="107"/>
      <c r="AI223" s="107"/>
      <c r="AJ223" s="107"/>
      <c r="AK223" s="107"/>
      <c r="AL223" s="107"/>
      <c r="AM223" s="107"/>
      <c r="AN223" s="107"/>
      <c r="AO223" s="107"/>
      <c r="AP223" s="107"/>
      <c r="AQ223" s="107"/>
      <c r="AR223" s="107"/>
      <c r="AS223" s="107"/>
    </row>
    <row r="224" spans="1:45" s="116" customFormat="1" ht="12.75" customHeight="1" x14ac:dyDescent="0.2">
      <c r="A224" s="1020"/>
      <c r="B224" s="979" t="s">
        <v>2080</v>
      </c>
      <c r="C224" s="874">
        <v>0</v>
      </c>
      <c r="D224" s="874">
        <v>881497.39</v>
      </c>
      <c r="E224" s="1163">
        <v>881497.39</v>
      </c>
      <c r="F224" s="1163"/>
      <c r="G224" s="1243">
        <v>0</v>
      </c>
      <c r="H224" s="1248">
        <f t="shared" si="65"/>
        <v>100</v>
      </c>
      <c r="I224" s="1249">
        <v>0</v>
      </c>
      <c r="J224" s="1179">
        <v>0</v>
      </c>
      <c r="K224" s="107"/>
      <c r="L224" s="107"/>
      <c r="M224" s="107"/>
      <c r="N224" s="107"/>
      <c r="O224" s="107"/>
      <c r="P224" s="107"/>
      <c r="Q224" s="107"/>
      <c r="R224" s="107"/>
      <c r="S224" s="107"/>
      <c r="T224" s="107"/>
      <c r="U224" s="107"/>
      <c r="V224" s="107"/>
      <c r="W224" s="107"/>
      <c r="X224" s="107"/>
      <c r="Y224" s="107"/>
      <c r="Z224" s="107"/>
      <c r="AA224" s="107"/>
      <c r="AB224" s="107"/>
      <c r="AC224" s="107"/>
      <c r="AD224" s="107"/>
      <c r="AE224" s="107"/>
      <c r="AF224" s="107"/>
      <c r="AG224" s="107"/>
      <c r="AH224" s="107"/>
      <c r="AI224" s="107"/>
      <c r="AJ224" s="107"/>
      <c r="AK224" s="107"/>
      <c r="AL224" s="107"/>
      <c r="AM224" s="107"/>
      <c r="AN224" s="107"/>
      <c r="AO224" s="107"/>
      <c r="AP224" s="107"/>
      <c r="AQ224" s="107"/>
      <c r="AR224" s="107"/>
      <c r="AS224" s="107"/>
    </row>
    <row r="225" spans="1:10" s="116" customFormat="1" ht="12.75" customHeight="1" x14ac:dyDescent="0.2">
      <c r="A225" s="998"/>
      <c r="B225" s="1025" t="s">
        <v>2048</v>
      </c>
      <c r="C225" s="983">
        <v>0</v>
      </c>
      <c r="D225" s="983">
        <v>5514060</v>
      </c>
      <c r="E225" s="1163">
        <v>5514060</v>
      </c>
      <c r="F225" s="1163"/>
      <c r="G225" s="1243">
        <v>0</v>
      </c>
      <c r="H225" s="1248">
        <f t="shared" si="65"/>
        <v>100</v>
      </c>
      <c r="I225" s="1249">
        <v>0</v>
      </c>
      <c r="J225" s="1520">
        <v>0</v>
      </c>
    </row>
    <row r="226" spans="1:10" s="116" customFormat="1" ht="12.75" customHeight="1" x14ac:dyDescent="0.2">
      <c r="A226" s="972">
        <v>4222</v>
      </c>
      <c r="B226" s="1021" t="s">
        <v>245</v>
      </c>
      <c r="C226" s="1028">
        <f>SUM(C227:C230)</f>
        <v>367960</v>
      </c>
      <c r="D226" s="1028">
        <f>SUM(D227:D230)</f>
        <v>667960</v>
      </c>
      <c r="E226" s="1218">
        <v>911</v>
      </c>
      <c r="F226" s="1163"/>
      <c r="G226" s="825">
        <f t="shared" si="67"/>
        <v>0.2475812588324818</v>
      </c>
      <c r="H226" s="1244">
        <f t="shared" si="65"/>
        <v>0.13638541230013773</v>
      </c>
      <c r="I226" s="1255">
        <f t="shared" si="64"/>
        <v>0.40509773927891718</v>
      </c>
      <c r="J226" s="1520">
        <v>224884</v>
      </c>
    </row>
    <row r="227" spans="1:10" s="116" customFormat="1" ht="12.75" customHeight="1" x14ac:dyDescent="0.2">
      <c r="A227" s="1017"/>
      <c r="B227" s="988" t="s">
        <v>2074</v>
      </c>
      <c r="C227" s="874">
        <v>0</v>
      </c>
      <c r="D227" s="874">
        <v>300000</v>
      </c>
      <c r="E227" s="1163">
        <v>0</v>
      </c>
      <c r="F227" s="1163"/>
      <c r="G227" s="1243">
        <v>0</v>
      </c>
      <c r="H227" s="1248">
        <f t="shared" si="65"/>
        <v>0</v>
      </c>
      <c r="I227" s="1249">
        <v>0</v>
      </c>
      <c r="J227" s="1520">
        <v>0</v>
      </c>
    </row>
    <row r="228" spans="1:10" s="116" customFormat="1" ht="12.75" customHeight="1" x14ac:dyDescent="0.2">
      <c r="A228" s="1017"/>
      <c r="B228" s="967" t="s">
        <v>2104</v>
      </c>
      <c r="C228" s="874">
        <v>0</v>
      </c>
      <c r="D228" s="874">
        <v>0</v>
      </c>
      <c r="E228" s="1163">
        <v>911</v>
      </c>
      <c r="F228" s="1163"/>
      <c r="G228" s="1243">
        <v>0</v>
      </c>
      <c r="H228" s="1248">
        <v>0</v>
      </c>
      <c r="I228" s="1249">
        <v>0</v>
      </c>
      <c r="J228" s="1520">
        <v>0</v>
      </c>
    </row>
    <row r="229" spans="1:10" s="116" customFormat="1" ht="12.75" customHeight="1" x14ac:dyDescent="0.2">
      <c r="A229" s="998"/>
      <c r="B229" s="1029" t="s">
        <v>1320</v>
      </c>
      <c r="C229" s="961">
        <v>79980</v>
      </c>
      <c r="D229" s="961">
        <v>79980</v>
      </c>
      <c r="E229" s="1163">
        <v>0</v>
      </c>
      <c r="F229" s="1163"/>
      <c r="G229" s="1243">
        <f t="shared" si="67"/>
        <v>0</v>
      </c>
      <c r="H229" s="1248">
        <f t="shared" si="65"/>
        <v>0</v>
      </c>
      <c r="I229" s="1249">
        <v>0</v>
      </c>
      <c r="J229" s="1520">
        <v>0</v>
      </c>
    </row>
    <row r="230" spans="1:10" s="116" customFormat="1" ht="12.75" customHeight="1" x14ac:dyDescent="0.2">
      <c r="A230" s="1030"/>
      <c r="B230" s="1031" t="s">
        <v>1644</v>
      </c>
      <c r="C230" s="958">
        <v>287980</v>
      </c>
      <c r="D230" s="958">
        <v>287980</v>
      </c>
      <c r="E230" s="744">
        <v>0</v>
      </c>
      <c r="F230" s="744"/>
      <c r="G230" s="1243">
        <f t="shared" si="67"/>
        <v>0</v>
      </c>
      <c r="H230" s="1248">
        <f t="shared" si="65"/>
        <v>0</v>
      </c>
      <c r="I230" s="1249">
        <v>0</v>
      </c>
      <c r="J230" s="1520">
        <v>0</v>
      </c>
    </row>
    <row r="231" spans="1:10" s="116" customFormat="1" ht="13.5" thickBot="1" x14ac:dyDescent="0.25">
      <c r="A231" s="1032"/>
      <c r="B231" s="1033"/>
      <c r="C231" s="990"/>
      <c r="D231" s="990"/>
      <c r="E231" s="711"/>
      <c r="F231" s="711"/>
      <c r="G231" s="711"/>
      <c r="H231" s="711"/>
      <c r="I231" s="1265"/>
      <c r="J231" s="1520"/>
    </row>
    <row r="232" spans="1:10" s="116" customFormat="1" ht="21" thickBot="1" x14ac:dyDescent="0.35">
      <c r="A232" s="1034"/>
      <c r="B232" s="1035" t="s">
        <v>13</v>
      </c>
      <c r="C232" s="1036">
        <f>SUM(C32+C66+C165+C185)</f>
        <v>839036351.17000008</v>
      </c>
      <c r="D232" s="1036">
        <f>SUM(D32+D66+D165+D185)</f>
        <v>911634266.19000006</v>
      </c>
      <c r="E232" s="1272">
        <v>566750845.60000002</v>
      </c>
      <c r="F232" s="1273">
        <f>SUM(E32,E66,E165,E185)</f>
        <v>566750845.60000002</v>
      </c>
      <c r="G232" s="1237">
        <f>E232/C232*100</f>
        <v>67.547829698878999</v>
      </c>
      <c r="H232" s="1237">
        <f>E232/D232*100</f>
        <v>62.168664191247011</v>
      </c>
      <c r="I232" s="1620">
        <f>E232/J232*100</f>
        <v>132.82458367466842</v>
      </c>
      <c r="J232" s="1520">
        <v>426691226.81999999</v>
      </c>
    </row>
    <row r="233" spans="1:10" s="116" customFormat="1" ht="16.5" thickBot="1" x14ac:dyDescent="0.3">
      <c r="A233" s="1037"/>
      <c r="B233" s="1038"/>
      <c r="C233" s="1039"/>
      <c r="D233" s="1039"/>
      <c r="E233" s="1274"/>
      <c r="F233" s="1274"/>
      <c r="G233" s="1274"/>
      <c r="H233" s="1274"/>
      <c r="I233" s="1275"/>
      <c r="J233" s="1520"/>
    </row>
    <row r="234" spans="1:10" s="116" customFormat="1" ht="18.75" thickBot="1" x14ac:dyDescent="0.3">
      <c r="A234" s="991"/>
      <c r="B234" s="992" t="s">
        <v>14</v>
      </c>
      <c r="C234" s="1040">
        <f t="shared" ref="C234:D234" si="68">SUM(C235:C238)</f>
        <v>173504211.83249995</v>
      </c>
      <c r="D234" s="1040">
        <f t="shared" si="68"/>
        <v>173504211.83249995</v>
      </c>
      <c r="E234" s="1620">
        <v>-167712452.99000001</v>
      </c>
      <c r="F234" s="1630">
        <f>SUM(E235:E238)</f>
        <v>-167712452.99000001</v>
      </c>
      <c r="G234" s="1609">
        <f>E234/C234*100</f>
        <v>-96.661891500310503</v>
      </c>
      <c r="H234" s="1609">
        <f>E234/D234*100</f>
        <v>-96.661891500310503</v>
      </c>
      <c r="I234" s="1620">
        <f>E234/J234*100</f>
        <v>208.91654667245518</v>
      </c>
      <c r="J234" s="1520">
        <v>-80277247.379999995</v>
      </c>
    </row>
    <row r="235" spans="1:10" ht="25.5" x14ac:dyDescent="0.2">
      <c r="A235" s="986">
        <v>8115</v>
      </c>
      <c r="B235" s="1041" t="s">
        <v>1951</v>
      </c>
      <c r="C235" s="1068">
        <f>50000000+97724250.45+30000000-2140560.86-400000+24200-125387.36-55000</f>
        <v>175027502.22999996</v>
      </c>
      <c r="D235" s="1068">
        <f>50000000+97724250.45+30000000-2140560.86-400000+24200-125387.36-55000</f>
        <v>175027502.22999996</v>
      </c>
      <c r="E235" s="1218">
        <v>-165538541.24000001</v>
      </c>
      <c r="F235" s="1163"/>
      <c r="G235" s="825">
        <f t="shared" ref="G235:G236" si="69">E235/C235*100</f>
        <v>-94.578588582307077</v>
      </c>
      <c r="H235" s="1244">
        <f>E235/D235*100</f>
        <v>-94.578588582307077</v>
      </c>
      <c r="I235" s="1257">
        <f t="shared" ref="I235" si="70">E235/J235*100</f>
        <v>369.71316179155667</v>
      </c>
      <c r="J235" s="1617">
        <v>-44774857.469999999</v>
      </c>
    </row>
    <row r="236" spans="1:10" ht="12.75" customHeight="1" x14ac:dyDescent="0.2">
      <c r="A236" s="986">
        <v>8124</v>
      </c>
      <c r="B236" s="1042" t="s">
        <v>1700</v>
      </c>
      <c r="C236" s="940">
        <f>-(555556*12)</f>
        <v>-6666672</v>
      </c>
      <c r="D236" s="940">
        <f>-(555556*12)</f>
        <v>-6666672</v>
      </c>
      <c r="E236" s="1218">
        <v>-3333336</v>
      </c>
      <c r="F236" s="1163"/>
      <c r="G236" s="825">
        <f t="shared" si="69"/>
        <v>50</v>
      </c>
      <c r="H236" s="1244">
        <f t="shared" ref="H236" si="71">E236/D236*100</f>
        <v>50</v>
      </c>
      <c r="I236" s="1255">
        <f t="shared" ref="I236:I239" si="72">E236/J236*100</f>
        <v>100</v>
      </c>
      <c r="J236" s="1520">
        <v>-3333336</v>
      </c>
    </row>
    <row r="237" spans="1:10" ht="27" customHeight="1" x14ac:dyDescent="0.2">
      <c r="A237" s="986">
        <v>8125</v>
      </c>
      <c r="B237" s="1042" t="s">
        <v>1950</v>
      </c>
      <c r="C237" s="997">
        <f>(102867431.07+200.98)*0.05</f>
        <v>5143381.6025</v>
      </c>
      <c r="D237" s="997">
        <f>(102867431.07+200.98)*0.05</f>
        <v>5143381.6025</v>
      </c>
      <c r="E237" s="1218">
        <v>0</v>
      </c>
      <c r="F237" s="1163"/>
      <c r="G237" s="825">
        <f t="shared" ref="G237" si="73">E237/C237*100</f>
        <v>0</v>
      </c>
      <c r="H237" s="1244">
        <f t="shared" ref="H237" si="74">E237/D237*100</f>
        <v>0</v>
      </c>
      <c r="I237" s="1257">
        <v>0</v>
      </c>
      <c r="J237" s="1617">
        <v>0</v>
      </c>
    </row>
    <row r="238" spans="1:10" s="274" customFormat="1" ht="12.75" customHeight="1" x14ac:dyDescent="0.4">
      <c r="A238" s="1043">
        <v>8901</v>
      </c>
      <c r="B238" s="1021" t="s">
        <v>254</v>
      </c>
      <c r="C238" s="862">
        <f t="shared" ref="C238:D238" si="75">SUM(C241:C241)</f>
        <v>0</v>
      </c>
      <c r="D238" s="862">
        <f t="shared" si="75"/>
        <v>0</v>
      </c>
      <c r="E238" s="701">
        <v>1159424.25</v>
      </c>
      <c r="F238" s="707"/>
      <c r="G238" s="825">
        <v>0</v>
      </c>
      <c r="H238" s="1244">
        <v>0</v>
      </c>
      <c r="I238" s="1257">
        <f t="shared" si="72"/>
        <v>-53.452993706366655</v>
      </c>
      <c r="J238" s="1626">
        <v>-2169053.91</v>
      </c>
    </row>
    <row r="239" spans="1:10" s="276" customFormat="1" ht="12.75" customHeight="1" x14ac:dyDescent="0.35">
      <c r="A239" s="1026"/>
      <c r="B239" s="1044" t="s">
        <v>1618</v>
      </c>
      <c r="C239" s="999">
        <v>0</v>
      </c>
      <c r="D239" s="999">
        <v>0</v>
      </c>
      <c r="E239" s="1262">
        <v>-2702221.01</v>
      </c>
      <c r="F239" s="1262"/>
      <c r="G239" s="1243">
        <v>0</v>
      </c>
      <c r="H239" s="1248">
        <v>0</v>
      </c>
      <c r="I239" s="1258">
        <f t="shared" si="72"/>
        <v>124.58062925692795</v>
      </c>
      <c r="J239" s="1627">
        <v>-2169053.91</v>
      </c>
    </row>
    <row r="240" spans="1:10" s="276" customFormat="1" ht="12.75" customHeight="1" x14ac:dyDescent="0.35">
      <c r="A240" s="1026"/>
      <c r="B240" s="1044" t="s">
        <v>2109</v>
      </c>
      <c r="C240" s="999">
        <v>0</v>
      </c>
      <c r="D240" s="999">
        <v>0</v>
      </c>
      <c r="E240" s="1262">
        <v>1706352.74</v>
      </c>
      <c r="F240" s="1262"/>
      <c r="G240" s="1243">
        <v>0</v>
      </c>
      <c r="H240" s="1248">
        <v>0</v>
      </c>
      <c r="I240" s="1258">
        <v>0</v>
      </c>
      <c r="J240" s="1627">
        <v>0</v>
      </c>
    </row>
    <row r="241" spans="1:11" s="276" customFormat="1" ht="12.75" customHeight="1" x14ac:dyDescent="0.35">
      <c r="A241" s="1026" t="s">
        <v>448</v>
      </c>
      <c r="B241" s="1044" t="s">
        <v>2110</v>
      </c>
      <c r="C241" s="999">
        <v>0</v>
      </c>
      <c r="D241" s="999">
        <v>0</v>
      </c>
      <c r="E241" s="1262">
        <v>1152800</v>
      </c>
      <c r="F241" s="1262"/>
      <c r="G241" s="1243">
        <v>0</v>
      </c>
      <c r="H241" s="1248">
        <v>0</v>
      </c>
      <c r="I241" s="1258">
        <v>0</v>
      </c>
      <c r="J241" s="1627">
        <v>0</v>
      </c>
    </row>
    <row r="242" spans="1:11" ht="13.5" thickBot="1" x14ac:dyDescent="0.25">
      <c r="A242" s="1045"/>
      <c r="B242" s="1046"/>
      <c r="C242" s="1067"/>
      <c r="D242" s="1067"/>
      <c r="E242" s="1277"/>
      <c r="F242" s="1277"/>
      <c r="G242" s="1277"/>
      <c r="H242" s="1277"/>
      <c r="I242" s="1278"/>
      <c r="J242" s="1520"/>
    </row>
    <row r="243" spans="1:11" s="283" customFormat="1" ht="24" customHeight="1" thickBot="1" x14ac:dyDescent="0.45">
      <c r="A243" s="1047"/>
      <c r="B243" s="1048" t="s">
        <v>15</v>
      </c>
      <c r="C243" s="1124">
        <f t="shared" ref="C243:D243" si="76">SUM(C232+C234)</f>
        <v>1012540563.0025001</v>
      </c>
      <c r="D243" s="1124">
        <f t="shared" si="76"/>
        <v>1085138478.0225</v>
      </c>
      <c r="E243" s="1349">
        <v>399038392.61000001</v>
      </c>
      <c r="F243" s="1238">
        <f>SUM(E232:E234)</f>
        <v>399038392.61000001</v>
      </c>
      <c r="G243" s="1349">
        <f>E243/C243*100</f>
        <v>39.409620433054663</v>
      </c>
      <c r="H243" s="1349">
        <f>E243/D243*100</f>
        <v>36.77303871273525</v>
      </c>
      <c r="I243" s="1631">
        <f>E243/J243*100</f>
        <v>106.01051353184567</v>
      </c>
      <c r="J243" s="1520">
        <v>376413979.44</v>
      </c>
    </row>
    <row r="244" spans="1:11" s="116" customFormat="1" ht="22.5" customHeight="1" thickBot="1" x14ac:dyDescent="0.35">
      <c r="A244" s="1049"/>
      <c r="B244" s="1050" t="s">
        <v>257</v>
      </c>
      <c r="C244" s="1051"/>
      <c r="D244" s="1051"/>
      <c r="E244" s="1281"/>
      <c r="F244" s="1281"/>
      <c r="G244" s="1281"/>
      <c r="H244" s="1281"/>
      <c r="I244" s="1275"/>
      <c r="J244" s="1520"/>
    </row>
    <row r="245" spans="1:11" ht="21" thickBot="1" x14ac:dyDescent="0.35">
      <c r="A245" s="1052"/>
      <c r="B245" s="1050" t="s">
        <v>258</v>
      </c>
      <c r="C245" s="1053">
        <f>C246+C260+C287+C297</f>
        <v>90523182</v>
      </c>
      <c r="D245" s="1053">
        <f>D246+D260+D287+D297</f>
        <v>90564543</v>
      </c>
      <c r="E245" s="1607">
        <v>28384340.98</v>
      </c>
      <c r="F245" s="1608">
        <f>SUM(E246,E260,E287,E297)</f>
        <v>28384340.979999997</v>
      </c>
      <c r="G245" s="1609">
        <f>E245/C245*100</f>
        <v>31.355880728982772</v>
      </c>
      <c r="H245" s="1609">
        <f>E245/D245*100</f>
        <v>31.341560438283228</v>
      </c>
      <c r="I245" s="1620">
        <f t="shared" ref="I245:I261" si="77">E245/J245*100</f>
        <v>120.49887730816025</v>
      </c>
      <c r="J245" s="1520">
        <v>23555689.16</v>
      </c>
      <c r="K245" s="12"/>
    </row>
    <row r="246" spans="1:11" ht="16.5" thickBot="1" x14ac:dyDescent="0.3">
      <c r="A246" s="1144"/>
      <c r="B246" s="1145" t="s">
        <v>259</v>
      </c>
      <c r="C246" s="1146">
        <f>SUM(C247+C252+C257)</f>
        <v>3825000</v>
      </c>
      <c r="D246" s="1146">
        <f>SUM(D247+D252+D257)</f>
        <v>2125000</v>
      </c>
      <c r="E246" s="1286">
        <v>432172.4</v>
      </c>
      <c r="F246" s="1287">
        <f>SUM(E247,E252,E256)</f>
        <v>432172.4</v>
      </c>
      <c r="G246" s="1237">
        <f>E246/C246*100</f>
        <v>11.298624836601308</v>
      </c>
      <c r="H246" s="1237">
        <f>E246/D246*100</f>
        <v>20.337524705882355</v>
      </c>
      <c r="I246" s="1253">
        <f t="shared" si="77"/>
        <v>103.95513450529508</v>
      </c>
      <c r="J246" s="1520">
        <v>415729.73</v>
      </c>
    </row>
    <row r="247" spans="1:11" x14ac:dyDescent="0.2">
      <c r="A247" s="1147">
        <v>2310</v>
      </c>
      <c r="B247" s="1148" t="s">
        <v>1334</v>
      </c>
      <c r="C247" s="1149">
        <f>SUM(C248:C251)</f>
        <v>1865000</v>
      </c>
      <c r="D247" s="1149">
        <f>SUM(D248:D251)</f>
        <v>165000</v>
      </c>
      <c r="E247" s="1288">
        <v>0</v>
      </c>
      <c r="F247" s="1289">
        <f>SUM(E248:E251)</f>
        <v>0</v>
      </c>
      <c r="G247" s="825">
        <f t="shared" ref="G247:G249" si="78">E247/C247*100</f>
        <v>0</v>
      </c>
      <c r="H247" s="1244">
        <f t="shared" ref="H247:H248" si="79">E247/D247*100</f>
        <v>0</v>
      </c>
      <c r="I247" s="1257">
        <f t="shared" si="77"/>
        <v>0</v>
      </c>
      <c r="J247" s="1520">
        <v>49126</v>
      </c>
    </row>
    <row r="248" spans="1:11" x14ac:dyDescent="0.2">
      <c r="A248" s="1054" t="s">
        <v>261</v>
      </c>
      <c r="B248" s="967" t="s">
        <v>262</v>
      </c>
      <c r="C248" s="1150">
        <v>15000</v>
      </c>
      <c r="D248" s="1150">
        <v>15000</v>
      </c>
      <c r="E248" s="1163">
        <v>0</v>
      </c>
      <c r="F248" s="1163"/>
      <c r="G248" s="1243">
        <f t="shared" si="78"/>
        <v>0</v>
      </c>
      <c r="H248" s="1248">
        <f t="shared" si="79"/>
        <v>0</v>
      </c>
      <c r="I248" s="1258">
        <v>0</v>
      </c>
      <c r="J248" s="1520">
        <v>0</v>
      </c>
    </row>
    <row r="249" spans="1:11" x14ac:dyDescent="0.2">
      <c r="A249" s="1054" t="s">
        <v>263</v>
      </c>
      <c r="B249" s="967" t="s">
        <v>1508</v>
      </c>
      <c r="C249" s="1150">
        <v>200000</v>
      </c>
      <c r="D249" s="1150">
        <f>200000-200000</f>
        <v>0</v>
      </c>
      <c r="E249" s="1163">
        <v>0</v>
      </c>
      <c r="F249" s="1163"/>
      <c r="G249" s="1243">
        <f t="shared" si="78"/>
        <v>0</v>
      </c>
      <c r="H249" s="1248">
        <v>0</v>
      </c>
      <c r="I249" s="1258">
        <f t="shared" si="77"/>
        <v>0</v>
      </c>
      <c r="J249" s="1520">
        <v>49126</v>
      </c>
    </row>
    <row r="250" spans="1:11" x14ac:dyDescent="0.2">
      <c r="A250" s="1054" t="s">
        <v>265</v>
      </c>
      <c r="B250" s="967" t="s">
        <v>1486</v>
      </c>
      <c r="C250" s="1150">
        <v>150000</v>
      </c>
      <c r="D250" s="1150">
        <v>150000</v>
      </c>
      <c r="E250" s="1163">
        <v>0</v>
      </c>
      <c r="F250" s="1163"/>
      <c r="G250" s="1243">
        <f t="shared" ref="G250:G259" si="80">E250/C250*100</f>
        <v>0</v>
      </c>
      <c r="H250" s="1248">
        <f t="shared" ref="H250:H259" si="81">E250/D250*100</f>
        <v>0</v>
      </c>
      <c r="I250" s="1258">
        <v>0</v>
      </c>
      <c r="J250" s="1520">
        <v>0</v>
      </c>
    </row>
    <row r="251" spans="1:11" x14ac:dyDescent="0.2">
      <c r="A251" s="1054" t="s">
        <v>1487</v>
      </c>
      <c r="B251" s="967" t="s">
        <v>1488</v>
      </c>
      <c r="C251" s="1150">
        <v>1500000</v>
      </c>
      <c r="D251" s="1150">
        <f>1500000-1500000</f>
        <v>0</v>
      </c>
      <c r="E251" s="1163">
        <v>0</v>
      </c>
      <c r="F251" s="1163"/>
      <c r="G251" s="1243">
        <f t="shared" si="80"/>
        <v>0</v>
      </c>
      <c r="H251" s="1248">
        <v>0</v>
      </c>
      <c r="I251" s="1258">
        <v>0</v>
      </c>
      <c r="J251" s="1520">
        <v>0</v>
      </c>
    </row>
    <row r="252" spans="1:11" x14ac:dyDescent="0.2">
      <c r="A252" s="972">
        <v>2321</v>
      </c>
      <c r="B252" s="905" t="s">
        <v>1335</v>
      </c>
      <c r="C252" s="862">
        <f>SUM(C253:C256)</f>
        <v>1800000</v>
      </c>
      <c r="D252" s="862">
        <f>SUM(D253:D256)</f>
        <v>1800000</v>
      </c>
      <c r="E252" s="1218">
        <v>432172.4</v>
      </c>
      <c r="F252" s="1163">
        <f>SUM(E253:E256)</f>
        <v>432172.4</v>
      </c>
      <c r="G252" s="825">
        <f t="shared" si="80"/>
        <v>24.009577777777778</v>
      </c>
      <c r="H252" s="1244">
        <f t="shared" si="81"/>
        <v>24.009577777777778</v>
      </c>
      <c r="I252" s="1257">
        <f t="shared" si="77"/>
        <v>117.88543449898887</v>
      </c>
      <c r="J252" s="1520">
        <v>366603.73</v>
      </c>
    </row>
    <row r="253" spans="1:11" x14ac:dyDescent="0.2">
      <c r="A253" s="1054" t="s">
        <v>268</v>
      </c>
      <c r="B253" s="967" t="s">
        <v>269</v>
      </c>
      <c r="C253" s="1150">
        <v>200000</v>
      </c>
      <c r="D253" s="1150">
        <v>200000</v>
      </c>
      <c r="E253" s="1163">
        <v>133255</v>
      </c>
      <c r="F253" s="1163"/>
      <c r="G253" s="1243">
        <f t="shared" si="80"/>
        <v>66.627499999999998</v>
      </c>
      <c r="H253" s="1248">
        <f t="shared" si="81"/>
        <v>66.627499999999998</v>
      </c>
      <c r="I253" s="1258">
        <f t="shared" si="77"/>
        <v>215.17730267407313</v>
      </c>
      <c r="J253" s="1520">
        <v>61928</v>
      </c>
    </row>
    <row r="254" spans="1:11" s="2" customFormat="1" x14ac:dyDescent="0.2">
      <c r="A254" s="1054" t="s">
        <v>270</v>
      </c>
      <c r="B254" s="967" t="s">
        <v>1491</v>
      </c>
      <c r="C254" s="1150">
        <v>800000</v>
      </c>
      <c r="D254" s="1150">
        <v>800000</v>
      </c>
      <c r="E254" s="1163">
        <v>245580.4</v>
      </c>
      <c r="F254" s="1163"/>
      <c r="G254" s="1243">
        <f t="shared" si="80"/>
        <v>30.69755</v>
      </c>
      <c r="H254" s="1248">
        <f t="shared" si="81"/>
        <v>30.69755</v>
      </c>
      <c r="I254" s="1258">
        <f t="shared" si="77"/>
        <v>71.87109767836364</v>
      </c>
      <c r="J254" s="96">
        <v>341695.63</v>
      </c>
    </row>
    <row r="255" spans="1:11" x14ac:dyDescent="0.2">
      <c r="A255" s="1054" t="s">
        <v>272</v>
      </c>
      <c r="B255" s="967" t="s">
        <v>1492</v>
      </c>
      <c r="C255" s="1150">
        <v>600000</v>
      </c>
      <c r="D255" s="1150">
        <v>600000</v>
      </c>
      <c r="E255" s="1163">
        <v>53337</v>
      </c>
      <c r="F255" s="1163"/>
      <c r="G255" s="1243">
        <f t="shared" si="80"/>
        <v>8.8895</v>
      </c>
      <c r="H255" s="1248">
        <f t="shared" si="81"/>
        <v>8.8895</v>
      </c>
      <c r="I255" s="1258">
        <f t="shared" si="77"/>
        <v>84.688655622966621</v>
      </c>
      <c r="J255" s="1520">
        <v>62980.1</v>
      </c>
    </row>
    <row r="256" spans="1:11" ht="24.75" x14ac:dyDescent="0.2">
      <c r="A256" s="1054" t="s">
        <v>272</v>
      </c>
      <c r="B256" s="970" t="s">
        <v>1336</v>
      </c>
      <c r="C256" s="1150">
        <v>200000</v>
      </c>
      <c r="D256" s="1150">
        <v>200000</v>
      </c>
      <c r="E256" s="735">
        <v>0</v>
      </c>
      <c r="F256" s="735"/>
      <c r="G256" s="1243">
        <f t="shared" si="80"/>
        <v>0</v>
      </c>
      <c r="H256" s="1248">
        <f t="shared" si="81"/>
        <v>0</v>
      </c>
      <c r="I256" s="1258">
        <v>0</v>
      </c>
      <c r="J256" s="1617">
        <v>0</v>
      </c>
    </row>
    <row r="257" spans="1:10" x14ac:dyDescent="0.2">
      <c r="A257" s="1151">
        <v>2333</v>
      </c>
      <c r="B257" s="1152" t="s">
        <v>2150</v>
      </c>
      <c r="C257" s="1055">
        <f t="shared" ref="C257:D257" si="82">SUM(C258:C259)</f>
        <v>160000</v>
      </c>
      <c r="D257" s="1055">
        <f t="shared" si="82"/>
        <v>160000</v>
      </c>
      <c r="E257" s="1218">
        <v>0</v>
      </c>
      <c r="F257" s="1163">
        <f>SUM(E258:E259)</f>
        <v>0</v>
      </c>
      <c r="G257" s="825">
        <f t="shared" si="80"/>
        <v>0</v>
      </c>
      <c r="H257" s="1244">
        <f t="shared" si="81"/>
        <v>0</v>
      </c>
      <c r="I257" s="1257">
        <v>0</v>
      </c>
      <c r="J257" s="1520">
        <v>0</v>
      </c>
    </row>
    <row r="258" spans="1:10" x14ac:dyDescent="0.2">
      <c r="A258" s="1054" t="s">
        <v>276</v>
      </c>
      <c r="B258" s="967" t="s">
        <v>1022</v>
      </c>
      <c r="C258" s="1150">
        <v>80000</v>
      </c>
      <c r="D258" s="1150">
        <v>80000</v>
      </c>
      <c r="E258" s="1163">
        <v>0</v>
      </c>
      <c r="F258" s="1163"/>
      <c r="G258" s="1243">
        <f t="shared" si="80"/>
        <v>0</v>
      </c>
      <c r="H258" s="1248">
        <f t="shared" si="81"/>
        <v>0</v>
      </c>
      <c r="I258" s="1258">
        <v>0</v>
      </c>
      <c r="J258" s="1520">
        <v>0</v>
      </c>
    </row>
    <row r="259" spans="1:10" ht="13.5" thickBot="1" x14ac:dyDescent="0.25">
      <c r="A259" s="1054" t="s">
        <v>278</v>
      </c>
      <c r="B259" s="967" t="s">
        <v>1023</v>
      </c>
      <c r="C259" s="957">
        <v>80000</v>
      </c>
      <c r="D259" s="957">
        <v>80000</v>
      </c>
      <c r="E259" s="709">
        <v>0</v>
      </c>
      <c r="F259" s="709"/>
      <c r="G259" s="1243">
        <f t="shared" si="80"/>
        <v>0</v>
      </c>
      <c r="H259" s="1248">
        <f t="shared" si="81"/>
        <v>0</v>
      </c>
      <c r="I259" s="1258">
        <v>0</v>
      </c>
      <c r="J259" s="1520">
        <v>0</v>
      </c>
    </row>
    <row r="260" spans="1:10" s="116" customFormat="1" ht="16.5" thickBot="1" x14ac:dyDescent="0.3">
      <c r="A260" s="1153"/>
      <c r="B260" s="1154" t="s">
        <v>279</v>
      </c>
      <c r="C260" s="1056">
        <f>SUM(C261+C274+C284)</f>
        <v>54135000</v>
      </c>
      <c r="D260" s="1056">
        <f>SUM(D261+D274+D284)</f>
        <v>55248485</v>
      </c>
      <c r="E260" s="933">
        <v>17605975.710000001</v>
      </c>
      <c r="F260" s="1290">
        <f>SUM(E261,E273,E280)</f>
        <v>16888260.439999998</v>
      </c>
      <c r="G260" s="1237">
        <f>E260/C260*100</f>
        <v>32.522352840121918</v>
      </c>
      <c r="H260" s="1237">
        <f>E260/D260*100</f>
        <v>31.866893200781888</v>
      </c>
      <c r="I260" s="1253">
        <f t="shared" si="77"/>
        <v>114.29319287610598</v>
      </c>
      <c r="J260" s="1520">
        <v>15404220.73</v>
      </c>
    </row>
    <row r="261" spans="1:10" s="116" customFormat="1" x14ac:dyDescent="0.2">
      <c r="A261" s="1007">
        <v>2212</v>
      </c>
      <c r="B261" s="1148" t="s">
        <v>1338</v>
      </c>
      <c r="C261" s="1155">
        <f>SUM(C262:C263,C265:C273)</f>
        <v>51195000</v>
      </c>
      <c r="D261" s="1155">
        <f>SUM(D262:D263,D265:D273)</f>
        <v>51941680</v>
      </c>
      <c r="E261" s="947">
        <v>16616548.439999999</v>
      </c>
      <c r="F261" s="1254">
        <f>SUM(E262:E273)</f>
        <v>16616548.440000001</v>
      </c>
      <c r="G261" s="825">
        <f t="shared" ref="G261:G262" si="83">E261/C261*100</f>
        <v>32.457365836507471</v>
      </c>
      <c r="H261" s="1244">
        <f t="shared" ref="H261:H262" si="84">E261/D261*100</f>
        <v>31.990779736042423</v>
      </c>
      <c r="I261" s="1257">
        <f t="shared" si="77"/>
        <v>109.08898303944201</v>
      </c>
      <c r="J261" s="1520">
        <v>15232105</v>
      </c>
    </row>
    <row r="262" spans="1:10" s="116" customFormat="1" x14ac:dyDescent="0.2">
      <c r="A262" s="1054" t="s">
        <v>1656</v>
      </c>
      <c r="B262" s="967" t="s">
        <v>2105</v>
      </c>
      <c r="C262" s="1158">
        <v>130000</v>
      </c>
      <c r="D262" s="1158">
        <f>130000-42086</f>
        <v>87914</v>
      </c>
      <c r="E262" s="707">
        <v>0</v>
      </c>
      <c r="F262" s="707"/>
      <c r="G262" s="1243">
        <f t="shared" si="83"/>
        <v>0</v>
      </c>
      <c r="H262" s="1248">
        <f t="shared" si="84"/>
        <v>0</v>
      </c>
      <c r="I262" s="1258">
        <v>0</v>
      </c>
      <c r="J262" s="1520">
        <v>0</v>
      </c>
    </row>
    <row r="263" spans="1:10" s="116" customFormat="1" x14ac:dyDescent="0.2">
      <c r="A263" s="1054" t="s">
        <v>1658</v>
      </c>
      <c r="B263" s="967" t="s">
        <v>2106</v>
      </c>
      <c r="C263" s="1158">
        <v>220000</v>
      </c>
      <c r="D263" s="1158">
        <f>220000+42086</f>
        <v>262086</v>
      </c>
      <c r="E263" s="1163">
        <v>0</v>
      </c>
      <c r="F263" s="1163"/>
      <c r="G263" s="1243">
        <f t="shared" ref="G263:G286" si="85">E263/C263*100</f>
        <v>0</v>
      </c>
      <c r="H263" s="1248">
        <f t="shared" ref="H263:H286" si="86">E263/D263*100</f>
        <v>0</v>
      </c>
      <c r="I263" s="1249">
        <v>0</v>
      </c>
      <c r="J263" s="1520">
        <v>0</v>
      </c>
    </row>
    <row r="264" spans="1:10" s="2" customFormat="1" x14ac:dyDescent="0.2">
      <c r="A264" s="1024"/>
      <c r="B264" s="1156" t="s">
        <v>2107</v>
      </c>
      <c r="C264" s="983">
        <f>SUM(C265:C266)</f>
        <v>12550000</v>
      </c>
      <c r="D264" s="983">
        <f>SUM(D265:D266)</f>
        <v>12550000</v>
      </c>
      <c r="E264" s="707">
        <v>0</v>
      </c>
      <c r="F264" s="707"/>
      <c r="G264" s="1243">
        <f t="shared" si="85"/>
        <v>0</v>
      </c>
      <c r="H264" s="1248">
        <f t="shared" si="86"/>
        <v>0</v>
      </c>
      <c r="I264" s="1249">
        <v>0</v>
      </c>
      <c r="J264" s="96">
        <v>0</v>
      </c>
    </row>
    <row r="265" spans="1:10" s="116" customFormat="1" x14ac:dyDescent="0.2">
      <c r="A265" s="1054" t="s">
        <v>282</v>
      </c>
      <c r="B265" s="1157" t="s">
        <v>1140</v>
      </c>
      <c r="C265" s="1150">
        <v>10750000</v>
      </c>
      <c r="D265" s="1150">
        <v>10750000</v>
      </c>
      <c r="E265" s="1163">
        <v>0</v>
      </c>
      <c r="F265" s="1163"/>
      <c r="G265" s="1243">
        <f t="shared" si="85"/>
        <v>0</v>
      </c>
      <c r="H265" s="1248">
        <f t="shared" si="86"/>
        <v>0</v>
      </c>
      <c r="I265" s="1249">
        <v>0</v>
      </c>
      <c r="J265" s="1520">
        <v>0</v>
      </c>
    </row>
    <row r="266" spans="1:10" s="116" customFormat="1" ht="25.5" x14ac:dyDescent="0.2">
      <c r="A266" s="1054" t="s">
        <v>282</v>
      </c>
      <c r="B266" s="1187" t="s">
        <v>1878</v>
      </c>
      <c r="C266" s="1150">
        <f>2200000-400000</f>
        <v>1800000</v>
      </c>
      <c r="D266" s="1150">
        <f>2200000-400000</f>
        <v>1800000</v>
      </c>
      <c r="E266" s="1163">
        <v>0</v>
      </c>
      <c r="F266" s="1163"/>
      <c r="G266" s="1243">
        <f t="shared" si="85"/>
        <v>0</v>
      </c>
      <c r="H266" s="1248">
        <f t="shared" si="86"/>
        <v>0</v>
      </c>
      <c r="I266" s="1258">
        <v>0</v>
      </c>
      <c r="J266" s="1617">
        <v>0</v>
      </c>
    </row>
    <row r="267" spans="1:10" s="116" customFormat="1" x14ac:dyDescent="0.2">
      <c r="A267" s="1054" t="s">
        <v>286</v>
      </c>
      <c r="B267" s="967" t="s">
        <v>1091</v>
      </c>
      <c r="C267" s="1150">
        <v>4600000</v>
      </c>
      <c r="D267" s="1150">
        <v>4600000</v>
      </c>
      <c r="E267" s="1163">
        <v>2300000</v>
      </c>
      <c r="F267" s="1163"/>
      <c r="G267" s="1243">
        <f t="shared" si="85"/>
        <v>50</v>
      </c>
      <c r="H267" s="1248">
        <f t="shared" si="86"/>
        <v>50</v>
      </c>
      <c r="I267" s="1258">
        <f t="shared" ref="I267:I274" si="87">E267/J267*100</f>
        <v>103.60360360360362</v>
      </c>
      <c r="J267" s="1520">
        <v>2220000</v>
      </c>
    </row>
    <row r="268" spans="1:10" s="116" customFormat="1" x14ac:dyDescent="0.2">
      <c r="A268" s="1054" t="s">
        <v>286</v>
      </c>
      <c r="B268" s="967" t="s">
        <v>1339</v>
      </c>
      <c r="C268" s="1150">
        <v>24695000</v>
      </c>
      <c r="D268" s="1150">
        <f>24695000-353320</f>
        <v>24341680</v>
      </c>
      <c r="E268" s="1163">
        <v>12347502</v>
      </c>
      <c r="F268" s="1163"/>
      <c r="G268" s="1243">
        <f t="shared" si="85"/>
        <v>50.000008098805424</v>
      </c>
      <c r="H268" s="1248">
        <f t="shared" si="86"/>
        <v>50.725759273805259</v>
      </c>
      <c r="I268" s="1258">
        <f t="shared" si="87"/>
        <v>104.06659924146651</v>
      </c>
      <c r="J268" s="1520">
        <v>11865000</v>
      </c>
    </row>
    <row r="269" spans="1:10" s="116" customFormat="1" x14ac:dyDescent="0.2">
      <c r="A269" s="1054" t="s">
        <v>291</v>
      </c>
      <c r="B269" s="967" t="s">
        <v>1493</v>
      </c>
      <c r="C269" s="1158">
        <v>2000000</v>
      </c>
      <c r="D269" s="1158">
        <v>2000000</v>
      </c>
      <c r="E269" s="1163">
        <v>298144</v>
      </c>
      <c r="F269" s="1163"/>
      <c r="G269" s="1243">
        <f t="shared" si="85"/>
        <v>14.907200000000001</v>
      </c>
      <c r="H269" s="1248">
        <f t="shared" si="86"/>
        <v>14.907200000000001</v>
      </c>
      <c r="I269" s="1258">
        <v>0</v>
      </c>
      <c r="J269" s="1520">
        <v>0</v>
      </c>
    </row>
    <row r="270" spans="1:10" s="116" customFormat="1" x14ac:dyDescent="0.2">
      <c r="A270" s="1054" t="s">
        <v>1645</v>
      </c>
      <c r="B270" s="967" t="s">
        <v>1141</v>
      </c>
      <c r="C270" s="1158">
        <v>3700000</v>
      </c>
      <c r="D270" s="1158">
        <v>3700000</v>
      </c>
      <c r="E270" s="1163">
        <v>435086.96</v>
      </c>
      <c r="F270" s="1163"/>
      <c r="G270" s="1243">
        <f t="shared" si="85"/>
        <v>11.759107027027028</v>
      </c>
      <c r="H270" s="1248">
        <f t="shared" si="86"/>
        <v>11.759107027027028</v>
      </c>
      <c r="I270" s="1258">
        <f t="shared" si="87"/>
        <v>583.72727272727275</v>
      </c>
      <c r="J270" s="1520">
        <v>74536</v>
      </c>
    </row>
    <row r="271" spans="1:10" s="116" customFormat="1" x14ac:dyDescent="0.2">
      <c r="A271" s="1054" t="s">
        <v>291</v>
      </c>
      <c r="B271" s="967" t="s">
        <v>1494</v>
      </c>
      <c r="C271" s="1158">
        <v>820000</v>
      </c>
      <c r="D271" s="1158">
        <v>820000</v>
      </c>
      <c r="E271" s="1163">
        <v>0</v>
      </c>
      <c r="F271" s="1163"/>
      <c r="G271" s="1243">
        <f t="shared" si="85"/>
        <v>0</v>
      </c>
      <c r="H271" s="1248">
        <f t="shared" si="86"/>
        <v>0</v>
      </c>
      <c r="I271" s="1258">
        <v>0</v>
      </c>
      <c r="J271" s="1520">
        <v>0</v>
      </c>
    </row>
    <row r="272" spans="1:10" s="116" customFormat="1" x14ac:dyDescent="0.2">
      <c r="A272" s="1054" t="s">
        <v>293</v>
      </c>
      <c r="B272" s="967" t="s">
        <v>1655</v>
      </c>
      <c r="C272" s="1158">
        <f>1230000+800000</f>
        <v>2030000</v>
      </c>
      <c r="D272" s="1158">
        <f>1230000+800000</f>
        <v>2030000</v>
      </c>
      <c r="E272" s="1163">
        <v>964103.48</v>
      </c>
      <c r="F272" s="1163"/>
      <c r="G272" s="1243">
        <f t="shared" si="85"/>
        <v>47.492782266009854</v>
      </c>
      <c r="H272" s="1248">
        <f t="shared" si="86"/>
        <v>47.492782266009854</v>
      </c>
      <c r="I272" s="1258">
        <v>0</v>
      </c>
      <c r="J272" s="1520">
        <v>0</v>
      </c>
    </row>
    <row r="273" spans="1:10" s="116" customFormat="1" x14ac:dyDescent="0.2">
      <c r="A273" s="1054" t="s">
        <v>1646</v>
      </c>
      <c r="B273" s="967" t="s">
        <v>1495</v>
      </c>
      <c r="C273" s="1158">
        <v>450000</v>
      </c>
      <c r="D273" s="1158">
        <f>450000+1100000</f>
        <v>1550000</v>
      </c>
      <c r="E273" s="707">
        <v>271712</v>
      </c>
      <c r="F273" s="707"/>
      <c r="G273" s="1243">
        <f t="shared" si="85"/>
        <v>60.38044444444445</v>
      </c>
      <c r="H273" s="1248">
        <f t="shared" si="86"/>
        <v>17.529806451612902</v>
      </c>
      <c r="I273" s="1258">
        <f t="shared" si="87"/>
        <v>57.987617618749852</v>
      </c>
      <c r="J273" s="1520">
        <v>468569</v>
      </c>
    </row>
    <row r="274" spans="1:10" s="116" customFormat="1" x14ac:dyDescent="0.2">
      <c r="A274" s="972">
        <v>2219</v>
      </c>
      <c r="B274" s="905" t="s">
        <v>1341</v>
      </c>
      <c r="C274" s="862">
        <f>SUM(C275+C282+C283+C281)</f>
        <v>2790000</v>
      </c>
      <c r="D274" s="862">
        <f>SUM(D275+D282+D283+D281)</f>
        <v>3156805</v>
      </c>
      <c r="E274" s="1218">
        <v>989427.27</v>
      </c>
      <c r="F274" s="1163">
        <f>SUM(E275:E283)</f>
        <v>989427.27</v>
      </c>
      <c r="G274" s="825">
        <f t="shared" si="85"/>
        <v>35.463343010752688</v>
      </c>
      <c r="H274" s="1244">
        <f t="shared" si="86"/>
        <v>31.342679386278217</v>
      </c>
      <c r="I274" s="1257">
        <f t="shared" si="87"/>
        <v>777.05746485510087</v>
      </c>
      <c r="J274" s="1520">
        <v>127330</v>
      </c>
    </row>
    <row r="275" spans="1:10" s="116" customFormat="1" x14ac:dyDescent="0.2">
      <c r="A275" s="1024"/>
      <c r="B275" s="1156" t="s">
        <v>281</v>
      </c>
      <c r="C275" s="983">
        <f>SUM(C276:C280)</f>
        <v>1880000</v>
      </c>
      <c r="D275" s="983">
        <f>SUM(D276:D280)</f>
        <v>2056452.3599999999</v>
      </c>
      <c r="E275" s="1163">
        <v>0</v>
      </c>
      <c r="F275" s="1163"/>
      <c r="G275" s="1243">
        <f t="shared" si="85"/>
        <v>0</v>
      </c>
      <c r="H275" s="1248">
        <f t="shared" si="86"/>
        <v>0</v>
      </c>
      <c r="I275" s="1258">
        <v>0</v>
      </c>
      <c r="J275" s="1520">
        <v>0</v>
      </c>
    </row>
    <row r="276" spans="1:10" s="116" customFormat="1" x14ac:dyDescent="0.2">
      <c r="A276" s="1054" t="s">
        <v>1024</v>
      </c>
      <c r="B276" s="967" t="s">
        <v>1496</v>
      </c>
      <c r="C276" s="1150">
        <v>30000</v>
      </c>
      <c r="D276" s="1150">
        <v>30000</v>
      </c>
      <c r="E276" s="1163">
        <v>0</v>
      </c>
      <c r="F276" s="1163"/>
      <c r="G276" s="1243">
        <f t="shared" si="85"/>
        <v>0</v>
      </c>
      <c r="H276" s="1248">
        <f t="shared" si="86"/>
        <v>0</v>
      </c>
      <c r="I276" s="1249">
        <v>0</v>
      </c>
      <c r="J276" s="1520">
        <v>0</v>
      </c>
    </row>
    <row r="277" spans="1:10" s="116" customFormat="1" x14ac:dyDescent="0.2">
      <c r="A277" s="1054" t="s">
        <v>1164</v>
      </c>
      <c r="B277" s="1058" t="s">
        <v>1497</v>
      </c>
      <c r="C277" s="1158">
        <v>1050000</v>
      </c>
      <c r="D277" s="1158">
        <v>1050000</v>
      </c>
      <c r="E277" s="1163">
        <v>0</v>
      </c>
      <c r="F277" s="1163"/>
      <c r="G277" s="1243">
        <f t="shared" si="85"/>
        <v>0</v>
      </c>
      <c r="H277" s="1248">
        <f t="shared" si="86"/>
        <v>0</v>
      </c>
      <c r="I277" s="1249">
        <v>0</v>
      </c>
      <c r="J277" s="1520">
        <v>0</v>
      </c>
    </row>
    <row r="278" spans="1:10" s="116" customFormat="1" x14ac:dyDescent="0.2">
      <c r="A278" s="1054" t="s">
        <v>477</v>
      </c>
      <c r="B278" s="967" t="s">
        <v>1142</v>
      </c>
      <c r="C278" s="1158">
        <v>700000</v>
      </c>
      <c r="D278" s="1158">
        <v>700000</v>
      </c>
      <c r="E278" s="1163">
        <v>0</v>
      </c>
      <c r="F278" s="1163"/>
      <c r="G278" s="1243">
        <f t="shared" si="85"/>
        <v>0</v>
      </c>
      <c r="H278" s="1248">
        <f t="shared" si="86"/>
        <v>0</v>
      </c>
      <c r="I278" s="1249">
        <v>0</v>
      </c>
      <c r="J278" s="1520">
        <v>0</v>
      </c>
    </row>
    <row r="279" spans="1:10" s="12" customFormat="1" x14ac:dyDescent="0.2">
      <c r="A279" s="926" t="s">
        <v>1173</v>
      </c>
      <c r="B279" s="1405" t="s">
        <v>2023</v>
      </c>
      <c r="C279" s="744">
        <v>0</v>
      </c>
      <c r="D279" s="744">
        <f>100000+76452.36</f>
        <v>176452.36</v>
      </c>
      <c r="E279" s="744">
        <v>0</v>
      </c>
      <c r="F279" s="744"/>
      <c r="G279" s="1243">
        <v>0</v>
      </c>
      <c r="H279" s="1248">
        <f t="shared" si="86"/>
        <v>0</v>
      </c>
      <c r="I279" s="1249">
        <v>0</v>
      </c>
      <c r="J279" s="1179">
        <v>0</v>
      </c>
    </row>
    <row r="280" spans="1:10" s="116" customFormat="1" x14ac:dyDescent="0.2">
      <c r="A280" s="1054" t="s">
        <v>501</v>
      </c>
      <c r="B280" s="967" t="s">
        <v>1143</v>
      </c>
      <c r="C280" s="1150">
        <v>100000</v>
      </c>
      <c r="D280" s="1150">
        <v>100000</v>
      </c>
      <c r="E280" s="707">
        <v>0</v>
      </c>
      <c r="F280" s="707"/>
      <c r="G280" s="1243">
        <f t="shared" si="85"/>
        <v>0</v>
      </c>
      <c r="H280" s="1248">
        <f t="shared" si="86"/>
        <v>0</v>
      </c>
      <c r="I280" s="1249">
        <v>0</v>
      </c>
      <c r="J280" s="1520">
        <v>0</v>
      </c>
    </row>
    <row r="281" spans="1:10" s="116" customFormat="1" x14ac:dyDescent="0.2">
      <c r="A281" s="1054" t="s">
        <v>1025</v>
      </c>
      <c r="B281" s="967" t="s">
        <v>1876</v>
      </c>
      <c r="C281" s="1150">
        <v>10000</v>
      </c>
      <c r="D281" s="1150">
        <v>10000</v>
      </c>
      <c r="E281" s="707">
        <v>0</v>
      </c>
      <c r="F281" s="707"/>
      <c r="G281" s="1243">
        <f t="shared" si="85"/>
        <v>0</v>
      </c>
      <c r="H281" s="1248">
        <f t="shared" si="86"/>
        <v>0</v>
      </c>
      <c r="I281" s="1249">
        <v>0</v>
      </c>
      <c r="J281" s="1520">
        <v>0</v>
      </c>
    </row>
    <row r="282" spans="1:10" x14ac:dyDescent="0.2">
      <c r="A282" s="1059" t="s">
        <v>299</v>
      </c>
      <c r="B282" s="988" t="s">
        <v>1144</v>
      </c>
      <c r="C282" s="1150">
        <v>100000</v>
      </c>
      <c r="D282" s="1150">
        <f>100000-76452.36</f>
        <v>23547.64</v>
      </c>
      <c r="E282" s="1163">
        <v>0</v>
      </c>
      <c r="F282" s="1163"/>
      <c r="G282" s="1243">
        <f t="shared" si="85"/>
        <v>0</v>
      </c>
      <c r="H282" s="1248">
        <f t="shared" si="86"/>
        <v>0</v>
      </c>
      <c r="I282" s="1249">
        <v>0</v>
      </c>
      <c r="J282" s="1520">
        <v>40000</v>
      </c>
    </row>
    <row r="283" spans="1:10" s="2" customFormat="1" x14ac:dyDescent="0.2">
      <c r="A283" s="1060" t="s">
        <v>301</v>
      </c>
      <c r="B283" s="1061" t="s">
        <v>1026</v>
      </c>
      <c r="C283" s="1159">
        <v>800000</v>
      </c>
      <c r="D283" s="1159">
        <f>800000+266805</f>
        <v>1066805</v>
      </c>
      <c r="E283" s="1163">
        <v>989427.27</v>
      </c>
      <c r="F283" s="1163"/>
      <c r="G283" s="1243">
        <f t="shared" si="85"/>
        <v>123.67840875</v>
      </c>
      <c r="H283" s="1248">
        <f t="shared" si="86"/>
        <v>92.746778464667869</v>
      </c>
      <c r="I283" s="1258">
        <f t="shared" ref="I283" si="88">E283/J283*100</f>
        <v>1132.9752318790793</v>
      </c>
      <c r="J283" s="96">
        <v>87330</v>
      </c>
    </row>
    <row r="284" spans="1:10" x14ac:dyDescent="0.2">
      <c r="A284" s="972">
        <v>2221</v>
      </c>
      <c r="B284" s="905" t="s">
        <v>1342</v>
      </c>
      <c r="C284" s="862">
        <f>SUM(C285:C286)</f>
        <v>150000</v>
      </c>
      <c r="D284" s="862">
        <f>SUM(D285:D286)</f>
        <v>150000</v>
      </c>
      <c r="E284" s="1218">
        <v>0</v>
      </c>
      <c r="F284" s="1163">
        <f>SUM(E285:E286)</f>
        <v>0</v>
      </c>
      <c r="G284" s="825">
        <f t="shared" si="85"/>
        <v>0</v>
      </c>
      <c r="H284" s="1244">
        <f t="shared" si="86"/>
        <v>0</v>
      </c>
      <c r="I284" s="1255">
        <v>0</v>
      </c>
      <c r="J284" s="1520">
        <v>44875.73</v>
      </c>
    </row>
    <row r="285" spans="1:10" x14ac:dyDescent="0.2">
      <c r="A285" s="1160" t="s">
        <v>2108</v>
      </c>
      <c r="B285" s="1156" t="s">
        <v>2091</v>
      </c>
      <c r="C285" s="1150">
        <v>60000</v>
      </c>
      <c r="D285" s="1150">
        <v>60000</v>
      </c>
      <c r="E285" s="1163">
        <v>0</v>
      </c>
      <c r="F285" s="1163"/>
      <c r="G285" s="1243">
        <f t="shared" si="85"/>
        <v>0</v>
      </c>
      <c r="H285" s="1248">
        <f t="shared" si="86"/>
        <v>0</v>
      </c>
      <c r="I285" s="1249">
        <v>0</v>
      </c>
      <c r="J285" s="1520">
        <v>0</v>
      </c>
    </row>
    <row r="286" spans="1:10" ht="13.5" thickBot="1" x14ac:dyDescent="0.25">
      <c r="A286" s="1160" t="s">
        <v>310</v>
      </c>
      <c r="B286" s="1063" t="s">
        <v>1093</v>
      </c>
      <c r="C286" s="1150">
        <v>90000</v>
      </c>
      <c r="D286" s="1150">
        <v>90000</v>
      </c>
      <c r="E286" s="1163">
        <v>0</v>
      </c>
      <c r="F286" s="1163"/>
      <c r="G286" s="1243">
        <f t="shared" si="85"/>
        <v>0</v>
      </c>
      <c r="H286" s="1248">
        <f t="shared" si="86"/>
        <v>0</v>
      </c>
      <c r="I286" s="1249">
        <v>0</v>
      </c>
      <c r="J286" s="1520">
        <v>15287.14</v>
      </c>
    </row>
    <row r="287" spans="1:10" ht="16.5" thickBot="1" x14ac:dyDescent="0.3">
      <c r="A287" s="1153"/>
      <c r="B287" s="1154" t="s">
        <v>312</v>
      </c>
      <c r="C287" s="1064">
        <f t="shared" ref="C287:D287" si="89">C288</f>
        <v>5110000</v>
      </c>
      <c r="D287" s="1064">
        <f t="shared" si="89"/>
        <v>5110000</v>
      </c>
      <c r="E287" s="948">
        <v>512761.25</v>
      </c>
      <c r="F287" s="1291">
        <f>SUM(E289:E296)</f>
        <v>512761.25</v>
      </c>
      <c r="G287" s="1237">
        <f>E287/C287*100</f>
        <v>10.034466731898238</v>
      </c>
      <c r="H287" s="1237">
        <f>E287/D287*100</f>
        <v>10.034466731898238</v>
      </c>
      <c r="I287" s="1253">
        <f t="shared" ref="I287:I297" si="90">E287/J287*100</f>
        <v>549.48321313372696</v>
      </c>
      <c r="J287" s="1520">
        <v>93317</v>
      </c>
    </row>
    <row r="288" spans="1:10" x14ac:dyDescent="0.2">
      <c r="A288" s="1147">
        <v>3639</v>
      </c>
      <c r="B288" s="1148" t="s">
        <v>313</v>
      </c>
      <c r="C288" s="1155">
        <f>SUM(C289:C296)</f>
        <v>5110000</v>
      </c>
      <c r="D288" s="1155">
        <f t="shared" ref="D288" si="91">SUM(D289:D296)</f>
        <v>5110000</v>
      </c>
      <c r="E288" s="947">
        <v>512761.25</v>
      </c>
      <c r="F288" s="1254"/>
      <c r="G288" s="825">
        <f t="shared" ref="G288:G296" si="92">E288/C288*100</f>
        <v>10.034466731898238</v>
      </c>
      <c r="H288" s="1244">
        <f t="shared" ref="H288:H296" si="93">E288/D288*100</f>
        <v>10.034466731898238</v>
      </c>
      <c r="I288" s="1257">
        <f t="shared" si="90"/>
        <v>549.48321313372696</v>
      </c>
      <c r="J288" s="1520">
        <v>93317</v>
      </c>
    </row>
    <row r="289" spans="1:11" x14ac:dyDescent="0.2">
      <c r="A289" s="1062" t="s">
        <v>314</v>
      </c>
      <c r="B289" s="979" t="s">
        <v>1647</v>
      </c>
      <c r="C289" s="1150">
        <v>4500000</v>
      </c>
      <c r="D289" s="1150">
        <v>4500000</v>
      </c>
      <c r="E289" s="1163">
        <v>306435</v>
      </c>
      <c r="F289" s="1163"/>
      <c r="G289" s="1243">
        <f t="shared" si="92"/>
        <v>6.8096666666666668</v>
      </c>
      <c r="H289" s="1248">
        <f t="shared" si="93"/>
        <v>6.8096666666666668</v>
      </c>
      <c r="I289" s="1258">
        <f t="shared" si="90"/>
        <v>2977.9883381924196</v>
      </c>
      <c r="J289" s="1520">
        <v>10290</v>
      </c>
    </row>
    <row r="290" spans="1:11" x14ac:dyDescent="0.2">
      <c r="A290" s="1062" t="s">
        <v>316</v>
      </c>
      <c r="B290" s="967" t="s">
        <v>1343</v>
      </c>
      <c r="C290" s="1150">
        <v>30000</v>
      </c>
      <c r="D290" s="1150">
        <f>30000-5000</f>
        <v>25000</v>
      </c>
      <c r="E290" s="1163">
        <v>3025</v>
      </c>
      <c r="F290" s="1163"/>
      <c r="G290" s="1243">
        <f t="shared" si="92"/>
        <v>10.083333333333332</v>
      </c>
      <c r="H290" s="1248">
        <f t="shared" si="93"/>
        <v>12.1</v>
      </c>
      <c r="I290" s="1258">
        <f t="shared" si="90"/>
        <v>100</v>
      </c>
      <c r="J290" s="1520">
        <v>3025</v>
      </c>
    </row>
    <row r="291" spans="1:11" x14ac:dyDescent="0.2">
      <c r="A291" s="1065" t="s">
        <v>316</v>
      </c>
      <c r="B291" s="988" t="s">
        <v>1344</v>
      </c>
      <c r="C291" s="1150">
        <v>30000</v>
      </c>
      <c r="D291" s="1150">
        <f>30000+5000</f>
        <v>35000</v>
      </c>
      <c r="E291" s="1163">
        <v>30104</v>
      </c>
      <c r="F291" s="1163"/>
      <c r="G291" s="1243">
        <f t="shared" si="92"/>
        <v>100.34666666666668</v>
      </c>
      <c r="H291" s="1248">
        <f t="shared" si="93"/>
        <v>86.011428571428567</v>
      </c>
      <c r="I291" s="1258">
        <v>0</v>
      </c>
      <c r="J291" s="1520">
        <v>0</v>
      </c>
    </row>
    <row r="292" spans="1:11" x14ac:dyDescent="0.2">
      <c r="A292" s="1062" t="s">
        <v>325</v>
      </c>
      <c r="B292" s="967" t="s">
        <v>326</v>
      </c>
      <c r="C292" s="1150">
        <v>150000</v>
      </c>
      <c r="D292" s="1150">
        <v>150000</v>
      </c>
      <c r="E292" s="1163">
        <v>74111.25</v>
      </c>
      <c r="F292" s="1163"/>
      <c r="G292" s="1243">
        <f t="shared" si="92"/>
        <v>49.407499999999999</v>
      </c>
      <c r="H292" s="1248">
        <f t="shared" si="93"/>
        <v>49.407499999999999</v>
      </c>
      <c r="I292" s="1258">
        <v>0</v>
      </c>
      <c r="J292" s="1520">
        <v>0</v>
      </c>
    </row>
    <row r="293" spans="1:11" x14ac:dyDescent="0.2">
      <c r="A293" s="1062" t="s">
        <v>321</v>
      </c>
      <c r="B293" s="967" t="s">
        <v>327</v>
      </c>
      <c r="C293" s="1150">
        <v>150000</v>
      </c>
      <c r="D293" s="1150">
        <v>150000</v>
      </c>
      <c r="E293" s="1163">
        <v>30118</v>
      </c>
      <c r="F293" s="1163"/>
      <c r="G293" s="1243">
        <f t="shared" si="92"/>
        <v>20.078666666666667</v>
      </c>
      <c r="H293" s="1248">
        <f t="shared" si="93"/>
        <v>20.078666666666667</v>
      </c>
      <c r="I293" s="1258">
        <f t="shared" si="90"/>
        <v>63.627337065596279</v>
      </c>
      <c r="J293" s="1520">
        <v>47335</v>
      </c>
    </row>
    <row r="294" spans="1:11" x14ac:dyDescent="0.2">
      <c r="A294" s="1062" t="s">
        <v>323</v>
      </c>
      <c r="B294" s="967" t="s">
        <v>328</v>
      </c>
      <c r="C294" s="1150">
        <v>210000</v>
      </c>
      <c r="D294" s="1150">
        <v>210000</v>
      </c>
      <c r="E294" s="1163">
        <v>32900</v>
      </c>
      <c r="F294" s="1163"/>
      <c r="G294" s="1243">
        <f t="shared" si="92"/>
        <v>15.666666666666668</v>
      </c>
      <c r="H294" s="1248">
        <f t="shared" si="93"/>
        <v>15.666666666666668</v>
      </c>
      <c r="I294" s="1258">
        <f t="shared" si="90"/>
        <v>212.91742169298473</v>
      </c>
      <c r="J294" s="1520">
        <v>15452</v>
      </c>
    </row>
    <row r="295" spans="1:11" x14ac:dyDescent="0.2">
      <c r="A295" s="1160" t="s">
        <v>331</v>
      </c>
      <c r="B295" s="1058" t="s">
        <v>332</v>
      </c>
      <c r="C295" s="1150">
        <v>10000</v>
      </c>
      <c r="D295" s="1150">
        <f>10000-10000</f>
        <v>0</v>
      </c>
      <c r="E295" s="1163">
        <v>0</v>
      </c>
      <c r="F295" s="1163"/>
      <c r="G295" s="1243">
        <f t="shared" si="92"/>
        <v>0</v>
      </c>
      <c r="H295" s="1248">
        <v>0</v>
      </c>
      <c r="I295" s="1258">
        <v>0</v>
      </c>
      <c r="J295" s="1520">
        <v>0</v>
      </c>
    </row>
    <row r="296" spans="1:11" ht="13.5" thickBot="1" x14ac:dyDescent="0.25">
      <c r="A296" s="1160" t="s">
        <v>333</v>
      </c>
      <c r="B296" s="1066" t="s">
        <v>334</v>
      </c>
      <c r="C296" s="1150">
        <v>30000</v>
      </c>
      <c r="D296" s="1150">
        <f>30000+10000</f>
        <v>40000</v>
      </c>
      <c r="E296" s="1163">
        <v>36068</v>
      </c>
      <c r="F296" s="1163"/>
      <c r="G296" s="1243">
        <f t="shared" si="92"/>
        <v>120.22666666666666</v>
      </c>
      <c r="H296" s="1248">
        <f t="shared" si="93"/>
        <v>90.169999999999987</v>
      </c>
      <c r="I296" s="1258">
        <f t="shared" si="90"/>
        <v>209.51495788556494</v>
      </c>
      <c r="J296" s="1520">
        <v>17215</v>
      </c>
    </row>
    <row r="297" spans="1:11" ht="16.5" thickBot="1" x14ac:dyDescent="0.3">
      <c r="A297" s="1153"/>
      <c r="B297" s="1154" t="s">
        <v>335</v>
      </c>
      <c r="C297" s="1161">
        <f>SUM(C298,C303,C305,C311,C313,C320,C337,C342,C344,C347)</f>
        <v>27453182</v>
      </c>
      <c r="D297" s="1161">
        <f>SUM(D298,D303,D305,D311,D313,D320,D337,D342,D344,D347)</f>
        <v>28081058</v>
      </c>
      <c r="E297" s="1292">
        <v>9833431.6199999992</v>
      </c>
      <c r="F297" s="1293">
        <f>SUM(E298,E303,E305,E311,E313,E320,E337,E342,E344,E347)</f>
        <v>9833431.6199999992</v>
      </c>
      <c r="G297" s="1237">
        <f>E297/C297*100</f>
        <v>35.818913887650616</v>
      </c>
      <c r="H297" s="1237">
        <f>E297/D297*100</f>
        <v>35.018023964766563</v>
      </c>
      <c r="I297" s="1253">
        <f t="shared" si="90"/>
        <v>128.66905289981577</v>
      </c>
      <c r="J297" s="1520">
        <v>7642421.7000000002</v>
      </c>
      <c r="K297" s="12"/>
    </row>
    <row r="298" spans="1:11" x14ac:dyDescent="0.2">
      <c r="A298" s="1147">
        <v>3341</v>
      </c>
      <c r="B298" s="1148" t="s">
        <v>1345</v>
      </c>
      <c r="C298" s="1068">
        <f>SUM(C299:C302)</f>
        <v>3177552</v>
      </c>
      <c r="D298" s="1068">
        <f>SUM(D299:D302)</f>
        <v>3177552</v>
      </c>
      <c r="E298" s="706">
        <v>552700.94999999995</v>
      </c>
      <c r="F298" s="1294">
        <f>SUM(E299:E302)</f>
        <v>552700.95000000007</v>
      </c>
      <c r="G298" s="825">
        <f t="shared" ref="G298:G313" si="94">E298/C298*100</f>
        <v>17.393923057750115</v>
      </c>
      <c r="H298" s="1244">
        <f t="shared" ref="H298:H313" si="95">E298/D298*100</f>
        <v>17.393923057750115</v>
      </c>
      <c r="I298" s="1257">
        <f t="shared" ref="I298:I300" si="96">E298/J298*100</f>
        <v>2494.6241776375173</v>
      </c>
      <c r="J298" s="1520">
        <v>22155.68</v>
      </c>
    </row>
    <row r="299" spans="1:11" x14ac:dyDescent="0.2">
      <c r="A299" s="1062" t="s">
        <v>337</v>
      </c>
      <c r="B299" s="979" t="s">
        <v>338</v>
      </c>
      <c r="C299" s="1150">
        <v>200000</v>
      </c>
      <c r="D299" s="1150">
        <f>200000-1230</f>
        <v>198770</v>
      </c>
      <c r="E299" s="1163">
        <v>19612.89</v>
      </c>
      <c r="F299" s="1163"/>
      <c r="G299" s="1243">
        <f t="shared" si="94"/>
        <v>9.8064450000000001</v>
      </c>
      <c r="H299" s="1248">
        <f t="shared" si="95"/>
        <v>9.8671278361925836</v>
      </c>
      <c r="I299" s="1258">
        <f t="shared" si="96"/>
        <v>107.28752978554408</v>
      </c>
      <c r="J299" s="1520">
        <v>18280.68</v>
      </c>
    </row>
    <row r="300" spans="1:11" x14ac:dyDescent="0.2">
      <c r="A300" s="1062" t="s">
        <v>339</v>
      </c>
      <c r="B300" s="979" t="s">
        <v>1029</v>
      </c>
      <c r="C300" s="1150">
        <v>5000</v>
      </c>
      <c r="D300" s="1150">
        <f>5000+1230</f>
        <v>6230</v>
      </c>
      <c r="E300" s="1163">
        <v>6230</v>
      </c>
      <c r="F300" s="1163"/>
      <c r="G300" s="1243">
        <f t="shared" si="94"/>
        <v>124.6</v>
      </c>
      <c r="H300" s="1248">
        <f t="shared" si="95"/>
        <v>100</v>
      </c>
      <c r="I300" s="1258">
        <f t="shared" si="96"/>
        <v>160.7741935483871</v>
      </c>
      <c r="J300" s="1520">
        <v>3875</v>
      </c>
    </row>
    <row r="301" spans="1:11" x14ac:dyDescent="0.2">
      <c r="A301" s="1062" t="s">
        <v>1145</v>
      </c>
      <c r="B301" s="979" t="s">
        <v>1498</v>
      </c>
      <c r="C301" s="1150">
        <v>2372552</v>
      </c>
      <c r="D301" s="1150">
        <f>2372552+29142</f>
        <v>2401694</v>
      </c>
      <c r="E301" s="707">
        <v>526858.06000000006</v>
      </c>
      <c r="F301" s="707"/>
      <c r="G301" s="1243">
        <f t="shared" si="94"/>
        <v>22.206386203547911</v>
      </c>
      <c r="H301" s="1248">
        <f t="shared" si="95"/>
        <v>21.936935346467955</v>
      </c>
      <c r="I301" s="1249">
        <v>0</v>
      </c>
      <c r="J301" s="1520">
        <v>0</v>
      </c>
    </row>
    <row r="302" spans="1:11" x14ac:dyDescent="0.2">
      <c r="A302" s="1062" t="s">
        <v>2030</v>
      </c>
      <c r="B302" s="979" t="s">
        <v>1729</v>
      </c>
      <c r="C302" s="1150">
        <v>600000</v>
      </c>
      <c r="D302" s="1150">
        <f>600000-29142</f>
        <v>570858</v>
      </c>
      <c r="E302" s="1163">
        <v>0</v>
      </c>
      <c r="F302" s="1163"/>
      <c r="G302" s="1243">
        <f t="shared" si="94"/>
        <v>0</v>
      </c>
      <c r="H302" s="1248">
        <f t="shared" si="95"/>
        <v>0</v>
      </c>
      <c r="I302" s="1249">
        <v>0</v>
      </c>
      <c r="J302" s="1520">
        <v>0</v>
      </c>
    </row>
    <row r="303" spans="1:11" x14ac:dyDescent="0.2">
      <c r="A303" s="1151">
        <v>3412</v>
      </c>
      <c r="B303" s="905" t="s">
        <v>1797</v>
      </c>
      <c r="C303" s="862">
        <f>SUM(C304)</f>
        <v>0</v>
      </c>
      <c r="D303" s="862">
        <f>SUM(D304)</f>
        <v>33226.6</v>
      </c>
      <c r="E303" s="779">
        <v>0</v>
      </c>
      <c r="F303" s="735"/>
      <c r="G303" s="825">
        <v>0</v>
      </c>
      <c r="H303" s="1244">
        <f t="shared" si="95"/>
        <v>0</v>
      </c>
      <c r="I303" s="1255">
        <v>0</v>
      </c>
      <c r="J303" s="1520">
        <v>0</v>
      </c>
    </row>
    <row r="304" spans="1:11" x14ac:dyDescent="0.2">
      <c r="A304" s="1062" t="s">
        <v>2090</v>
      </c>
      <c r="B304" s="1162" t="s">
        <v>2089</v>
      </c>
      <c r="C304" s="960">
        <v>0</v>
      </c>
      <c r="D304" s="960">
        <v>33226.6</v>
      </c>
      <c r="E304" s="735">
        <v>0</v>
      </c>
      <c r="F304" s="735"/>
      <c r="G304" s="1243">
        <v>0</v>
      </c>
      <c r="H304" s="1248">
        <f t="shared" si="95"/>
        <v>0</v>
      </c>
      <c r="I304" s="1249">
        <v>0</v>
      </c>
      <c r="J304" s="1520">
        <v>0</v>
      </c>
    </row>
    <row r="305" spans="1:10" x14ac:dyDescent="0.2">
      <c r="A305" s="1151">
        <v>3421</v>
      </c>
      <c r="B305" s="905" t="s">
        <v>1853</v>
      </c>
      <c r="C305" s="862">
        <f>SUM(C306:C310)</f>
        <v>2690000</v>
      </c>
      <c r="D305" s="862">
        <f>SUM(D306:D310)</f>
        <v>2329686.2000000002</v>
      </c>
      <c r="E305" s="779">
        <v>564801.80000000005</v>
      </c>
      <c r="F305" s="735">
        <f>SUM(E306:E310)</f>
        <v>564801.80000000005</v>
      </c>
      <c r="G305" s="825">
        <f t="shared" si="94"/>
        <v>20.996349442379184</v>
      </c>
      <c r="H305" s="1244">
        <f t="shared" si="95"/>
        <v>24.243685694665658</v>
      </c>
      <c r="I305" s="1257">
        <f t="shared" ref="I305:I346" si="97">E305/J305*100</f>
        <v>71.387652220285418</v>
      </c>
      <c r="J305" s="1520">
        <v>791175.76</v>
      </c>
    </row>
    <row r="306" spans="1:10" x14ac:dyDescent="0.2">
      <c r="A306" s="1062" t="s">
        <v>350</v>
      </c>
      <c r="B306" s="1162" t="s">
        <v>1030</v>
      </c>
      <c r="C306" s="960">
        <v>750000</v>
      </c>
      <c r="D306" s="960">
        <v>750000</v>
      </c>
      <c r="E306" s="735">
        <v>126075.16</v>
      </c>
      <c r="F306" s="735"/>
      <c r="G306" s="1243">
        <f t="shared" si="94"/>
        <v>16.810021333333331</v>
      </c>
      <c r="H306" s="1248">
        <f t="shared" si="95"/>
        <v>16.810021333333331</v>
      </c>
      <c r="I306" s="1258">
        <f t="shared" si="97"/>
        <v>58.205555584538395</v>
      </c>
      <c r="J306" s="1520">
        <v>216603.31</v>
      </c>
    </row>
    <row r="307" spans="1:10" x14ac:dyDescent="0.2">
      <c r="A307" s="1062" t="s">
        <v>342</v>
      </c>
      <c r="B307" s="1069" t="s">
        <v>1031</v>
      </c>
      <c r="C307" s="1150">
        <v>300000</v>
      </c>
      <c r="D307" s="1150">
        <v>300000</v>
      </c>
      <c r="E307" s="707">
        <v>0</v>
      </c>
      <c r="F307" s="707"/>
      <c r="G307" s="1243">
        <f t="shared" si="94"/>
        <v>0</v>
      </c>
      <c r="H307" s="1248">
        <f t="shared" si="95"/>
        <v>0</v>
      </c>
      <c r="I307" s="1258">
        <v>0</v>
      </c>
      <c r="J307" s="1520">
        <v>0</v>
      </c>
    </row>
    <row r="308" spans="1:10" x14ac:dyDescent="0.2">
      <c r="A308" s="1062" t="s">
        <v>344</v>
      </c>
      <c r="B308" s="1069" t="s">
        <v>1032</v>
      </c>
      <c r="C308" s="1150">
        <v>60000</v>
      </c>
      <c r="D308" s="1150">
        <f>60000-39446</f>
        <v>20554</v>
      </c>
      <c r="E308" s="735">
        <v>0</v>
      </c>
      <c r="F308" s="735"/>
      <c r="G308" s="1243">
        <f t="shared" si="94"/>
        <v>0</v>
      </c>
      <c r="H308" s="1248">
        <f t="shared" si="95"/>
        <v>0</v>
      </c>
      <c r="I308" s="1258">
        <f t="shared" si="97"/>
        <v>0</v>
      </c>
      <c r="J308" s="1520">
        <v>27031.4</v>
      </c>
    </row>
    <row r="309" spans="1:10" x14ac:dyDescent="0.2">
      <c r="A309" s="1062" t="s">
        <v>346</v>
      </c>
      <c r="B309" s="1069" t="s">
        <v>1033</v>
      </c>
      <c r="C309" s="1150">
        <v>80000</v>
      </c>
      <c r="D309" s="1150">
        <v>80000</v>
      </c>
      <c r="E309" s="1163">
        <v>0</v>
      </c>
      <c r="F309" s="1163"/>
      <c r="G309" s="1243">
        <f t="shared" si="94"/>
        <v>0</v>
      </c>
      <c r="H309" s="1248">
        <f t="shared" si="95"/>
        <v>0</v>
      </c>
      <c r="I309" s="1258">
        <f t="shared" si="97"/>
        <v>0</v>
      </c>
      <c r="J309" s="1520">
        <v>447582.95</v>
      </c>
    </row>
    <row r="310" spans="1:10" x14ac:dyDescent="0.2">
      <c r="A310" s="1062" t="s">
        <v>348</v>
      </c>
      <c r="B310" s="1162" t="s">
        <v>1499</v>
      </c>
      <c r="C310" s="1150">
        <v>1500000</v>
      </c>
      <c r="D310" s="1150">
        <f>1500000-287641.2-33226.6</f>
        <v>1179132.2</v>
      </c>
      <c r="E310" s="1163">
        <v>438726.64</v>
      </c>
      <c r="F310" s="1163"/>
      <c r="G310" s="1243">
        <f t="shared" si="94"/>
        <v>29.248442666666669</v>
      </c>
      <c r="H310" s="1248">
        <f t="shared" si="95"/>
        <v>37.207587071237647</v>
      </c>
      <c r="I310" s="1258">
        <v>0</v>
      </c>
      <c r="J310" s="1520">
        <v>0</v>
      </c>
    </row>
    <row r="311" spans="1:10" x14ac:dyDescent="0.2">
      <c r="A311" s="1151">
        <v>3429</v>
      </c>
      <c r="B311" s="905" t="s">
        <v>2151</v>
      </c>
      <c r="C311" s="862">
        <f>SUM(C312:C312)</f>
        <v>0</v>
      </c>
      <c r="D311" s="862">
        <f>SUM(D312:D312)</f>
        <v>327087.2</v>
      </c>
      <c r="E311" s="779">
        <v>327087.2</v>
      </c>
      <c r="F311" s="735"/>
      <c r="G311" s="825">
        <v>0</v>
      </c>
      <c r="H311" s="1244">
        <f t="shared" si="95"/>
        <v>100</v>
      </c>
      <c r="I311" s="1257">
        <v>0</v>
      </c>
      <c r="J311" s="1520">
        <v>0</v>
      </c>
    </row>
    <row r="312" spans="1:10" x14ac:dyDescent="0.2">
      <c r="A312" s="1062" t="s">
        <v>2071</v>
      </c>
      <c r="B312" s="1162" t="s">
        <v>2072</v>
      </c>
      <c r="C312" s="960">
        <v>0</v>
      </c>
      <c r="D312" s="960">
        <f>287641.2+39446</f>
        <v>327087.2</v>
      </c>
      <c r="E312" s="735">
        <v>327087.2</v>
      </c>
      <c r="F312" s="735"/>
      <c r="G312" s="1243">
        <v>0</v>
      </c>
      <c r="H312" s="1248">
        <f t="shared" si="95"/>
        <v>100</v>
      </c>
      <c r="I312" s="1258">
        <v>0</v>
      </c>
      <c r="J312" s="1520">
        <v>0</v>
      </c>
    </row>
    <row r="313" spans="1:10" x14ac:dyDescent="0.2">
      <c r="A313" s="972">
        <v>3613</v>
      </c>
      <c r="B313" s="905" t="s">
        <v>1346</v>
      </c>
      <c r="C313" s="862">
        <f>SUM(C314:C319)</f>
        <v>1960000</v>
      </c>
      <c r="D313" s="862">
        <f>SUM(D314:D319)</f>
        <v>2104474</v>
      </c>
      <c r="E313" s="701">
        <v>841726.87</v>
      </c>
      <c r="F313" s="707">
        <f>SUM(E314:E319)</f>
        <v>841726.87</v>
      </c>
      <c r="G313" s="825">
        <f t="shared" si="94"/>
        <v>42.945248469387757</v>
      </c>
      <c r="H313" s="1244">
        <f t="shared" si="95"/>
        <v>39.997019207649984</v>
      </c>
      <c r="I313" s="1257">
        <f t="shared" si="97"/>
        <v>199.74256409248795</v>
      </c>
      <c r="J313" s="1520">
        <v>421405.86</v>
      </c>
    </row>
    <row r="314" spans="1:10" x14ac:dyDescent="0.2">
      <c r="A314" s="1160" t="s">
        <v>353</v>
      </c>
      <c r="B314" s="1157" t="s">
        <v>1035</v>
      </c>
      <c r="C314" s="1150">
        <v>5000</v>
      </c>
      <c r="D314" s="1150">
        <v>5000</v>
      </c>
      <c r="E314" s="1163">
        <v>0</v>
      </c>
      <c r="F314" s="1163"/>
      <c r="G314" s="1243">
        <f t="shared" ref="G314:G321" si="98">E314/C314*100</f>
        <v>0</v>
      </c>
      <c r="H314" s="1248">
        <f t="shared" ref="H314:H321" si="99">E314/D314*100</f>
        <v>0</v>
      </c>
      <c r="I314" s="1258">
        <v>0</v>
      </c>
      <c r="J314" s="1520">
        <v>0</v>
      </c>
    </row>
    <row r="315" spans="1:10" x14ac:dyDescent="0.2">
      <c r="A315" s="1160" t="s">
        <v>355</v>
      </c>
      <c r="B315" s="1157" t="s">
        <v>1036</v>
      </c>
      <c r="C315" s="1150">
        <v>15000</v>
      </c>
      <c r="D315" s="1150">
        <v>15000</v>
      </c>
      <c r="E315" s="1163">
        <v>0</v>
      </c>
      <c r="F315" s="1163"/>
      <c r="G315" s="1243">
        <f t="shared" si="98"/>
        <v>0</v>
      </c>
      <c r="H315" s="1248">
        <f t="shared" si="99"/>
        <v>0</v>
      </c>
      <c r="I315" s="1258">
        <f t="shared" si="97"/>
        <v>0</v>
      </c>
      <c r="J315" s="1520">
        <v>3896.2</v>
      </c>
    </row>
    <row r="316" spans="1:10" x14ac:dyDescent="0.2">
      <c r="A316" s="1160" t="s">
        <v>357</v>
      </c>
      <c r="B316" s="967" t="s">
        <v>1730</v>
      </c>
      <c r="C316" s="1150">
        <v>200000</v>
      </c>
      <c r="D316" s="1150">
        <v>200000</v>
      </c>
      <c r="E316" s="1163">
        <v>23700</v>
      </c>
      <c r="F316" s="1163"/>
      <c r="G316" s="1243">
        <f t="shared" si="98"/>
        <v>11.85</v>
      </c>
      <c r="H316" s="1248">
        <f t="shared" si="99"/>
        <v>11.85</v>
      </c>
      <c r="I316" s="1258">
        <f t="shared" si="97"/>
        <v>151.05162523900572</v>
      </c>
      <c r="J316" s="1520">
        <v>15690</v>
      </c>
    </row>
    <row r="317" spans="1:10" x14ac:dyDescent="0.2">
      <c r="A317" s="1160" t="s">
        <v>359</v>
      </c>
      <c r="B317" s="967" t="s">
        <v>1037</v>
      </c>
      <c r="C317" s="1150">
        <v>640000</v>
      </c>
      <c r="D317" s="1150">
        <v>640000</v>
      </c>
      <c r="E317" s="1163">
        <v>370568.87</v>
      </c>
      <c r="F317" s="1163"/>
      <c r="G317" s="1243">
        <f t="shared" si="98"/>
        <v>57.901385937499995</v>
      </c>
      <c r="H317" s="1248">
        <f t="shared" si="99"/>
        <v>57.901385937499995</v>
      </c>
      <c r="I317" s="1258">
        <f t="shared" si="97"/>
        <v>92.222682683072307</v>
      </c>
      <c r="J317" s="1520">
        <v>401819.66</v>
      </c>
    </row>
    <row r="318" spans="1:10" x14ac:dyDescent="0.2">
      <c r="A318" s="1160" t="s">
        <v>361</v>
      </c>
      <c r="B318" s="967" t="s">
        <v>1038</v>
      </c>
      <c r="C318" s="1150">
        <v>100000</v>
      </c>
      <c r="D318" s="1150">
        <v>100000</v>
      </c>
      <c r="E318" s="1163">
        <v>0</v>
      </c>
      <c r="F318" s="1163"/>
      <c r="G318" s="1243">
        <f t="shared" si="98"/>
        <v>0</v>
      </c>
      <c r="H318" s="1248">
        <f t="shared" si="99"/>
        <v>0</v>
      </c>
      <c r="I318" s="1258">
        <v>0</v>
      </c>
      <c r="J318" s="1520">
        <v>0</v>
      </c>
    </row>
    <row r="319" spans="1:10" x14ac:dyDescent="0.2">
      <c r="A319" s="1160" t="s">
        <v>364</v>
      </c>
      <c r="B319" s="1070" t="s">
        <v>2028</v>
      </c>
      <c r="C319" s="1150">
        <v>1000000</v>
      </c>
      <c r="D319" s="1150">
        <f>1000000+144474</f>
        <v>1144474</v>
      </c>
      <c r="E319" s="1163">
        <v>447458</v>
      </c>
      <c r="F319" s="1163"/>
      <c r="G319" s="1243">
        <f t="shared" si="98"/>
        <v>44.745800000000003</v>
      </c>
      <c r="H319" s="1248">
        <f t="shared" si="99"/>
        <v>39.097262148375584</v>
      </c>
      <c r="I319" s="1258">
        <v>0</v>
      </c>
      <c r="J319" s="1520">
        <v>0</v>
      </c>
    </row>
    <row r="320" spans="1:10" x14ac:dyDescent="0.2">
      <c r="A320" s="972">
        <v>3631</v>
      </c>
      <c r="B320" s="905" t="s">
        <v>1348</v>
      </c>
      <c r="C320" s="862">
        <f>SUM(C321:C326)</f>
        <v>15504000</v>
      </c>
      <c r="D320" s="862">
        <f>SUM(D321:D326)</f>
        <v>15634082</v>
      </c>
      <c r="E320" s="701">
        <v>5828681.7999999998</v>
      </c>
      <c r="F320" s="707">
        <f>SUM(E321:E326)</f>
        <v>5828681.7999999998</v>
      </c>
      <c r="G320" s="825">
        <f t="shared" si="98"/>
        <v>37.59469685242518</v>
      </c>
      <c r="H320" s="1244">
        <f t="shared" si="99"/>
        <v>37.281893493970415</v>
      </c>
      <c r="I320" s="1257">
        <f t="shared" si="97"/>
        <v>126.80280013445442</v>
      </c>
      <c r="J320" s="1520">
        <v>4596650.7</v>
      </c>
    </row>
    <row r="321" spans="1:10" ht="12.75" customHeight="1" x14ac:dyDescent="0.2">
      <c r="A321" s="1160" t="s">
        <v>367</v>
      </c>
      <c r="B321" s="967" t="s">
        <v>1040</v>
      </c>
      <c r="C321" s="1150">
        <v>50000</v>
      </c>
      <c r="D321" s="1150">
        <v>50000</v>
      </c>
      <c r="E321" s="1163">
        <v>48097.5</v>
      </c>
      <c r="F321" s="1163"/>
      <c r="G321" s="1243">
        <f t="shared" si="98"/>
        <v>96.194999999999993</v>
      </c>
      <c r="H321" s="1248">
        <f t="shared" si="99"/>
        <v>96.194999999999993</v>
      </c>
      <c r="I321" s="1258">
        <v>0</v>
      </c>
      <c r="J321" s="1520">
        <v>0</v>
      </c>
    </row>
    <row r="322" spans="1:10" x14ac:dyDescent="0.2">
      <c r="A322" s="1160" t="s">
        <v>369</v>
      </c>
      <c r="B322" s="967" t="s">
        <v>1504</v>
      </c>
      <c r="C322" s="1150">
        <v>250000</v>
      </c>
      <c r="D322" s="1150">
        <v>250000</v>
      </c>
      <c r="E322" s="1163">
        <v>0</v>
      </c>
      <c r="F322" s="1163"/>
      <c r="G322" s="1243">
        <f t="shared" ref="G322:G346" si="100">E322/C322*100</f>
        <v>0</v>
      </c>
      <c r="H322" s="1248">
        <f t="shared" ref="H322:H348" si="101">E322/D322*100</f>
        <v>0</v>
      </c>
      <c r="I322" s="1258">
        <v>0</v>
      </c>
      <c r="J322" s="1520">
        <v>0</v>
      </c>
    </row>
    <row r="323" spans="1:10" ht="12.75" customHeight="1" x14ac:dyDescent="0.2">
      <c r="A323" s="1160" t="s">
        <v>369</v>
      </c>
      <c r="B323" s="967" t="s">
        <v>1041</v>
      </c>
      <c r="C323" s="1150">
        <v>600000</v>
      </c>
      <c r="D323" s="1150">
        <f>600000-102752.67-51376.34+42386</f>
        <v>488256.99</v>
      </c>
      <c r="E323" s="1163">
        <v>62356.14</v>
      </c>
      <c r="F323" s="1163"/>
      <c r="G323" s="1243">
        <f t="shared" si="100"/>
        <v>10.39269</v>
      </c>
      <c r="H323" s="1248">
        <f t="shared" si="101"/>
        <v>12.771172001039863</v>
      </c>
      <c r="I323" s="1258">
        <v>0</v>
      </c>
      <c r="J323" s="1520">
        <v>0</v>
      </c>
    </row>
    <row r="324" spans="1:10" ht="12.75" customHeight="1" x14ac:dyDescent="0.2">
      <c r="A324" s="1062" t="s">
        <v>373</v>
      </c>
      <c r="B324" s="967" t="s">
        <v>374</v>
      </c>
      <c r="C324" s="1150">
        <v>7200000</v>
      </c>
      <c r="D324" s="1150">
        <v>7200000</v>
      </c>
      <c r="E324" s="707">
        <v>3038963.15</v>
      </c>
      <c r="F324" s="707"/>
      <c r="G324" s="1243">
        <f t="shared" si="100"/>
        <v>42.207821527777782</v>
      </c>
      <c r="H324" s="1248">
        <f t="shared" si="101"/>
        <v>42.207821527777782</v>
      </c>
      <c r="I324" s="1258">
        <f t="shared" si="97"/>
        <v>138.95701731615645</v>
      </c>
      <c r="J324" s="1520">
        <v>2186980.7000000002</v>
      </c>
    </row>
    <row r="325" spans="1:10" x14ac:dyDescent="0.2">
      <c r="A325" s="1062" t="s">
        <v>371</v>
      </c>
      <c r="B325" s="967" t="s">
        <v>1039</v>
      </c>
      <c r="C325" s="1150">
        <v>4900000</v>
      </c>
      <c r="D325" s="1150">
        <f>4900000+75138</f>
        <v>4975138</v>
      </c>
      <c r="E325" s="1163">
        <v>2525136</v>
      </c>
      <c r="F325" s="1163"/>
      <c r="G325" s="1243">
        <f t="shared" si="100"/>
        <v>51.533387755102048</v>
      </c>
      <c r="H325" s="1248">
        <f t="shared" si="101"/>
        <v>50.7550946325509</v>
      </c>
      <c r="I325" s="1258">
        <f t="shared" si="97"/>
        <v>105.21400000000001</v>
      </c>
      <c r="J325" s="1520">
        <v>2400000</v>
      </c>
    </row>
    <row r="326" spans="1:10" ht="12.75" customHeight="1" x14ac:dyDescent="0.2">
      <c r="A326" s="1062"/>
      <c r="B326" s="1156" t="s">
        <v>281</v>
      </c>
      <c r="C326" s="983">
        <f>SUM(C327:C336)</f>
        <v>2504000</v>
      </c>
      <c r="D326" s="983">
        <f>SUM(D327:D336)</f>
        <v>2670687.0099999998</v>
      </c>
      <c r="E326" s="1163">
        <v>154129.01</v>
      </c>
      <c r="F326" s="1163">
        <f>SUM(E327:E336)</f>
        <v>154129.01</v>
      </c>
      <c r="G326" s="1243">
        <f t="shared" si="100"/>
        <v>6.1553119009584671</v>
      </c>
      <c r="H326" s="1248">
        <f t="shared" si="101"/>
        <v>5.7711371427234388</v>
      </c>
      <c r="I326" s="1258">
        <f t="shared" si="97"/>
        <v>1593.8884177869702</v>
      </c>
      <c r="J326" s="1520">
        <v>9670</v>
      </c>
    </row>
    <row r="327" spans="1:10" ht="12.75" customHeight="1" x14ac:dyDescent="0.2">
      <c r="A327" s="1071" t="s">
        <v>1503</v>
      </c>
      <c r="B327" s="967" t="s">
        <v>2076</v>
      </c>
      <c r="C327" s="1150">
        <v>84000</v>
      </c>
      <c r="D327" s="1150">
        <f>84000-84000</f>
        <v>0</v>
      </c>
      <c r="E327" s="1163">
        <v>0</v>
      </c>
      <c r="F327" s="1163"/>
      <c r="G327" s="1243">
        <f t="shared" si="100"/>
        <v>0</v>
      </c>
      <c r="H327" s="1248">
        <v>0</v>
      </c>
      <c r="I327" s="1258">
        <v>0</v>
      </c>
      <c r="J327" s="1520">
        <v>0</v>
      </c>
    </row>
    <row r="328" spans="1:10" ht="12.75" customHeight="1" x14ac:dyDescent="0.2">
      <c r="A328" s="1071" t="s">
        <v>2026</v>
      </c>
      <c r="B328" s="967" t="s">
        <v>2027</v>
      </c>
      <c r="C328" s="1150">
        <v>0</v>
      </c>
      <c r="D328" s="1150">
        <f>51376.34+102752.67</f>
        <v>154129.01</v>
      </c>
      <c r="E328" s="1163">
        <v>154129.01</v>
      </c>
      <c r="F328" s="1163"/>
      <c r="G328" s="1243">
        <v>0</v>
      </c>
      <c r="H328" s="1248">
        <f t="shared" si="101"/>
        <v>100</v>
      </c>
      <c r="I328" s="1258">
        <v>0</v>
      </c>
      <c r="J328" s="1520">
        <v>0</v>
      </c>
    </row>
    <row r="329" spans="1:10" ht="12.75" customHeight="1" x14ac:dyDescent="0.2">
      <c r="A329" s="1062" t="s">
        <v>585</v>
      </c>
      <c r="B329" s="1069" t="s">
        <v>1146</v>
      </c>
      <c r="C329" s="1158">
        <v>650000</v>
      </c>
      <c r="D329" s="1158">
        <v>650000</v>
      </c>
      <c r="E329" s="1163">
        <v>0</v>
      </c>
      <c r="F329" s="1163"/>
      <c r="G329" s="1243">
        <f t="shared" si="100"/>
        <v>0</v>
      </c>
      <c r="H329" s="1248">
        <f t="shared" si="101"/>
        <v>0</v>
      </c>
      <c r="I329" s="1258">
        <f t="shared" si="97"/>
        <v>0</v>
      </c>
      <c r="J329" s="1520">
        <v>8470</v>
      </c>
    </row>
    <row r="330" spans="1:10" ht="12.75" customHeight="1" x14ac:dyDescent="0.2">
      <c r="A330" s="1062" t="s">
        <v>1505</v>
      </c>
      <c r="B330" s="1069" t="s">
        <v>1506</v>
      </c>
      <c r="C330" s="1158">
        <v>0</v>
      </c>
      <c r="D330" s="1158">
        <v>70301</v>
      </c>
      <c r="E330" s="1163">
        <v>0</v>
      </c>
      <c r="F330" s="1163"/>
      <c r="G330" s="1243">
        <v>0</v>
      </c>
      <c r="H330" s="1248">
        <f t="shared" si="101"/>
        <v>0</v>
      </c>
      <c r="I330" s="1258">
        <v>0</v>
      </c>
      <c r="J330" s="1520">
        <v>0</v>
      </c>
    </row>
    <row r="331" spans="1:10" x14ac:dyDescent="0.2">
      <c r="A331" s="1062" t="s">
        <v>577</v>
      </c>
      <c r="B331" s="1069" t="s">
        <v>1507</v>
      </c>
      <c r="C331" s="1158">
        <v>0</v>
      </c>
      <c r="D331" s="1158">
        <v>26257</v>
      </c>
      <c r="E331" s="1163">
        <v>0</v>
      </c>
      <c r="F331" s="1163"/>
      <c r="G331" s="1243">
        <v>0</v>
      </c>
      <c r="H331" s="1248">
        <f t="shared" si="101"/>
        <v>0</v>
      </c>
      <c r="I331" s="1258">
        <v>0</v>
      </c>
      <c r="J331" s="1520">
        <v>0</v>
      </c>
    </row>
    <row r="332" spans="1:10" s="2" customFormat="1" x14ac:dyDescent="0.2">
      <c r="A332" s="1062" t="s">
        <v>1147</v>
      </c>
      <c r="B332" s="1069" t="s">
        <v>1148</v>
      </c>
      <c r="C332" s="1158">
        <v>80000</v>
      </c>
      <c r="D332" s="1158">
        <v>80000</v>
      </c>
      <c r="E332" s="1163">
        <v>0</v>
      </c>
      <c r="F332" s="1163"/>
      <c r="G332" s="1243">
        <f t="shared" si="100"/>
        <v>0</v>
      </c>
      <c r="H332" s="1248">
        <f t="shared" si="101"/>
        <v>0</v>
      </c>
      <c r="I332" s="1258">
        <v>0</v>
      </c>
      <c r="J332" s="96">
        <v>0</v>
      </c>
    </row>
    <row r="333" spans="1:10" s="116" customFormat="1" x14ac:dyDescent="0.2">
      <c r="A333" s="1062" t="s">
        <v>1200</v>
      </c>
      <c r="B333" s="1069" t="s">
        <v>1302</v>
      </c>
      <c r="C333" s="1158">
        <v>550000</v>
      </c>
      <c r="D333" s="1158">
        <v>550000</v>
      </c>
      <c r="E333" s="1163">
        <v>0</v>
      </c>
      <c r="F333" s="1163"/>
      <c r="G333" s="1243">
        <f t="shared" si="100"/>
        <v>0</v>
      </c>
      <c r="H333" s="1248">
        <f t="shared" si="101"/>
        <v>0</v>
      </c>
      <c r="I333" s="1258">
        <f t="shared" si="97"/>
        <v>0</v>
      </c>
      <c r="J333" s="1520">
        <v>1200</v>
      </c>
    </row>
    <row r="334" spans="1:10" s="116" customFormat="1" x14ac:dyDescent="0.2">
      <c r="A334" s="1062" t="s">
        <v>1149</v>
      </c>
      <c r="B334" s="1069" t="s">
        <v>1150</v>
      </c>
      <c r="C334" s="1158">
        <v>80000</v>
      </c>
      <c r="D334" s="1158">
        <v>80000</v>
      </c>
      <c r="E334" s="1163">
        <v>0</v>
      </c>
      <c r="F334" s="1163"/>
      <c r="G334" s="1243">
        <f t="shared" si="100"/>
        <v>0</v>
      </c>
      <c r="H334" s="1248">
        <f t="shared" si="101"/>
        <v>0</v>
      </c>
      <c r="I334" s="1258">
        <v>0</v>
      </c>
      <c r="J334" s="1520">
        <v>0</v>
      </c>
    </row>
    <row r="335" spans="1:10" s="116" customFormat="1" x14ac:dyDescent="0.2">
      <c r="A335" s="1062" t="s">
        <v>1151</v>
      </c>
      <c r="B335" s="1069" t="s">
        <v>1152</v>
      </c>
      <c r="C335" s="1158">
        <v>60000</v>
      </c>
      <c r="D335" s="1158">
        <v>60000</v>
      </c>
      <c r="E335" s="1163">
        <v>0</v>
      </c>
      <c r="F335" s="1163"/>
      <c r="G335" s="1243">
        <f t="shared" si="100"/>
        <v>0</v>
      </c>
      <c r="H335" s="1248">
        <f t="shared" si="101"/>
        <v>0</v>
      </c>
      <c r="I335" s="1258">
        <v>0</v>
      </c>
      <c r="J335" s="1520">
        <v>0</v>
      </c>
    </row>
    <row r="336" spans="1:10" s="116" customFormat="1" x14ac:dyDescent="0.2">
      <c r="A336" s="838" t="s">
        <v>591</v>
      </c>
      <c r="B336" s="792" t="s">
        <v>1312</v>
      </c>
      <c r="C336" s="1164">
        <v>1000000</v>
      </c>
      <c r="D336" s="1164">
        <v>1000000</v>
      </c>
      <c r="E336" s="707">
        <v>0</v>
      </c>
      <c r="F336" s="707"/>
      <c r="G336" s="1243">
        <f t="shared" si="100"/>
        <v>0</v>
      </c>
      <c r="H336" s="1248">
        <f t="shared" si="101"/>
        <v>0</v>
      </c>
      <c r="I336" s="1258">
        <v>0</v>
      </c>
      <c r="J336" s="1520">
        <v>0</v>
      </c>
    </row>
    <row r="337" spans="1:11" s="116" customFormat="1" x14ac:dyDescent="0.2">
      <c r="A337" s="835">
        <v>3632</v>
      </c>
      <c r="B337" s="768" t="s">
        <v>1349</v>
      </c>
      <c r="C337" s="701">
        <f>SUM(C339:C341)</f>
        <v>3466630</v>
      </c>
      <c r="D337" s="701">
        <f>SUM(D339:D341)</f>
        <v>3466630</v>
      </c>
      <c r="E337" s="701">
        <v>1691329</v>
      </c>
      <c r="F337" s="707">
        <f>SUM(E338,E340)</f>
        <v>1691329</v>
      </c>
      <c r="G337" s="825">
        <f t="shared" si="100"/>
        <v>48.788852574402227</v>
      </c>
      <c r="H337" s="1244">
        <f t="shared" si="101"/>
        <v>48.788852574402227</v>
      </c>
      <c r="I337" s="1257">
        <f t="shared" si="97"/>
        <v>97.751008240465779</v>
      </c>
      <c r="J337" s="1520">
        <v>1730242</v>
      </c>
    </row>
    <row r="338" spans="1:11" s="116" customFormat="1" x14ac:dyDescent="0.2">
      <c r="A338" s="712"/>
      <c r="B338" s="762" t="s">
        <v>1042</v>
      </c>
      <c r="C338" s="707">
        <f>SUM(C339:C339)</f>
        <v>366630</v>
      </c>
      <c r="D338" s="707">
        <f>SUM(D339:D339)</f>
        <v>366630</v>
      </c>
      <c r="E338" s="1163">
        <v>191329</v>
      </c>
      <c r="F338" s="1163"/>
      <c r="G338" s="1243">
        <f t="shared" si="100"/>
        <v>52.185854949131269</v>
      </c>
      <c r="H338" s="1248">
        <f t="shared" si="101"/>
        <v>52.185854949131269</v>
      </c>
      <c r="I338" s="1258">
        <f t="shared" si="97"/>
        <v>632.7017195767196</v>
      </c>
      <c r="J338" s="1520">
        <v>30240</v>
      </c>
    </row>
    <row r="339" spans="1:11" s="116" customFormat="1" x14ac:dyDescent="0.2">
      <c r="A339" s="838" t="s">
        <v>377</v>
      </c>
      <c r="B339" s="761" t="s">
        <v>1153</v>
      </c>
      <c r="C339" s="1163">
        <f>342430+24200</f>
        <v>366630</v>
      </c>
      <c r="D339" s="1163">
        <f>342430+24200</f>
        <v>366630</v>
      </c>
      <c r="E339" s="1163">
        <v>191329</v>
      </c>
      <c r="F339" s="1163"/>
      <c r="G339" s="1243">
        <f t="shared" si="100"/>
        <v>52.185854949131269</v>
      </c>
      <c r="H339" s="1248">
        <f t="shared" si="101"/>
        <v>52.185854949131269</v>
      </c>
      <c r="I339" s="1258">
        <f t="shared" si="97"/>
        <v>632.7017195767196</v>
      </c>
      <c r="J339" s="1520">
        <v>30240</v>
      </c>
    </row>
    <row r="340" spans="1:11" s="116" customFormat="1" x14ac:dyDescent="0.2">
      <c r="A340" s="837" t="s">
        <v>383</v>
      </c>
      <c r="B340" s="761" t="s">
        <v>1043</v>
      </c>
      <c r="C340" s="1163">
        <v>3000000</v>
      </c>
      <c r="D340" s="1163">
        <v>3000000</v>
      </c>
      <c r="E340" s="1163">
        <v>1500000</v>
      </c>
      <c r="F340" s="1163"/>
      <c r="G340" s="1243">
        <f t="shared" si="100"/>
        <v>50</v>
      </c>
      <c r="H340" s="1248">
        <f t="shared" si="101"/>
        <v>50</v>
      </c>
      <c r="I340" s="1258">
        <f t="shared" si="97"/>
        <v>88.235294117647058</v>
      </c>
      <c r="J340" s="1520">
        <v>1700000</v>
      </c>
    </row>
    <row r="341" spans="1:11" s="116" customFormat="1" x14ac:dyDescent="0.2">
      <c r="A341" s="837" t="s">
        <v>387</v>
      </c>
      <c r="B341" s="761" t="s">
        <v>388</v>
      </c>
      <c r="C341" s="1163">
        <v>100000</v>
      </c>
      <c r="D341" s="1163">
        <v>100000</v>
      </c>
      <c r="E341" s="707">
        <v>0</v>
      </c>
      <c r="F341" s="707"/>
      <c r="G341" s="1243">
        <f t="shared" si="100"/>
        <v>0</v>
      </c>
      <c r="H341" s="1248">
        <f t="shared" si="101"/>
        <v>0</v>
      </c>
      <c r="I341" s="1258">
        <v>0</v>
      </c>
      <c r="J341" s="1520">
        <v>0</v>
      </c>
    </row>
    <row r="342" spans="1:11" s="116" customFormat="1" x14ac:dyDescent="0.2">
      <c r="A342" s="713">
        <v>3639</v>
      </c>
      <c r="B342" s="760" t="s">
        <v>1352</v>
      </c>
      <c r="C342" s="701">
        <f>SUM(C343:C343)</f>
        <v>5000</v>
      </c>
      <c r="D342" s="701">
        <f>SUM(D343:D343)</f>
        <v>5000</v>
      </c>
      <c r="E342" s="1218">
        <v>0</v>
      </c>
      <c r="F342" s="1163"/>
      <c r="G342" s="825">
        <f t="shared" si="100"/>
        <v>0</v>
      </c>
      <c r="H342" s="1244">
        <f t="shared" si="101"/>
        <v>0</v>
      </c>
      <c r="I342" s="1257">
        <v>0</v>
      </c>
      <c r="J342" s="1520">
        <v>0</v>
      </c>
    </row>
    <row r="343" spans="1:11" s="116" customFormat="1" x14ac:dyDescent="0.2">
      <c r="A343" s="1166" t="s">
        <v>392</v>
      </c>
      <c r="B343" s="761" t="s">
        <v>1354</v>
      </c>
      <c r="C343" s="1163">
        <v>5000</v>
      </c>
      <c r="D343" s="1163">
        <v>5000</v>
      </c>
      <c r="E343" s="707">
        <v>0</v>
      </c>
      <c r="F343" s="707"/>
      <c r="G343" s="1243">
        <f t="shared" si="100"/>
        <v>0</v>
      </c>
      <c r="H343" s="1248">
        <f t="shared" si="101"/>
        <v>0</v>
      </c>
      <c r="I343" s="1258">
        <v>0</v>
      </c>
      <c r="J343" s="1520">
        <v>0</v>
      </c>
    </row>
    <row r="344" spans="1:11" s="116" customFormat="1" x14ac:dyDescent="0.2">
      <c r="A344" s="713">
        <v>3699</v>
      </c>
      <c r="B344" s="760" t="s">
        <v>1355</v>
      </c>
      <c r="C344" s="701">
        <f t="shared" ref="C344:D344" si="102">SUM(C345:C346)</f>
        <v>650000</v>
      </c>
      <c r="D344" s="701">
        <f t="shared" si="102"/>
        <v>650000</v>
      </c>
      <c r="E344" s="1582">
        <v>27104</v>
      </c>
      <c r="F344" s="708"/>
      <c r="G344" s="825">
        <f t="shared" si="100"/>
        <v>4.1698461538461542</v>
      </c>
      <c r="H344" s="1244">
        <f t="shared" si="101"/>
        <v>4.1698461538461542</v>
      </c>
      <c r="I344" s="1257">
        <f t="shared" si="97"/>
        <v>33.548000599071443</v>
      </c>
      <c r="J344" s="1520">
        <v>80791.7</v>
      </c>
    </row>
    <row r="345" spans="1:11" s="116" customFormat="1" x14ac:dyDescent="0.2">
      <c r="A345" s="839" t="s">
        <v>1731</v>
      </c>
      <c r="B345" s="758" t="s">
        <v>1855</v>
      </c>
      <c r="C345" s="709">
        <v>100000</v>
      </c>
      <c r="D345" s="709">
        <v>100000</v>
      </c>
      <c r="E345" s="707">
        <v>0</v>
      </c>
      <c r="F345" s="707"/>
      <c r="G345" s="1243">
        <f t="shared" si="100"/>
        <v>0</v>
      </c>
      <c r="H345" s="1248">
        <f t="shared" si="101"/>
        <v>0</v>
      </c>
      <c r="I345" s="1258">
        <f t="shared" si="97"/>
        <v>0</v>
      </c>
      <c r="J345" s="1520">
        <v>43923</v>
      </c>
    </row>
    <row r="346" spans="1:11" ht="12.75" customHeight="1" x14ac:dyDescent="0.2">
      <c r="A346" s="839" t="s">
        <v>395</v>
      </c>
      <c r="B346" s="1182" t="s">
        <v>1860</v>
      </c>
      <c r="C346" s="735">
        <v>550000</v>
      </c>
      <c r="D346" s="735">
        <v>550000</v>
      </c>
      <c r="E346" s="708">
        <v>27104</v>
      </c>
      <c r="F346" s="708"/>
      <c r="G346" s="1243">
        <f t="shared" si="100"/>
        <v>4.9279999999999999</v>
      </c>
      <c r="H346" s="1248">
        <f t="shared" si="101"/>
        <v>4.9279999999999999</v>
      </c>
      <c r="I346" s="1258">
        <f t="shared" si="97"/>
        <v>73.514932720708899</v>
      </c>
      <c r="J346" s="1520">
        <v>36868.699999999997</v>
      </c>
    </row>
    <row r="347" spans="1:11" s="116" customFormat="1" x14ac:dyDescent="0.2">
      <c r="A347" s="713">
        <v>3900</v>
      </c>
      <c r="B347" s="760" t="s">
        <v>2085</v>
      </c>
      <c r="C347" s="701">
        <v>0</v>
      </c>
      <c r="D347" s="701">
        <f>D348</f>
        <v>353320</v>
      </c>
      <c r="E347" s="1582">
        <v>0</v>
      </c>
      <c r="F347" s="708"/>
      <c r="G347" s="825">
        <v>0</v>
      </c>
      <c r="H347" s="1244">
        <f t="shared" si="101"/>
        <v>0</v>
      </c>
      <c r="I347" s="1257">
        <v>0</v>
      </c>
      <c r="J347" s="1520">
        <v>0</v>
      </c>
    </row>
    <row r="348" spans="1:11" s="116" customFormat="1" x14ac:dyDescent="0.2">
      <c r="A348" s="839" t="s">
        <v>2086</v>
      </c>
      <c r="B348" s="1640" t="s">
        <v>2087</v>
      </c>
      <c r="C348" s="1641">
        <v>0</v>
      </c>
      <c r="D348" s="1641">
        <v>353320</v>
      </c>
      <c r="E348" s="1641">
        <v>0</v>
      </c>
      <c r="F348" s="707">
        <f>SUM(E349:E352)</f>
        <v>24866502.440000001</v>
      </c>
      <c r="G348" s="1243">
        <v>0</v>
      </c>
      <c r="H348" s="1248">
        <f t="shared" si="101"/>
        <v>0</v>
      </c>
      <c r="I348" s="1258">
        <v>0</v>
      </c>
      <c r="J348" s="1520">
        <v>0</v>
      </c>
    </row>
    <row r="349" spans="1:11" ht="12.75" customHeight="1" thickBot="1" x14ac:dyDescent="0.25">
      <c r="A349" s="1649"/>
      <c r="B349" s="1650"/>
      <c r="C349" s="711"/>
      <c r="D349" s="711"/>
      <c r="E349" s="711"/>
      <c r="F349" s="1651"/>
      <c r="G349" s="1652"/>
      <c r="H349" s="1653"/>
      <c r="I349" s="1654"/>
      <c r="J349" s="1520"/>
    </row>
    <row r="350" spans="1:11" ht="21" thickBot="1" x14ac:dyDescent="0.35">
      <c r="A350" s="1642"/>
      <c r="B350" s="1643" t="s">
        <v>1044</v>
      </c>
      <c r="C350" s="1644">
        <f>C351+C365+C418+C442+C453+C465+C470+C482+C520+C539</f>
        <v>268131950</v>
      </c>
      <c r="D350" s="1644">
        <f>D351+D365+D418+D442+D453+D465+D470+D482+D520+D539</f>
        <v>267381950</v>
      </c>
      <c r="E350" s="1645">
        <v>24866502.440000001</v>
      </c>
      <c r="F350" s="1646">
        <f>SUM(E351,E365,E418,E442,E453,E465,E470,E482,E510,E539)</f>
        <v>15057368.440000001</v>
      </c>
      <c r="G350" s="1647">
        <f>E350/C350*100</f>
        <v>9.2739796357726121</v>
      </c>
      <c r="H350" s="1647">
        <f>E350/D350*100</f>
        <v>9.2999929277200657</v>
      </c>
      <c r="I350" s="1648">
        <f>E350/J350*100</f>
        <v>210.90785694347883</v>
      </c>
      <c r="J350" s="1520">
        <v>11790221</v>
      </c>
      <c r="K350" s="12"/>
    </row>
    <row r="351" spans="1:11" s="116" customFormat="1" ht="16.5" thickBot="1" x14ac:dyDescent="0.3">
      <c r="A351" s="1139"/>
      <c r="B351" s="1140" t="s">
        <v>398</v>
      </c>
      <c r="C351" s="931">
        <f t="shared" ref="C351:D351" si="103">SUM(C352+C357)</f>
        <v>7770000</v>
      </c>
      <c r="D351" s="931">
        <f t="shared" si="103"/>
        <v>9470000</v>
      </c>
      <c r="E351" s="931">
        <v>0</v>
      </c>
      <c r="F351" s="1298">
        <f>SUM(E352,E357)</f>
        <v>0</v>
      </c>
      <c r="G351" s="1237">
        <f>E351/C351*100</f>
        <v>0</v>
      </c>
      <c r="H351" s="1237">
        <f>E351/D351*100</f>
        <v>0</v>
      </c>
      <c r="I351" s="1253">
        <f t="shared" ref="I351:I358" si="104">E351/J351*100</f>
        <v>0</v>
      </c>
      <c r="J351" s="1520">
        <v>24203</v>
      </c>
    </row>
    <row r="352" spans="1:11" s="116" customFormat="1" ht="13.5" customHeight="1" x14ac:dyDescent="0.2">
      <c r="A352" s="1409">
        <v>2310</v>
      </c>
      <c r="B352" s="1410" t="s">
        <v>1356</v>
      </c>
      <c r="C352" s="919">
        <f>SUM(C353:C356)</f>
        <v>505000</v>
      </c>
      <c r="D352" s="919">
        <f>SUM(D353:D356)</f>
        <v>2205000</v>
      </c>
      <c r="E352" s="1299">
        <v>0</v>
      </c>
      <c r="F352" s="1300">
        <f>SUM(E355:E356)</f>
        <v>0</v>
      </c>
      <c r="G352" s="825">
        <f t="shared" ref="G352" si="105">E352/C352*100</f>
        <v>0</v>
      </c>
      <c r="H352" s="1244">
        <f t="shared" ref="H352:H353" si="106">E352/D352*100</f>
        <v>0</v>
      </c>
      <c r="I352" s="1257">
        <v>0</v>
      </c>
      <c r="J352" s="1520">
        <v>0</v>
      </c>
    </row>
    <row r="353" spans="1:10" x14ac:dyDescent="0.2">
      <c r="A353" s="1054" t="s">
        <v>263</v>
      </c>
      <c r="B353" s="967" t="s">
        <v>2021</v>
      </c>
      <c r="C353" s="1150">
        <v>0</v>
      </c>
      <c r="D353" s="1150">
        <f>200000+40000</f>
        <v>240000</v>
      </c>
      <c r="E353" s="1163">
        <v>0</v>
      </c>
      <c r="F353" s="1163"/>
      <c r="G353" s="1243">
        <v>0</v>
      </c>
      <c r="H353" s="1248">
        <f t="shared" si="106"/>
        <v>0</v>
      </c>
      <c r="I353" s="1258">
        <v>0</v>
      </c>
      <c r="J353" s="1520">
        <v>0</v>
      </c>
    </row>
    <row r="354" spans="1:10" x14ac:dyDescent="0.2">
      <c r="A354" s="1054" t="s">
        <v>1487</v>
      </c>
      <c r="B354" s="967" t="s">
        <v>2022</v>
      </c>
      <c r="C354" s="1150">
        <v>0</v>
      </c>
      <c r="D354" s="1150">
        <f>1500000-40000</f>
        <v>1460000</v>
      </c>
      <c r="E354" s="1163">
        <v>0</v>
      </c>
      <c r="F354" s="1163"/>
      <c r="G354" s="1243">
        <v>0</v>
      </c>
      <c r="H354" s="1248">
        <f t="shared" ref="H354:H364" si="107">E354/D354*100</f>
        <v>0</v>
      </c>
      <c r="I354" s="1258">
        <v>0</v>
      </c>
      <c r="J354" s="1520">
        <v>0</v>
      </c>
    </row>
    <row r="355" spans="1:10" s="107" customFormat="1" ht="13.5" customHeight="1" x14ac:dyDescent="0.2">
      <c r="A355" s="1411" t="s">
        <v>404</v>
      </c>
      <c r="B355" s="1412" t="s">
        <v>1757</v>
      </c>
      <c r="C355" s="744">
        <v>5000</v>
      </c>
      <c r="D355" s="744">
        <v>5000</v>
      </c>
      <c r="E355" s="744">
        <v>0</v>
      </c>
      <c r="F355" s="744"/>
      <c r="G355" s="1243">
        <f t="shared" ref="G355:G364" si="108">E355/C355*100</f>
        <v>0</v>
      </c>
      <c r="H355" s="1248">
        <f t="shared" si="107"/>
        <v>0</v>
      </c>
      <c r="I355" s="1258">
        <v>0</v>
      </c>
      <c r="J355" s="1179">
        <v>0</v>
      </c>
    </row>
    <row r="356" spans="1:10" s="107" customFormat="1" x14ac:dyDescent="0.2">
      <c r="A356" s="926" t="s">
        <v>1264</v>
      </c>
      <c r="B356" s="1412" t="s">
        <v>1758</v>
      </c>
      <c r="C356" s="744">
        <v>500000</v>
      </c>
      <c r="D356" s="744">
        <v>500000</v>
      </c>
      <c r="E356" s="744">
        <v>0</v>
      </c>
      <c r="F356" s="744"/>
      <c r="G356" s="1243">
        <f t="shared" si="108"/>
        <v>0</v>
      </c>
      <c r="H356" s="1248">
        <f t="shared" si="107"/>
        <v>0</v>
      </c>
      <c r="I356" s="1258">
        <v>0</v>
      </c>
      <c r="J356" s="1179">
        <v>0</v>
      </c>
    </row>
    <row r="357" spans="1:10" s="107" customFormat="1" x14ac:dyDescent="0.2">
      <c r="A357" s="1407">
        <v>2321</v>
      </c>
      <c r="B357" s="1408" t="s">
        <v>1357</v>
      </c>
      <c r="C357" s="920">
        <f>SUM(C358:C364)</f>
        <v>7265000</v>
      </c>
      <c r="D357" s="920">
        <f>SUM(D358:D364)</f>
        <v>7265000</v>
      </c>
      <c r="E357" s="920">
        <v>0</v>
      </c>
      <c r="F357" s="1301">
        <f>SUM(E358:E364)</f>
        <v>0</v>
      </c>
      <c r="G357" s="825">
        <f t="shared" si="108"/>
        <v>0</v>
      </c>
      <c r="H357" s="1244">
        <f t="shared" si="107"/>
        <v>0</v>
      </c>
      <c r="I357" s="1257">
        <f t="shared" si="104"/>
        <v>0</v>
      </c>
      <c r="J357" s="1179">
        <v>24203</v>
      </c>
    </row>
    <row r="358" spans="1:10" s="107" customFormat="1" x14ac:dyDescent="0.2">
      <c r="A358" s="1411" t="s">
        <v>1045</v>
      </c>
      <c r="B358" s="1412" t="s">
        <v>1666</v>
      </c>
      <c r="C358" s="744">
        <v>5000</v>
      </c>
      <c r="D358" s="744">
        <v>5000</v>
      </c>
      <c r="E358" s="744">
        <v>0</v>
      </c>
      <c r="F358" s="744"/>
      <c r="G358" s="1243">
        <f t="shared" si="108"/>
        <v>0</v>
      </c>
      <c r="H358" s="1248">
        <f t="shared" si="107"/>
        <v>0</v>
      </c>
      <c r="I358" s="1258">
        <f t="shared" si="104"/>
        <v>0</v>
      </c>
      <c r="J358" s="1179">
        <v>1273</v>
      </c>
    </row>
    <row r="359" spans="1:10" s="107" customFormat="1" x14ac:dyDescent="0.2">
      <c r="A359" s="1411" t="s">
        <v>1267</v>
      </c>
      <c r="B359" s="1412" t="s">
        <v>1667</v>
      </c>
      <c r="C359" s="744">
        <v>500000</v>
      </c>
      <c r="D359" s="744">
        <f>500000-300</f>
        <v>499700</v>
      </c>
      <c r="E359" s="744">
        <v>0</v>
      </c>
      <c r="F359" s="744"/>
      <c r="G359" s="1243">
        <f>E359/C359*100</f>
        <v>0</v>
      </c>
      <c r="H359" s="1248">
        <f>E359/D359*100</f>
        <v>0</v>
      </c>
      <c r="I359" s="1258">
        <v>0</v>
      </c>
      <c r="J359" s="1179">
        <v>0</v>
      </c>
    </row>
    <row r="360" spans="1:10" s="107" customFormat="1" x14ac:dyDescent="0.2">
      <c r="A360" s="1411" t="s">
        <v>1265</v>
      </c>
      <c r="B360" s="1412" t="s">
        <v>1759</v>
      </c>
      <c r="C360" s="744">
        <v>750000</v>
      </c>
      <c r="D360" s="744">
        <v>750000</v>
      </c>
      <c r="E360" s="744">
        <v>0</v>
      </c>
      <c r="F360" s="744"/>
      <c r="G360" s="1243">
        <f t="shared" si="108"/>
        <v>0</v>
      </c>
      <c r="H360" s="1248">
        <f t="shared" si="107"/>
        <v>0</v>
      </c>
      <c r="I360" s="1258">
        <v>0</v>
      </c>
      <c r="J360" s="1179">
        <v>0</v>
      </c>
    </row>
    <row r="361" spans="1:10" s="107" customFormat="1" x14ac:dyDescent="0.2">
      <c r="A361" s="926" t="s">
        <v>1266</v>
      </c>
      <c r="B361" s="1412" t="s">
        <v>2133</v>
      </c>
      <c r="C361" s="744">
        <v>500000</v>
      </c>
      <c r="D361" s="744">
        <v>500000</v>
      </c>
      <c r="E361" s="744">
        <v>0</v>
      </c>
      <c r="F361" s="744"/>
      <c r="G361" s="1243">
        <f t="shared" si="108"/>
        <v>0</v>
      </c>
      <c r="H361" s="1248">
        <f t="shared" si="107"/>
        <v>0</v>
      </c>
      <c r="I361" s="1258">
        <v>0</v>
      </c>
      <c r="J361" s="1179">
        <v>0</v>
      </c>
    </row>
    <row r="362" spans="1:10" s="107" customFormat="1" x14ac:dyDescent="0.2">
      <c r="A362" s="1411" t="s">
        <v>413</v>
      </c>
      <c r="B362" s="1412" t="s">
        <v>414</v>
      </c>
      <c r="C362" s="744">
        <v>5000000</v>
      </c>
      <c r="D362" s="744">
        <v>5000000</v>
      </c>
      <c r="E362" s="744">
        <v>0</v>
      </c>
      <c r="F362" s="744"/>
      <c r="G362" s="1243">
        <f t="shared" si="108"/>
        <v>0</v>
      </c>
      <c r="H362" s="1248">
        <f t="shared" si="107"/>
        <v>0</v>
      </c>
      <c r="I362" s="1258">
        <v>0</v>
      </c>
      <c r="J362" s="1179">
        <v>0</v>
      </c>
    </row>
    <row r="363" spans="1:10" s="107" customFormat="1" x14ac:dyDescent="0.2">
      <c r="A363" s="1411" t="s">
        <v>415</v>
      </c>
      <c r="B363" s="1412" t="s">
        <v>1255</v>
      </c>
      <c r="C363" s="744">
        <v>450000</v>
      </c>
      <c r="D363" s="744">
        <v>450000</v>
      </c>
      <c r="E363" s="744">
        <v>0</v>
      </c>
      <c r="F363" s="744"/>
      <c r="G363" s="1243">
        <f t="shared" si="108"/>
        <v>0</v>
      </c>
      <c r="H363" s="1248">
        <f t="shared" si="107"/>
        <v>0</v>
      </c>
      <c r="I363" s="1258">
        <v>0</v>
      </c>
      <c r="J363" s="1179">
        <v>0</v>
      </c>
    </row>
    <row r="364" spans="1:10" s="12" customFormat="1" ht="13.5" thickBot="1" x14ac:dyDescent="0.25">
      <c r="A364" s="1413" t="s">
        <v>417</v>
      </c>
      <c r="B364" s="1414" t="s">
        <v>1761</v>
      </c>
      <c r="C364" s="1143">
        <v>60000</v>
      </c>
      <c r="D364" s="1143">
        <f>60000+300</f>
        <v>60300</v>
      </c>
      <c r="E364" s="751">
        <v>0</v>
      </c>
      <c r="F364" s="751"/>
      <c r="G364" s="1243">
        <f t="shared" si="108"/>
        <v>0</v>
      </c>
      <c r="H364" s="1248">
        <f t="shared" si="107"/>
        <v>0</v>
      </c>
      <c r="I364" s="1258">
        <v>0</v>
      </c>
      <c r="J364" s="1179">
        <v>0</v>
      </c>
    </row>
    <row r="365" spans="1:10" s="12" customFormat="1" ht="16.5" thickBot="1" x14ac:dyDescent="0.3">
      <c r="A365" s="891"/>
      <c r="B365" s="793" t="s">
        <v>424</v>
      </c>
      <c r="C365" s="949">
        <f>SUM(C366+C385+C415)</f>
        <v>65784950</v>
      </c>
      <c r="D365" s="949">
        <f>SUM(D366+D385+D415)</f>
        <v>70684950</v>
      </c>
      <c r="E365" s="931">
        <v>6741951.5700000003</v>
      </c>
      <c r="F365" s="1298">
        <f>SUM(E366,E385,E415)</f>
        <v>6741951.5700000003</v>
      </c>
      <c r="G365" s="1237">
        <f>E365/C365*100</f>
        <v>10.248471071270862</v>
      </c>
      <c r="H365" s="1237">
        <f>E365/D365*100</f>
        <v>9.5380297644689573</v>
      </c>
      <c r="I365" s="1253">
        <f t="shared" ref="I365" si="109">E365/J365*100</f>
        <v>181.38566449400395</v>
      </c>
      <c r="J365" s="1179">
        <v>3716915.33</v>
      </c>
    </row>
    <row r="366" spans="1:10" s="12" customFormat="1" x14ac:dyDescent="0.2">
      <c r="A366" s="1409">
        <v>2212</v>
      </c>
      <c r="B366" s="1410" t="s">
        <v>1358</v>
      </c>
      <c r="C366" s="919">
        <f>SUM(C367:C384)</f>
        <v>29190000</v>
      </c>
      <c r="D366" s="919">
        <f>SUM(D367:D384)</f>
        <v>35690000</v>
      </c>
      <c r="E366" s="919">
        <v>1598380.42</v>
      </c>
      <c r="F366" s="1302">
        <f>SUM(E367:E384)</f>
        <v>1598380.42</v>
      </c>
      <c r="G366" s="825">
        <f t="shared" ref="G366:G368" si="110">E366/C366*100</f>
        <v>5.4757808153477212</v>
      </c>
      <c r="H366" s="1244">
        <f t="shared" ref="H366:H368" si="111">E366/D366*100</f>
        <v>4.4785105631829643</v>
      </c>
      <c r="I366" s="1255">
        <f>E366/J366*100</f>
        <v>316.31689348624417</v>
      </c>
      <c r="J366" s="1179">
        <v>505309.85</v>
      </c>
    </row>
    <row r="367" spans="1:10" s="12" customFormat="1" ht="14.25" customHeight="1" x14ac:dyDescent="0.2">
      <c r="A367" s="1411" t="s">
        <v>293</v>
      </c>
      <c r="B367" s="1412" t="s">
        <v>426</v>
      </c>
      <c r="C367" s="744">
        <v>300000</v>
      </c>
      <c r="D367" s="744">
        <f>300000-160000</f>
        <v>140000</v>
      </c>
      <c r="E367" s="744">
        <v>0</v>
      </c>
      <c r="F367" s="744"/>
      <c r="G367" s="1243">
        <f t="shared" si="110"/>
        <v>0</v>
      </c>
      <c r="H367" s="1248">
        <f t="shared" si="111"/>
        <v>0</v>
      </c>
      <c r="I367" s="1249">
        <f>E367/J367*100</f>
        <v>0</v>
      </c>
      <c r="J367" s="1179">
        <v>77621.600000000006</v>
      </c>
    </row>
    <row r="368" spans="1:10" s="12" customFormat="1" x14ac:dyDescent="0.2">
      <c r="A368" s="1411" t="s">
        <v>291</v>
      </c>
      <c r="B368" s="1412" t="s">
        <v>427</v>
      </c>
      <c r="C368" s="744">
        <v>4000000</v>
      </c>
      <c r="D368" s="744">
        <v>4000000</v>
      </c>
      <c r="E368" s="744">
        <v>0</v>
      </c>
      <c r="F368" s="744"/>
      <c r="G368" s="1243">
        <f t="shared" si="110"/>
        <v>0</v>
      </c>
      <c r="H368" s="1248">
        <f t="shared" si="111"/>
        <v>0</v>
      </c>
      <c r="I368" s="1249">
        <v>0</v>
      </c>
      <c r="J368" s="1179">
        <v>0</v>
      </c>
    </row>
    <row r="369" spans="1:10" s="12" customFormat="1" x14ac:dyDescent="0.2">
      <c r="A369" s="1411" t="s">
        <v>1719</v>
      </c>
      <c r="B369" s="1412" t="s">
        <v>1695</v>
      </c>
      <c r="C369" s="744">
        <v>750000</v>
      </c>
      <c r="D369" s="744">
        <v>750000</v>
      </c>
      <c r="E369" s="744">
        <v>156543.29999999999</v>
      </c>
      <c r="F369" s="744"/>
      <c r="G369" s="1243">
        <f t="shared" ref="G369:G375" si="112">E369/C369*100</f>
        <v>20.872439999999997</v>
      </c>
      <c r="H369" s="1248">
        <f t="shared" ref="H369:H375" si="113">E369/D369*100</f>
        <v>20.872439999999997</v>
      </c>
      <c r="I369" s="1249">
        <v>0</v>
      </c>
      <c r="J369" s="1179">
        <v>0</v>
      </c>
    </row>
    <row r="370" spans="1:10" s="12" customFormat="1" x14ac:dyDescent="0.2">
      <c r="A370" s="1411" t="s">
        <v>442</v>
      </c>
      <c r="B370" s="1405" t="s">
        <v>1764</v>
      </c>
      <c r="C370" s="744">
        <v>5000</v>
      </c>
      <c r="D370" s="744">
        <v>5000</v>
      </c>
      <c r="E370" s="744">
        <v>0</v>
      </c>
      <c r="F370" s="744"/>
      <c r="G370" s="1243">
        <f t="shared" si="112"/>
        <v>0</v>
      </c>
      <c r="H370" s="1248">
        <f t="shared" si="113"/>
        <v>0</v>
      </c>
      <c r="I370" s="1249">
        <v>0</v>
      </c>
      <c r="J370" s="1179">
        <v>0</v>
      </c>
    </row>
    <row r="371" spans="1:10" s="12" customFormat="1" x14ac:dyDescent="0.2">
      <c r="A371" s="1411" t="s">
        <v>1047</v>
      </c>
      <c r="B371" s="1412" t="s">
        <v>1668</v>
      </c>
      <c r="C371" s="744">
        <v>30000</v>
      </c>
      <c r="D371" s="744">
        <f>30000+160000</f>
        <v>190000</v>
      </c>
      <c r="E371" s="744">
        <v>125618</v>
      </c>
      <c r="F371" s="744"/>
      <c r="G371" s="1243">
        <f t="shared" si="112"/>
        <v>418.72666666666669</v>
      </c>
      <c r="H371" s="1248">
        <f t="shared" si="113"/>
        <v>66.114736842105259</v>
      </c>
      <c r="I371" s="1249">
        <v>0</v>
      </c>
      <c r="J371" s="1179">
        <v>0</v>
      </c>
    </row>
    <row r="372" spans="1:10" s="12" customFormat="1" x14ac:dyDescent="0.2">
      <c r="A372" s="1411" t="s">
        <v>1270</v>
      </c>
      <c r="B372" s="1412" t="s">
        <v>2130</v>
      </c>
      <c r="C372" s="744">
        <v>3250000</v>
      </c>
      <c r="D372" s="744">
        <f>3250000+400000</f>
        <v>3650000</v>
      </c>
      <c r="E372" s="744">
        <v>459800</v>
      </c>
      <c r="F372" s="744"/>
      <c r="G372" s="1243">
        <f t="shared" si="112"/>
        <v>14.147692307692308</v>
      </c>
      <c r="H372" s="1248">
        <f t="shared" si="113"/>
        <v>12.597260273972601</v>
      </c>
      <c r="I372" s="1249">
        <v>0</v>
      </c>
      <c r="J372" s="1179">
        <v>0</v>
      </c>
    </row>
    <row r="373" spans="1:10" s="12" customFormat="1" x14ac:dyDescent="0.2">
      <c r="A373" s="1411" t="s">
        <v>2111</v>
      </c>
      <c r="B373" s="1412" t="s">
        <v>1671</v>
      </c>
      <c r="C373" s="744">
        <v>500000</v>
      </c>
      <c r="D373" s="744">
        <v>500000</v>
      </c>
      <c r="E373" s="744">
        <v>0</v>
      </c>
      <c r="F373" s="744"/>
      <c r="G373" s="1243">
        <f t="shared" si="112"/>
        <v>0</v>
      </c>
      <c r="H373" s="1248">
        <f t="shared" si="113"/>
        <v>0</v>
      </c>
      <c r="I373" s="1249">
        <v>0</v>
      </c>
      <c r="J373" s="1179">
        <v>0</v>
      </c>
    </row>
    <row r="374" spans="1:10" s="12" customFormat="1" x14ac:dyDescent="0.2">
      <c r="A374" s="1411" t="s">
        <v>1615</v>
      </c>
      <c r="B374" s="1412" t="s">
        <v>2131</v>
      </c>
      <c r="C374" s="744">
        <v>200000</v>
      </c>
      <c r="D374" s="744">
        <v>200000</v>
      </c>
      <c r="E374" s="744">
        <v>0</v>
      </c>
      <c r="F374" s="744"/>
      <c r="G374" s="1243">
        <f t="shared" si="112"/>
        <v>0</v>
      </c>
      <c r="H374" s="1248">
        <f t="shared" si="113"/>
        <v>0</v>
      </c>
      <c r="I374" s="1249">
        <v>0</v>
      </c>
      <c r="J374" s="1179">
        <v>0</v>
      </c>
    </row>
    <row r="375" spans="1:10" s="12" customFormat="1" x14ac:dyDescent="0.2">
      <c r="A375" s="1411" t="s">
        <v>1614</v>
      </c>
      <c r="B375" s="1412" t="s">
        <v>2132</v>
      </c>
      <c r="C375" s="744">
        <v>250000</v>
      </c>
      <c r="D375" s="744">
        <v>250000</v>
      </c>
      <c r="E375" s="744">
        <v>0</v>
      </c>
      <c r="F375" s="744"/>
      <c r="G375" s="1243">
        <f t="shared" si="112"/>
        <v>0</v>
      </c>
      <c r="H375" s="1248">
        <f t="shared" si="113"/>
        <v>0</v>
      </c>
      <c r="I375" s="1249">
        <v>0</v>
      </c>
      <c r="J375" s="1179">
        <v>0</v>
      </c>
    </row>
    <row r="376" spans="1:10" s="12" customFormat="1" x14ac:dyDescent="0.2">
      <c r="A376" s="1411" t="s">
        <v>293</v>
      </c>
      <c r="B376" s="1412" t="s">
        <v>1762</v>
      </c>
      <c r="C376" s="744">
        <v>1500000</v>
      </c>
      <c r="D376" s="744">
        <f>1500000-1100000-400000</f>
        <v>0</v>
      </c>
      <c r="E376" s="744">
        <v>0</v>
      </c>
      <c r="F376" s="744"/>
      <c r="G376" s="1243">
        <f t="shared" ref="G376:G400" si="114">E376/C376*100</f>
        <v>0</v>
      </c>
      <c r="H376" s="1248">
        <v>0</v>
      </c>
      <c r="I376" s="1249">
        <v>0</v>
      </c>
      <c r="J376" s="1179">
        <v>0</v>
      </c>
    </row>
    <row r="377" spans="1:10" s="12" customFormat="1" x14ac:dyDescent="0.2">
      <c r="A377" s="1411" t="s">
        <v>449</v>
      </c>
      <c r="B377" s="1412" t="s">
        <v>1511</v>
      </c>
      <c r="C377" s="744">
        <v>13000000</v>
      </c>
      <c r="D377" s="744">
        <f>13000000+8000000</f>
        <v>21000000</v>
      </c>
      <c r="E377" s="744">
        <v>0</v>
      </c>
      <c r="F377" s="744"/>
      <c r="G377" s="1243">
        <f>E377/C377*100</f>
        <v>0</v>
      </c>
      <c r="H377" s="1248">
        <f>E377/D377*100</f>
        <v>0</v>
      </c>
      <c r="I377" s="1249">
        <v>0</v>
      </c>
      <c r="J377" s="1179">
        <v>0</v>
      </c>
    </row>
    <row r="378" spans="1:10" s="12" customFormat="1" x14ac:dyDescent="0.2">
      <c r="A378" s="1411" t="s">
        <v>1268</v>
      </c>
      <c r="B378" s="1412" t="s">
        <v>1514</v>
      </c>
      <c r="C378" s="744">
        <v>3000000</v>
      </c>
      <c r="D378" s="744">
        <f>3000000-400000</f>
        <v>2600000</v>
      </c>
      <c r="E378" s="744">
        <v>647089.12</v>
      </c>
      <c r="F378" s="744"/>
      <c r="G378" s="1243">
        <f>E378/C378*100</f>
        <v>21.569637333333333</v>
      </c>
      <c r="H378" s="1248">
        <f>E378/D378*100</f>
        <v>24.888043076923079</v>
      </c>
      <c r="I378" s="1249">
        <f t="shared" ref="I378:I417" si="115">E378/J378*100</f>
        <v>596.50545722713866</v>
      </c>
      <c r="J378" s="1179">
        <v>108480</v>
      </c>
    </row>
    <row r="379" spans="1:10" s="12" customFormat="1" x14ac:dyDescent="0.2">
      <c r="A379" s="1411" t="s">
        <v>440</v>
      </c>
      <c r="B379" s="1412" t="s">
        <v>1763</v>
      </c>
      <c r="C379" s="744">
        <v>5000</v>
      </c>
      <c r="D379" s="744">
        <v>5000</v>
      </c>
      <c r="E379" s="744">
        <v>0</v>
      </c>
      <c r="F379" s="744"/>
      <c r="G379" s="1243">
        <f t="shared" si="114"/>
        <v>0</v>
      </c>
      <c r="H379" s="1248">
        <f t="shared" ref="H379:H400" si="116">E379/D379*100</f>
        <v>0</v>
      </c>
      <c r="I379" s="1249">
        <v>0</v>
      </c>
      <c r="J379" s="1179">
        <v>0</v>
      </c>
    </row>
    <row r="380" spans="1:10" s="12" customFormat="1" x14ac:dyDescent="0.2">
      <c r="A380" s="1411" t="s">
        <v>1046</v>
      </c>
      <c r="B380" s="1412" t="s">
        <v>1161</v>
      </c>
      <c r="C380" s="744">
        <v>1150000</v>
      </c>
      <c r="D380" s="744">
        <v>1150000</v>
      </c>
      <c r="E380" s="744">
        <v>0</v>
      </c>
      <c r="F380" s="744"/>
      <c r="G380" s="1243">
        <f t="shared" si="114"/>
        <v>0</v>
      </c>
      <c r="H380" s="1248">
        <f t="shared" si="116"/>
        <v>0</v>
      </c>
      <c r="I380" s="1249">
        <v>0</v>
      </c>
      <c r="J380" s="1179">
        <v>0</v>
      </c>
    </row>
    <row r="381" spans="1:10" s="12" customFormat="1" x14ac:dyDescent="0.2">
      <c r="A381" s="1411" t="s">
        <v>1512</v>
      </c>
      <c r="B381" s="1412" t="s">
        <v>1669</v>
      </c>
      <c r="C381" s="744">
        <v>350000</v>
      </c>
      <c r="D381" s="744">
        <v>350000</v>
      </c>
      <c r="E381" s="744">
        <v>0</v>
      </c>
      <c r="F381" s="744"/>
      <c r="G381" s="1243">
        <f t="shared" si="114"/>
        <v>0</v>
      </c>
      <c r="H381" s="1248">
        <f t="shared" si="116"/>
        <v>0</v>
      </c>
      <c r="I381" s="1249">
        <v>0</v>
      </c>
      <c r="J381" s="1179">
        <v>0</v>
      </c>
    </row>
    <row r="382" spans="1:10" s="12" customFormat="1" x14ac:dyDescent="0.2">
      <c r="A382" s="1411" t="s">
        <v>453</v>
      </c>
      <c r="B382" s="1412" t="s">
        <v>1310</v>
      </c>
      <c r="C382" s="744">
        <v>200000</v>
      </c>
      <c r="D382" s="744">
        <v>200000</v>
      </c>
      <c r="E382" s="744">
        <v>0</v>
      </c>
      <c r="F382" s="744"/>
      <c r="G382" s="1243">
        <f t="shared" si="114"/>
        <v>0</v>
      </c>
      <c r="H382" s="1248">
        <f t="shared" si="116"/>
        <v>0</v>
      </c>
      <c r="I382" s="1249">
        <v>0</v>
      </c>
      <c r="J382" s="1179">
        <v>0</v>
      </c>
    </row>
    <row r="383" spans="1:10" s="12" customFormat="1" x14ac:dyDescent="0.2">
      <c r="A383" s="1411" t="s">
        <v>1652</v>
      </c>
      <c r="B383" s="1412" t="s">
        <v>1653</v>
      </c>
      <c r="C383" s="744">
        <v>350000</v>
      </c>
      <c r="D383" s="744">
        <v>350000</v>
      </c>
      <c r="E383" s="744">
        <v>30250</v>
      </c>
      <c r="F383" s="1301"/>
      <c r="G383" s="1243">
        <f t="shared" si="114"/>
        <v>8.6428571428571423</v>
      </c>
      <c r="H383" s="1248">
        <f t="shared" si="116"/>
        <v>8.6428571428571423</v>
      </c>
      <c r="I383" s="1249">
        <v>0</v>
      </c>
      <c r="J383" s="1179">
        <v>0</v>
      </c>
    </row>
    <row r="384" spans="1:10" s="12" customFormat="1" x14ac:dyDescent="0.2">
      <c r="A384" s="1411" t="s">
        <v>1269</v>
      </c>
      <c r="B384" s="1412" t="s">
        <v>1162</v>
      </c>
      <c r="C384" s="744">
        <v>350000</v>
      </c>
      <c r="D384" s="744">
        <v>350000</v>
      </c>
      <c r="E384" s="744">
        <v>179080</v>
      </c>
      <c r="F384" s="744"/>
      <c r="G384" s="1243">
        <f t="shared" si="114"/>
        <v>51.16571428571428</v>
      </c>
      <c r="H384" s="1248">
        <f t="shared" si="116"/>
        <v>51.16571428571428</v>
      </c>
      <c r="I384" s="1249">
        <v>0</v>
      </c>
      <c r="J384" s="1179">
        <v>0</v>
      </c>
    </row>
    <row r="385" spans="1:10" s="12" customFormat="1" x14ac:dyDescent="0.2">
      <c r="A385" s="1407">
        <v>2219</v>
      </c>
      <c r="B385" s="1408" t="s">
        <v>1359</v>
      </c>
      <c r="C385" s="920">
        <f>SUM(C386:C414)</f>
        <v>34448950</v>
      </c>
      <c r="D385" s="920">
        <f>SUM(D386:D414)</f>
        <v>32848950</v>
      </c>
      <c r="E385" s="845">
        <v>5076751.1500000004</v>
      </c>
      <c r="F385" s="744">
        <f>SUM(E386:E414)</f>
        <v>5076751.1499999994</v>
      </c>
      <c r="G385" s="825">
        <f t="shared" si="114"/>
        <v>14.737027253370568</v>
      </c>
      <c r="H385" s="1244">
        <f t="shared" si="116"/>
        <v>15.454835390476712</v>
      </c>
      <c r="I385" s="1255">
        <f t="shared" si="115"/>
        <v>158.97539242166835</v>
      </c>
      <c r="J385" s="1179">
        <v>3193419.48</v>
      </c>
    </row>
    <row r="386" spans="1:10" s="12" customFormat="1" x14ac:dyDescent="0.2">
      <c r="A386" s="1411" t="s">
        <v>299</v>
      </c>
      <c r="B386" s="1412" t="s">
        <v>463</v>
      </c>
      <c r="C386" s="744">
        <v>200000</v>
      </c>
      <c r="D386" s="744">
        <v>200000</v>
      </c>
      <c r="E386" s="744">
        <v>0</v>
      </c>
      <c r="F386" s="744"/>
      <c r="G386" s="1243">
        <f t="shared" si="114"/>
        <v>0</v>
      </c>
      <c r="H386" s="1248">
        <f t="shared" si="116"/>
        <v>0</v>
      </c>
      <c r="I386" s="1249">
        <f t="shared" si="115"/>
        <v>0</v>
      </c>
      <c r="J386" s="1179">
        <v>88000</v>
      </c>
    </row>
    <row r="387" spans="1:10" s="12" customFormat="1" x14ac:dyDescent="0.2">
      <c r="A387" s="1411" t="s">
        <v>301</v>
      </c>
      <c r="B387" s="1412" t="s">
        <v>464</v>
      </c>
      <c r="C387" s="744">
        <v>1500000</v>
      </c>
      <c r="D387" s="744">
        <v>1500000</v>
      </c>
      <c r="E387" s="744">
        <v>0</v>
      </c>
      <c r="F387" s="744"/>
      <c r="G387" s="1243">
        <f t="shared" si="114"/>
        <v>0</v>
      </c>
      <c r="H387" s="1248">
        <f t="shared" si="116"/>
        <v>0</v>
      </c>
      <c r="I387" s="1249">
        <v>0</v>
      </c>
      <c r="J387" s="1179">
        <v>0</v>
      </c>
    </row>
    <row r="388" spans="1:10" s="12" customFormat="1" x14ac:dyDescent="0.2">
      <c r="A388" s="1411" t="s">
        <v>467</v>
      </c>
      <c r="B388" s="1412" t="s">
        <v>1721</v>
      </c>
      <c r="C388" s="744">
        <v>2000000</v>
      </c>
      <c r="D388" s="744">
        <f>2000000+481000</f>
        <v>2481000</v>
      </c>
      <c r="E388" s="744">
        <v>2351432.83</v>
      </c>
      <c r="F388" s="744"/>
      <c r="G388" s="1243">
        <f t="shared" si="114"/>
        <v>117.57164150000001</v>
      </c>
      <c r="H388" s="1248">
        <f t="shared" si="116"/>
        <v>94.777623135832329</v>
      </c>
      <c r="I388" s="1249">
        <f t="shared" si="115"/>
        <v>40486.102444903583</v>
      </c>
      <c r="J388" s="1179">
        <v>5808</v>
      </c>
    </row>
    <row r="389" spans="1:10" s="12" customFormat="1" x14ac:dyDescent="0.2">
      <c r="A389" s="1411" t="s">
        <v>471</v>
      </c>
      <c r="B389" s="1412" t="s">
        <v>1722</v>
      </c>
      <c r="C389" s="744">
        <v>500000</v>
      </c>
      <c r="D389" s="744">
        <v>500000</v>
      </c>
      <c r="E389" s="744">
        <v>254100</v>
      </c>
      <c r="F389" s="744"/>
      <c r="G389" s="1243">
        <f t="shared" si="114"/>
        <v>50.82</v>
      </c>
      <c r="H389" s="1248">
        <f t="shared" si="116"/>
        <v>50.82</v>
      </c>
      <c r="I389" s="1249">
        <f t="shared" si="115"/>
        <v>539.30724170133294</v>
      </c>
      <c r="J389" s="1179">
        <v>47116</v>
      </c>
    </row>
    <row r="390" spans="1:10" s="12" customFormat="1" x14ac:dyDescent="0.2">
      <c r="A390" s="1411" t="s">
        <v>1592</v>
      </c>
      <c r="B390" s="1405" t="s">
        <v>1723</v>
      </c>
      <c r="C390" s="744">
        <v>2200000</v>
      </c>
      <c r="D390" s="744">
        <f>2200000-500000</f>
        <v>1700000</v>
      </c>
      <c r="E390" s="744">
        <v>993655.76</v>
      </c>
      <c r="F390" s="744"/>
      <c r="G390" s="1243">
        <f t="shared" si="114"/>
        <v>45.166170909090908</v>
      </c>
      <c r="H390" s="1248">
        <f t="shared" si="116"/>
        <v>58.450338823529414</v>
      </c>
      <c r="I390" s="1249">
        <v>0</v>
      </c>
      <c r="J390" s="1179">
        <v>0</v>
      </c>
    </row>
    <row r="391" spans="1:10" s="12" customFormat="1" x14ac:dyDescent="0.2">
      <c r="A391" s="926" t="s">
        <v>473</v>
      </c>
      <c r="B391" s="1405" t="s">
        <v>1766</v>
      </c>
      <c r="C391" s="744">
        <v>5000</v>
      </c>
      <c r="D391" s="744">
        <v>5000</v>
      </c>
      <c r="E391" s="744">
        <v>0</v>
      </c>
      <c r="F391" s="744"/>
      <c r="G391" s="1243">
        <f t="shared" si="114"/>
        <v>0</v>
      </c>
      <c r="H391" s="1248">
        <f t="shared" si="116"/>
        <v>0</v>
      </c>
      <c r="I391" s="1249">
        <f t="shared" si="115"/>
        <v>0</v>
      </c>
      <c r="J391" s="1179">
        <v>58080</v>
      </c>
    </row>
    <row r="392" spans="1:10" s="12" customFormat="1" x14ac:dyDescent="0.2">
      <c r="A392" s="926" t="s">
        <v>1272</v>
      </c>
      <c r="B392" s="1405" t="s">
        <v>1257</v>
      </c>
      <c r="C392" s="744">
        <v>330000</v>
      </c>
      <c r="D392" s="744">
        <v>330000</v>
      </c>
      <c r="E392" s="744">
        <v>0</v>
      </c>
      <c r="F392" s="744"/>
      <c r="G392" s="1243">
        <f>E392/C392*100</f>
        <v>0</v>
      </c>
      <c r="H392" s="1248">
        <f>E392/D392*100</f>
        <v>0</v>
      </c>
      <c r="I392" s="1249">
        <v>0</v>
      </c>
      <c r="J392" s="1179">
        <v>0</v>
      </c>
    </row>
    <row r="393" spans="1:10" s="12" customFormat="1" x14ac:dyDescent="0.2">
      <c r="A393" s="926" t="s">
        <v>1048</v>
      </c>
      <c r="B393" s="1405" t="s">
        <v>1517</v>
      </c>
      <c r="C393" s="744">
        <v>200000</v>
      </c>
      <c r="D393" s="744">
        <v>200000</v>
      </c>
      <c r="E393" s="744">
        <v>9000</v>
      </c>
      <c r="F393" s="744"/>
      <c r="G393" s="1243">
        <f>E393/C393*100</f>
        <v>4.5</v>
      </c>
      <c r="H393" s="1248">
        <f>E393/D393*100</f>
        <v>4.5</v>
      </c>
      <c r="I393" s="1249">
        <f t="shared" si="115"/>
        <v>15.07739730617168</v>
      </c>
      <c r="J393" s="1179">
        <v>59692</v>
      </c>
    </row>
    <row r="394" spans="1:10" s="12" customFormat="1" x14ac:dyDescent="0.2">
      <c r="A394" s="926" t="s">
        <v>1271</v>
      </c>
      <c r="B394" s="1405" t="s">
        <v>1767</v>
      </c>
      <c r="C394" s="744">
        <v>60000</v>
      </c>
      <c r="D394" s="744">
        <f>60000+11390</f>
        <v>71390</v>
      </c>
      <c r="E394" s="744">
        <v>71390</v>
      </c>
      <c r="F394" s="744"/>
      <c r="G394" s="1243">
        <f>E394/C394*100</f>
        <v>118.98333333333333</v>
      </c>
      <c r="H394" s="1248">
        <f>E394/D394*100</f>
        <v>100</v>
      </c>
      <c r="I394" s="1249">
        <f t="shared" si="115"/>
        <v>24.583333333333332</v>
      </c>
      <c r="J394" s="1179">
        <v>290400</v>
      </c>
    </row>
    <row r="395" spans="1:10" s="12" customFormat="1" x14ac:dyDescent="0.2">
      <c r="A395" s="926" t="s">
        <v>1273</v>
      </c>
      <c r="B395" s="1405" t="s">
        <v>1258</v>
      </c>
      <c r="C395" s="744">
        <v>370000</v>
      </c>
      <c r="D395" s="744">
        <v>370000</v>
      </c>
      <c r="E395" s="744">
        <v>0</v>
      </c>
      <c r="F395" s="744"/>
      <c r="G395" s="1243">
        <f>E395/C395*100</f>
        <v>0</v>
      </c>
      <c r="H395" s="1248">
        <f>E395/D395*100</f>
        <v>0</v>
      </c>
      <c r="I395" s="1249">
        <v>0</v>
      </c>
      <c r="J395" s="1179">
        <v>0</v>
      </c>
    </row>
    <row r="396" spans="1:10" s="12" customFormat="1" x14ac:dyDescent="0.2">
      <c r="A396" s="926" t="s">
        <v>1274</v>
      </c>
      <c r="B396" s="1405" t="s">
        <v>1259</v>
      </c>
      <c r="C396" s="744">
        <v>26000</v>
      </c>
      <c r="D396" s="744">
        <f>26000+181000</f>
        <v>207000</v>
      </c>
      <c r="E396" s="744">
        <v>191180</v>
      </c>
      <c r="F396" s="744"/>
      <c r="G396" s="1243">
        <f>E396/C396*100</f>
        <v>735.30769230769226</v>
      </c>
      <c r="H396" s="1248">
        <f>E396/D396*100</f>
        <v>92.357487922705317</v>
      </c>
      <c r="I396" s="1249">
        <v>0</v>
      </c>
      <c r="J396" s="1179">
        <v>0</v>
      </c>
    </row>
    <row r="397" spans="1:10" s="12" customFormat="1" x14ac:dyDescent="0.2">
      <c r="A397" s="1411" t="s">
        <v>495</v>
      </c>
      <c r="B397" s="1405" t="s">
        <v>1515</v>
      </c>
      <c r="C397" s="744">
        <v>2800000</v>
      </c>
      <c r="D397" s="744">
        <f>2800000-500000-12000</f>
        <v>2288000</v>
      </c>
      <c r="E397" s="744">
        <v>0</v>
      </c>
      <c r="F397" s="744"/>
      <c r="G397" s="1243">
        <f t="shared" si="114"/>
        <v>0</v>
      </c>
      <c r="H397" s="1248">
        <f t="shared" si="116"/>
        <v>0</v>
      </c>
      <c r="I397" s="1249">
        <f t="shared" si="115"/>
        <v>0</v>
      </c>
      <c r="J397" s="1179">
        <v>36300</v>
      </c>
    </row>
    <row r="398" spans="1:10" s="12" customFormat="1" x14ac:dyDescent="0.2">
      <c r="A398" s="1411" t="s">
        <v>1163</v>
      </c>
      <c r="B398" s="1405" t="s">
        <v>1516</v>
      </c>
      <c r="C398" s="744">
        <v>5050000</v>
      </c>
      <c r="D398" s="744">
        <f>5050000-500000</f>
        <v>4550000</v>
      </c>
      <c r="E398" s="744">
        <v>7260</v>
      </c>
      <c r="F398" s="744"/>
      <c r="G398" s="1243">
        <f t="shared" si="114"/>
        <v>0.14376237623762378</v>
      </c>
      <c r="H398" s="1248">
        <f t="shared" si="116"/>
        <v>0.15956043956043955</v>
      </c>
      <c r="I398" s="1249">
        <f t="shared" si="115"/>
        <v>20</v>
      </c>
      <c r="J398" s="1179">
        <v>36300</v>
      </c>
    </row>
    <row r="399" spans="1:10" s="12" customFormat="1" x14ac:dyDescent="0.2">
      <c r="A399" s="926" t="s">
        <v>1165</v>
      </c>
      <c r="B399" s="1405" t="s">
        <v>1523</v>
      </c>
      <c r="C399" s="744">
        <v>2000000</v>
      </c>
      <c r="D399" s="744">
        <f>2000000-1055000+1255000</f>
        <v>2200000</v>
      </c>
      <c r="E399" s="744">
        <v>36300</v>
      </c>
      <c r="F399" s="744"/>
      <c r="G399" s="1243">
        <f t="shared" si="114"/>
        <v>1.8149999999999999</v>
      </c>
      <c r="H399" s="1248">
        <f t="shared" si="116"/>
        <v>1.6500000000000001</v>
      </c>
      <c r="I399" s="1249">
        <v>0</v>
      </c>
      <c r="J399" s="1179">
        <v>0</v>
      </c>
    </row>
    <row r="400" spans="1:10" s="12" customFormat="1" x14ac:dyDescent="0.2">
      <c r="A400" s="926" t="s">
        <v>1167</v>
      </c>
      <c r="B400" s="1405" t="s">
        <v>1725</v>
      </c>
      <c r="C400" s="744">
        <v>50000</v>
      </c>
      <c r="D400" s="744">
        <v>50000</v>
      </c>
      <c r="E400" s="744">
        <v>0</v>
      </c>
      <c r="F400" s="744"/>
      <c r="G400" s="1243">
        <f t="shared" si="114"/>
        <v>0</v>
      </c>
      <c r="H400" s="1248">
        <f t="shared" si="116"/>
        <v>0</v>
      </c>
      <c r="I400" s="1249">
        <v>0</v>
      </c>
      <c r="J400" s="1179">
        <v>0</v>
      </c>
    </row>
    <row r="401" spans="1:10" s="12" customFormat="1" x14ac:dyDescent="0.2">
      <c r="A401" s="926" t="s">
        <v>1593</v>
      </c>
      <c r="B401" s="1405" t="s">
        <v>1524</v>
      </c>
      <c r="C401" s="744">
        <v>500000</v>
      </c>
      <c r="D401" s="744">
        <f>500000-158000-34000</f>
        <v>308000</v>
      </c>
      <c r="E401" s="744">
        <v>42000</v>
      </c>
      <c r="F401" s="744"/>
      <c r="G401" s="1243">
        <f t="shared" ref="G401:G416" si="117">E401/C401*100</f>
        <v>8.4</v>
      </c>
      <c r="H401" s="1248">
        <f t="shared" ref="H401:H416" si="118">E401/D401*100</f>
        <v>13.636363636363635</v>
      </c>
      <c r="I401" s="1249">
        <v>0</v>
      </c>
      <c r="J401" s="1179">
        <v>0</v>
      </c>
    </row>
    <row r="402" spans="1:10" s="12" customFormat="1" x14ac:dyDescent="0.2">
      <c r="A402" s="926" t="s">
        <v>1594</v>
      </c>
      <c r="B402" s="1405" t="s">
        <v>1768</v>
      </c>
      <c r="C402" s="744">
        <v>500000</v>
      </c>
      <c r="D402" s="744">
        <f>500000-323000+12000</f>
        <v>189000</v>
      </c>
      <c r="E402" s="744">
        <v>22000</v>
      </c>
      <c r="F402" s="744"/>
      <c r="G402" s="1243">
        <f t="shared" si="117"/>
        <v>4.3999999999999995</v>
      </c>
      <c r="H402" s="1248">
        <f t="shared" si="118"/>
        <v>11.640211640211639</v>
      </c>
      <c r="I402" s="1249">
        <v>0</v>
      </c>
      <c r="J402" s="1179">
        <v>0</v>
      </c>
    </row>
    <row r="403" spans="1:10" s="12" customFormat="1" x14ac:dyDescent="0.2">
      <c r="A403" s="926" t="s">
        <v>1595</v>
      </c>
      <c r="B403" s="1405" t="s">
        <v>1654</v>
      </c>
      <c r="C403" s="744">
        <v>500000</v>
      </c>
      <c r="D403" s="744">
        <f>500000</f>
        <v>500000</v>
      </c>
      <c r="E403" s="744">
        <v>0</v>
      </c>
      <c r="F403" s="744"/>
      <c r="G403" s="1243">
        <f t="shared" si="117"/>
        <v>0</v>
      </c>
      <c r="H403" s="1248">
        <f t="shared" si="118"/>
        <v>0</v>
      </c>
      <c r="I403" s="1249">
        <v>0</v>
      </c>
      <c r="J403" s="1179">
        <v>0</v>
      </c>
    </row>
    <row r="404" spans="1:10" s="12" customFormat="1" ht="12.75" customHeight="1" x14ac:dyDescent="0.2">
      <c r="A404" s="1411" t="s">
        <v>503</v>
      </c>
      <c r="B404" s="1405" t="s">
        <v>1771</v>
      </c>
      <c r="C404" s="744">
        <v>10000</v>
      </c>
      <c r="D404" s="744">
        <v>10000</v>
      </c>
      <c r="E404" s="744">
        <v>0</v>
      </c>
      <c r="F404" s="744"/>
      <c r="G404" s="1243">
        <f>E404/C404*100</f>
        <v>0</v>
      </c>
      <c r="H404" s="1248">
        <f>E404/D404*100</f>
        <v>0</v>
      </c>
      <c r="I404" s="1249">
        <v>0</v>
      </c>
      <c r="J404" s="1179">
        <v>0</v>
      </c>
    </row>
    <row r="405" spans="1:10" s="12" customFormat="1" x14ac:dyDescent="0.2">
      <c r="A405" s="926" t="s">
        <v>1169</v>
      </c>
      <c r="B405" s="1405" t="s">
        <v>1769</v>
      </c>
      <c r="C405" s="744">
        <v>660000</v>
      </c>
      <c r="D405" s="744">
        <v>660000</v>
      </c>
      <c r="E405" s="744">
        <v>0</v>
      </c>
      <c r="F405" s="744"/>
      <c r="G405" s="1243">
        <f t="shared" si="117"/>
        <v>0</v>
      </c>
      <c r="H405" s="1248">
        <f t="shared" si="118"/>
        <v>0</v>
      </c>
      <c r="I405" s="1249">
        <f t="shared" si="115"/>
        <v>0</v>
      </c>
      <c r="J405" s="1179">
        <v>235950</v>
      </c>
    </row>
    <row r="406" spans="1:10" s="12" customFormat="1" x14ac:dyDescent="0.2">
      <c r="A406" s="926" t="s">
        <v>1170</v>
      </c>
      <c r="B406" s="1405" t="s">
        <v>1053</v>
      </c>
      <c r="C406" s="744">
        <v>730000</v>
      </c>
      <c r="D406" s="744">
        <f>730000+540500+34000</f>
        <v>1304500</v>
      </c>
      <c r="E406" s="744">
        <v>496000</v>
      </c>
      <c r="F406" s="744"/>
      <c r="G406" s="1243">
        <f t="shared" si="117"/>
        <v>67.945205479452056</v>
      </c>
      <c r="H406" s="1248">
        <f t="shared" si="118"/>
        <v>38.02223073974703</v>
      </c>
      <c r="I406" s="1249">
        <v>0</v>
      </c>
      <c r="J406" s="1179">
        <v>0</v>
      </c>
    </row>
    <row r="407" spans="1:10" s="12" customFormat="1" x14ac:dyDescent="0.2">
      <c r="A407" s="926" t="s">
        <v>1275</v>
      </c>
      <c r="B407" s="1405" t="s">
        <v>1207</v>
      </c>
      <c r="C407" s="744">
        <v>114950</v>
      </c>
      <c r="D407" s="744">
        <f>114950+514500</f>
        <v>629450</v>
      </c>
      <c r="E407" s="744">
        <v>0</v>
      </c>
      <c r="F407" s="744"/>
      <c r="G407" s="1243">
        <f t="shared" si="117"/>
        <v>0</v>
      </c>
      <c r="H407" s="1248">
        <f t="shared" si="118"/>
        <v>0</v>
      </c>
      <c r="I407" s="1249">
        <v>0</v>
      </c>
      <c r="J407" s="1179">
        <v>0</v>
      </c>
    </row>
    <row r="408" spans="1:10" s="12" customFormat="1" x14ac:dyDescent="0.2">
      <c r="A408" s="926" t="s">
        <v>1276</v>
      </c>
      <c r="B408" s="1405" t="s">
        <v>1208</v>
      </c>
      <c r="C408" s="744">
        <v>560000</v>
      </c>
      <c r="D408" s="744">
        <v>560000</v>
      </c>
      <c r="E408" s="744">
        <v>0</v>
      </c>
      <c r="F408" s="744"/>
      <c r="G408" s="1243">
        <f t="shared" si="117"/>
        <v>0</v>
      </c>
      <c r="H408" s="1248">
        <f t="shared" si="118"/>
        <v>0</v>
      </c>
      <c r="I408" s="1249">
        <v>0</v>
      </c>
      <c r="J408" s="1179">
        <v>0</v>
      </c>
    </row>
    <row r="409" spans="1:10" s="12" customFormat="1" x14ac:dyDescent="0.2">
      <c r="A409" s="926" t="s">
        <v>1596</v>
      </c>
      <c r="B409" s="1405" t="s">
        <v>1525</v>
      </c>
      <c r="C409" s="744">
        <v>800000</v>
      </c>
      <c r="D409" s="744">
        <f>800000-11390-30000</f>
        <v>758610</v>
      </c>
      <c r="E409" s="744">
        <v>0</v>
      </c>
      <c r="F409" s="744"/>
      <c r="G409" s="1243">
        <f t="shared" si="117"/>
        <v>0</v>
      </c>
      <c r="H409" s="1248">
        <f t="shared" si="118"/>
        <v>0</v>
      </c>
      <c r="I409" s="1249">
        <v>0</v>
      </c>
      <c r="J409" s="1179">
        <v>0</v>
      </c>
    </row>
    <row r="410" spans="1:10" s="12" customFormat="1" x14ac:dyDescent="0.2">
      <c r="A410" s="926" t="s">
        <v>1171</v>
      </c>
      <c r="B410" s="1405" t="s">
        <v>1172</v>
      </c>
      <c r="C410" s="744">
        <v>363000</v>
      </c>
      <c r="D410" s="744">
        <f>363000+30000</f>
        <v>393000</v>
      </c>
      <c r="E410" s="744">
        <v>392040</v>
      </c>
      <c r="F410" s="744"/>
      <c r="G410" s="1243">
        <f t="shared" si="117"/>
        <v>108</v>
      </c>
      <c r="H410" s="1248">
        <f t="shared" si="118"/>
        <v>99.755725190839698</v>
      </c>
      <c r="I410" s="1249">
        <v>0</v>
      </c>
      <c r="J410" s="1179">
        <v>0</v>
      </c>
    </row>
    <row r="411" spans="1:10" s="12" customFormat="1" x14ac:dyDescent="0.2">
      <c r="A411" s="926" t="s">
        <v>1173</v>
      </c>
      <c r="B411" s="1405" t="s">
        <v>1526</v>
      </c>
      <c r="C411" s="744">
        <v>100000</v>
      </c>
      <c r="D411" s="744">
        <f>100000-100000</f>
        <v>0</v>
      </c>
      <c r="E411" s="744">
        <v>0</v>
      </c>
      <c r="F411" s="744"/>
      <c r="G411" s="1243">
        <f t="shared" si="117"/>
        <v>0</v>
      </c>
      <c r="H411" s="1248">
        <v>0</v>
      </c>
      <c r="I411" s="1249">
        <v>0</v>
      </c>
      <c r="J411" s="1179">
        <v>0</v>
      </c>
    </row>
    <row r="412" spans="1:10" s="12" customFormat="1" x14ac:dyDescent="0.2">
      <c r="A412" s="926" t="s">
        <v>1174</v>
      </c>
      <c r="B412" s="1405" t="s">
        <v>1211</v>
      </c>
      <c r="C412" s="744">
        <v>11000000</v>
      </c>
      <c r="D412" s="744">
        <f>11000000-181000-1255000</f>
        <v>9564000</v>
      </c>
      <c r="E412" s="744">
        <v>65582</v>
      </c>
      <c r="F412" s="744"/>
      <c r="G412" s="1243">
        <f t="shared" si="117"/>
        <v>0.59620000000000006</v>
      </c>
      <c r="H412" s="1248">
        <f t="shared" si="118"/>
        <v>0.68571727310748642</v>
      </c>
      <c r="I412" s="1249">
        <v>0</v>
      </c>
      <c r="J412" s="1179">
        <v>0</v>
      </c>
    </row>
    <row r="413" spans="1:10" s="12" customFormat="1" x14ac:dyDescent="0.2">
      <c r="A413" s="926" t="s">
        <v>1054</v>
      </c>
      <c r="B413" s="1405" t="s">
        <v>1770</v>
      </c>
      <c r="C413" s="744">
        <v>1300000</v>
      </c>
      <c r="D413" s="744">
        <v>1300000</v>
      </c>
      <c r="E413" s="744">
        <v>130290.56</v>
      </c>
      <c r="F413" s="744"/>
      <c r="G413" s="1243">
        <f t="shared" si="117"/>
        <v>10.022350769230769</v>
      </c>
      <c r="H413" s="1248">
        <f t="shared" si="118"/>
        <v>10.022350769230769</v>
      </c>
      <c r="I413" s="1249">
        <v>0</v>
      </c>
      <c r="J413" s="1179">
        <v>0</v>
      </c>
    </row>
    <row r="414" spans="1:10" s="12" customFormat="1" ht="12.75" customHeight="1" x14ac:dyDescent="0.2">
      <c r="A414" s="926" t="s">
        <v>1055</v>
      </c>
      <c r="B414" s="1405" t="s">
        <v>1260</v>
      </c>
      <c r="C414" s="744">
        <v>20000</v>
      </c>
      <c r="D414" s="744">
        <v>20000</v>
      </c>
      <c r="E414" s="744">
        <v>14520</v>
      </c>
      <c r="F414" s="744"/>
      <c r="G414" s="1243">
        <f t="shared" si="117"/>
        <v>72.599999999999994</v>
      </c>
      <c r="H414" s="1248">
        <f t="shared" si="118"/>
        <v>72.599999999999994</v>
      </c>
      <c r="I414" s="1249">
        <v>0</v>
      </c>
      <c r="J414" s="1179">
        <v>0</v>
      </c>
    </row>
    <row r="415" spans="1:10" s="12" customFormat="1" ht="12" customHeight="1" x14ac:dyDescent="0.2">
      <c r="A415" s="1407">
        <v>2221</v>
      </c>
      <c r="B415" s="1408" t="s">
        <v>1360</v>
      </c>
      <c r="C415" s="920">
        <f>SUM(C416:C417)</f>
        <v>2146000</v>
      </c>
      <c r="D415" s="920">
        <f>SUM(D416:D417)</f>
        <v>2146000</v>
      </c>
      <c r="E415" s="845">
        <v>66820</v>
      </c>
      <c r="F415" s="744">
        <f>SUM(E416:E417)</f>
        <v>66820</v>
      </c>
      <c r="G415" s="825">
        <f t="shared" si="117"/>
        <v>3.1136999068033551</v>
      </c>
      <c r="H415" s="1244">
        <f t="shared" si="118"/>
        <v>3.1136999068033551</v>
      </c>
      <c r="I415" s="1255">
        <f t="shared" si="115"/>
        <v>367.42549213680854</v>
      </c>
      <c r="J415" s="1179">
        <v>18186</v>
      </c>
    </row>
    <row r="416" spans="1:10" s="12" customFormat="1" x14ac:dyDescent="0.2">
      <c r="A416" s="926" t="s">
        <v>1651</v>
      </c>
      <c r="B416" s="1402" t="s">
        <v>1175</v>
      </c>
      <c r="C416" s="744">
        <v>2000000</v>
      </c>
      <c r="D416" s="744">
        <v>2000000</v>
      </c>
      <c r="E416" s="744">
        <v>66820</v>
      </c>
      <c r="F416" s="744"/>
      <c r="G416" s="1243">
        <f t="shared" si="117"/>
        <v>3.3410000000000002</v>
      </c>
      <c r="H416" s="1248">
        <f t="shared" si="118"/>
        <v>3.3410000000000002</v>
      </c>
      <c r="I416" s="1249">
        <f t="shared" si="115"/>
        <v>460.19283746556471</v>
      </c>
      <c r="J416" s="1179">
        <v>14520</v>
      </c>
    </row>
    <row r="417" spans="1:10" s="12" customFormat="1" ht="13.5" thickBot="1" x14ac:dyDescent="0.25">
      <c r="A417" s="1404" t="s">
        <v>1056</v>
      </c>
      <c r="B417" s="1415" t="s">
        <v>1057</v>
      </c>
      <c r="C417" s="1143">
        <v>146000</v>
      </c>
      <c r="D417" s="1143">
        <v>146000</v>
      </c>
      <c r="E417" s="744">
        <v>0</v>
      </c>
      <c r="F417" s="744"/>
      <c r="G417" s="1243">
        <f t="shared" ref="G417" si="119">E417/C417*100</f>
        <v>0</v>
      </c>
      <c r="H417" s="1248">
        <f t="shared" ref="H417" si="120">E417/D417*100</f>
        <v>0</v>
      </c>
      <c r="I417" s="1249">
        <f t="shared" si="115"/>
        <v>0</v>
      </c>
      <c r="J417" s="1179">
        <v>3666</v>
      </c>
    </row>
    <row r="418" spans="1:10" s="12" customFormat="1" ht="16.5" thickBot="1" x14ac:dyDescent="0.3">
      <c r="A418" s="886"/>
      <c r="B418" s="767" t="s">
        <v>1176</v>
      </c>
      <c r="C418" s="907">
        <f>SUM(C419,C428,C439,C437)</f>
        <v>68628000</v>
      </c>
      <c r="D418" s="907">
        <f>SUM(D419,D428,D439,D437)</f>
        <v>60648000</v>
      </c>
      <c r="E418" s="1303">
        <v>1031199.86</v>
      </c>
      <c r="F418" s="1587">
        <f>SUM(E419,E428,E439,E437)</f>
        <v>1031199.86</v>
      </c>
      <c r="G418" s="1237">
        <f>E418/C418*100</f>
        <v>1.5025934895377979</v>
      </c>
      <c r="H418" s="1237">
        <f>E418/D418*100</f>
        <v>1.700303159213824</v>
      </c>
      <c r="I418" s="1253">
        <v>0</v>
      </c>
      <c r="J418" s="1179">
        <v>0</v>
      </c>
    </row>
    <row r="419" spans="1:10" s="12" customFormat="1" x14ac:dyDescent="0.2">
      <c r="A419" s="1416">
        <v>3111</v>
      </c>
      <c r="B419" s="1417" t="s">
        <v>2152</v>
      </c>
      <c r="C419" s="919">
        <f>SUM(C420:C427)</f>
        <v>6370000</v>
      </c>
      <c r="D419" s="919">
        <f>SUM(D420:D427)</f>
        <v>5870000</v>
      </c>
      <c r="E419" s="1305">
        <v>106480</v>
      </c>
      <c r="F419" s="1306">
        <f>SUM(E420:E427)</f>
        <v>106480</v>
      </c>
      <c r="G419" s="825">
        <f t="shared" ref="G419:G420" si="121">E419/C419*100</f>
        <v>1.6715855572998433</v>
      </c>
      <c r="H419" s="1244">
        <f t="shared" ref="H419:H420" si="122">E419/D419*100</f>
        <v>1.8139693356047699</v>
      </c>
      <c r="I419" s="1255">
        <v>0</v>
      </c>
      <c r="J419" s="1179">
        <v>0</v>
      </c>
    </row>
    <row r="420" spans="1:10" s="12" customFormat="1" x14ac:dyDescent="0.2">
      <c r="A420" s="926" t="s">
        <v>1177</v>
      </c>
      <c r="B420" s="1412" t="s">
        <v>1772</v>
      </c>
      <c r="C420" s="744">
        <v>6000000</v>
      </c>
      <c r="D420" s="744">
        <f>6000000-500000</f>
        <v>5500000</v>
      </c>
      <c r="E420" s="744">
        <v>0</v>
      </c>
      <c r="F420" s="744"/>
      <c r="G420" s="1243">
        <f t="shared" si="121"/>
        <v>0</v>
      </c>
      <c r="H420" s="1248">
        <f t="shared" si="122"/>
        <v>0</v>
      </c>
      <c r="I420" s="1249">
        <v>0</v>
      </c>
      <c r="J420" s="1179">
        <v>0</v>
      </c>
    </row>
    <row r="421" spans="1:10" s="12" customFormat="1" x14ac:dyDescent="0.2">
      <c r="A421" s="926" t="s">
        <v>1179</v>
      </c>
      <c r="B421" s="1405" t="s">
        <v>1774</v>
      </c>
      <c r="C421" s="744">
        <v>10000</v>
      </c>
      <c r="D421" s="744">
        <v>10000</v>
      </c>
      <c r="E421" s="744">
        <v>9680</v>
      </c>
      <c r="F421" s="744"/>
      <c r="G421" s="1243">
        <f t="shared" ref="G421:G439" si="123">E421/C421*100</f>
        <v>96.8</v>
      </c>
      <c r="H421" s="1248">
        <f t="shared" ref="H421:H439" si="124">E421/D421*100</f>
        <v>96.8</v>
      </c>
      <c r="I421" s="1249">
        <v>0</v>
      </c>
      <c r="J421" s="1179">
        <v>0</v>
      </c>
    </row>
    <row r="422" spans="1:10" s="12" customFormat="1" x14ac:dyDescent="0.2">
      <c r="A422" s="926" t="s">
        <v>1528</v>
      </c>
      <c r="B422" s="1405" t="s">
        <v>1775</v>
      </c>
      <c r="C422" s="744">
        <v>5000</v>
      </c>
      <c r="D422" s="744">
        <v>5000</v>
      </c>
      <c r="E422" s="744">
        <v>0</v>
      </c>
      <c r="F422" s="744"/>
      <c r="G422" s="1243">
        <f t="shared" si="123"/>
        <v>0</v>
      </c>
      <c r="H422" s="1248">
        <f t="shared" si="124"/>
        <v>0</v>
      </c>
      <c r="I422" s="1249">
        <v>0</v>
      </c>
      <c r="J422" s="1179">
        <v>0</v>
      </c>
    </row>
    <row r="423" spans="1:10" x14ac:dyDescent="0.2">
      <c r="A423" s="1418" t="s">
        <v>1776</v>
      </c>
      <c r="B423" s="1419" t="s">
        <v>1777</v>
      </c>
      <c r="C423" s="958">
        <v>45000</v>
      </c>
      <c r="D423" s="958">
        <f>45000+27000</f>
        <v>72000</v>
      </c>
      <c r="E423" s="744">
        <v>0</v>
      </c>
      <c r="F423" s="744"/>
      <c r="G423" s="1243">
        <f t="shared" si="123"/>
        <v>0</v>
      </c>
      <c r="H423" s="1248">
        <f t="shared" si="124"/>
        <v>0</v>
      </c>
      <c r="I423" s="1249">
        <v>0</v>
      </c>
      <c r="J423" s="1520">
        <v>0</v>
      </c>
    </row>
    <row r="424" spans="1:10" x14ac:dyDescent="0.2">
      <c r="A424" s="1418" t="s">
        <v>1778</v>
      </c>
      <c r="B424" s="1419" t="s">
        <v>1779</v>
      </c>
      <c r="C424" s="958">
        <v>100000</v>
      </c>
      <c r="D424" s="958">
        <f>100000+17000+12000</f>
        <v>129000</v>
      </c>
      <c r="E424" s="744">
        <v>0</v>
      </c>
      <c r="F424" s="744"/>
      <c r="G424" s="1243">
        <f t="shared" si="123"/>
        <v>0</v>
      </c>
      <c r="H424" s="1248">
        <f t="shared" si="124"/>
        <v>0</v>
      </c>
      <c r="I424" s="1249">
        <v>0</v>
      </c>
      <c r="J424" s="1520">
        <v>0</v>
      </c>
    </row>
    <row r="425" spans="1:10" x14ac:dyDescent="0.2">
      <c r="A425" s="1418" t="s">
        <v>1780</v>
      </c>
      <c r="B425" s="1419" t="s">
        <v>1781</v>
      </c>
      <c r="C425" s="958">
        <v>10000</v>
      </c>
      <c r="D425" s="958">
        <v>10000</v>
      </c>
      <c r="E425" s="744">
        <v>0</v>
      </c>
      <c r="F425" s="744"/>
      <c r="G425" s="1243">
        <f t="shared" si="123"/>
        <v>0</v>
      </c>
      <c r="H425" s="1248">
        <f t="shared" si="124"/>
        <v>0</v>
      </c>
      <c r="I425" s="1249">
        <v>0</v>
      </c>
      <c r="J425" s="1520">
        <v>0</v>
      </c>
    </row>
    <row r="426" spans="1:10" x14ac:dyDescent="0.2">
      <c r="A426" s="1418" t="s">
        <v>1782</v>
      </c>
      <c r="B426" s="1419" t="s">
        <v>1783</v>
      </c>
      <c r="C426" s="958">
        <v>100000</v>
      </c>
      <c r="D426" s="958">
        <f>100000-44000-12000</f>
        <v>44000</v>
      </c>
      <c r="E426" s="744">
        <v>0</v>
      </c>
      <c r="F426" s="744"/>
      <c r="G426" s="1243">
        <f t="shared" si="123"/>
        <v>0</v>
      </c>
      <c r="H426" s="1248">
        <f t="shared" si="124"/>
        <v>0</v>
      </c>
      <c r="I426" s="1249">
        <v>0</v>
      </c>
      <c r="J426" s="1520">
        <v>0</v>
      </c>
    </row>
    <row r="427" spans="1:10" x14ac:dyDescent="0.2">
      <c r="A427" s="1418" t="s">
        <v>1784</v>
      </c>
      <c r="B427" s="1419" t="s">
        <v>1785</v>
      </c>
      <c r="C427" s="958">
        <v>100000</v>
      </c>
      <c r="D427" s="958">
        <v>100000</v>
      </c>
      <c r="E427" s="744">
        <v>96800</v>
      </c>
      <c r="F427" s="744"/>
      <c r="G427" s="1243">
        <f t="shared" si="123"/>
        <v>96.8</v>
      </c>
      <c r="H427" s="1248">
        <f t="shared" si="124"/>
        <v>96.8</v>
      </c>
      <c r="I427" s="1249">
        <v>0</v>
      </c>
      <c r="J427" s="1520">
        <v>0</v>
      </c>
    </row>
    <row r="428" spans="1:10" s="12" customFormat="1" x14ac:dyDescent="0.2">
      <c r="A428" s="1420">
        <v>3113</v>
      </c>
      <c r="B428" s="1419" t="s">
        <v>2153</v>
      </c>
      <c r="C428" s="1421">
        <f>SUM(C429:C436)</f>
        <v>31955000</v>
      </c>
      <c r="D428" s="1421">
        <f>SUM(D429:D436)</f>
        <v>31175000</v>
      </c>
      <c r="E428" s="845">
        <v>240972</v>
      </c>
      <c r="F428" s="845">
        <f>SUM(E429:E436)</f>
        <v>240972</v>
      </c>
      <c r="G428" s="825">
        <f t="shared" si="123"/>
        <v>0.75409795024252846</v>
      </c>
      <c r="H428" s="1244">
        <f t="shared" si="124"/>
        <v>0.77296551724137941</v>
      </c>
      <c r="I428" s="1255">
        <v>0</v>
      </c>
      <c r="J428" s="1179">
        <v>0</v>
      </c>
    </row>
    <row r="429" spans="1:10" s="12" customFormat="1" x14ac:dyDescent="0.2">
      <c r="A429" s="1422" t="s">
        <v>1529</v>
      </c>
      <c r="B429" s="1031" t="s">
        <v>1212</v>
      </c>
      <c r="C429" s="1452">
        <v>500000</v>
      </c>
      <c r="D429" s="1452">
        <v>500000</v>
      </c>
      <c r="E429" s="744">
        <v>0</v>
      </c>
      <c r="F429" s="744"/>
      <c r="G429" s="1243">
        <f t="shared" si="123"/>
        <v>0</v>
      </c>
      <c r="H429" s="1248">
        <f t="shared" si="124"/>
        <v>0</v>
      </c>
      <c r="I429" s="1249">
        <v>0</v>
      </c>
      <c r="J429" s="1179">
        <v>0</v>
      </c>
    </row>
    <row r="430" spans="1:10" s="12" customFormat="1" x14ac:dyDescent="0.2">
      <c r="A430" s="1422" t="s">
        <v>1672</v>
      </c>
      <c r="B430" s="1031" t="s">
        <v>1786</v>
      </c>
      <c r="C430" s="1452">
        <v>5000</v>
      </c>
      <c r="D430" s="1452">
        <v>5000</v>
      </c>
      <c r="E430" s="744">
        <v>0</v>
      </c>
      <c r="F430" s="744"/>
      <c r="G430" s="1243">
        <f t="shared" si="123"/>
        <v>0</v>
      </c>
      <c r="H430" s="1248">
        <f t="shared" si="124"/>
        <v>0</v>
      </c>
      <c r="I430" s="1249">
        <v>0</v>
      </c>
      <c r="J430" s="1179">
        <v>0</v>
      </c>
    </row>
    <row r="431" spans="1:10" s="12" customFormat="1" x14ac:dyDescent="0.2">
      <c r="A431" s="1422" t="s">
        <v>1532</v>
      </c>
      <c r="B431" s="1031" t="s">
        <v>1180</v>
      </c>
      <c r="C431" s="1452">
        <v>30000000</v>
      </c>
      <c r="D431" s="1452">
        <v>30000000</v>
      </c>
      <c r="E431" s="744">
        <v>240972</v>
      </c>
      <c r="F431" s="744"/>
      <c r="G431" s="1243">
        <f t="shared" si="123"/>
        <v>0.80324000000000007</v>
      </c>
      <c r="H431" s="1248">
        <f t="shared" si="124"/>
        <v>0.80324000000000007</v>
      </c>
      <c r="I431" s="1249">
        <v>0</v>
      </c>
      <c r="J431" s="1179">
        <v>0</v>
      </c>
    </row>
    <row r="432" spans="1:10" x14ac:dyDescent="0.2">
      <c r="A432" s="1418" t="s">
        <v>1788</v>
      </c>
      <c r="B432" s="1412" t="s">
        <v>1789</v>
      </c>
      <c r="C432" s="1452">
        <v>150000</v>
      </c>
      <c r="D432" s="1452">
        <f>150000+70000</f>
        <v>220000</v>
      </c>
      <c r="E432" s="744">
        <v>0</v>
      </c>
      <c r="F432" s="744"/>
      <c r="G432" s="1243">
        <f t="shared" si="123"/>
        <v>0</v>
      </c>
      <c r="H432" s="1248">
        <f t="shared" si="124"/>
        <v>0</v>
      </c>
      <c r="I432" s="1249">
        <v>0</v>
      </c>
      <c r="J432" s="1520">
        <v>0</v>
      </c>
    </row>
    <row r="433" spans="1:10" x14ac:dyDescent="0.2">
      <c r="A433" s="1418" t="s">
        <v>1790</v>
      </c>
      <c r="B433" s="1031" t="s">
        <v>1791</v>
      </c>
      <c r="C433" s="1452">
        <v>200000</v>
      </c>
      <c r="D433" s="1452">
        <f>200000-10000</f>
        <v>190000</v>
      </c>
      <c r="E433" s="744">
        <v>0</v>
      </c>
      <c r="F433" s="744"/>
      <c r="G433" s="1243">
        <f t="shared" si="123"/>
        <v>0</v>
      </c>
      <c r="H433" s="1248">
        <f t="shared" si="124"/>
        <v>0</v>
      </c>
      <c r="I433" s="1249">
        <v>0</v>
      </c>
      <c r="J433" s="1520">
        <v>0</v>
      </c>
    </row>
    <row r="434" spans="1:10" x14ac:dyDescent="0.2">
      <c r="A434" s="1418" t="s">
        <v>1792</v>
      </c>
      <c r="B434" s="1031" t="s">
        <v>1793</v>
      </c>
      <c r="C434" s="1452">
        <v>100000</v>
      </c>
      <c r="D434" s="1452">
        <f>100000+10000</f>
        <v>110000</v>
      </c>
      <c r="E434" s="744">
        <v>0</v>
      </c>
      <c r="F434" s="744"/>
      <c r="G434" s="1243">
        <f t="shared" si="123"/>
        <v>0</v>
      </c>
      <c r="H434" s="1248">
        <f t="shared" si="124"/>
        <v>0</v>
      </c>
      <c r="I434" s="1249">
        <v>0</v>
      </c>
      <c r="J434" s="1520">
        <v>0</v>
      </c>
    </row>
    <row r="435" spans="1:10" ht="12.75" customHeight="1" x14ac:dyDescent="0.2">
      <c r="A435" s="1418" t="s">
        <v>2019</v>
      </c>
      <c r="B435" s="1031" t="s">
        <v>1794</v>
      </c>
      <c r="C435" s="1452">
        <v>850000</v>
      </c>
      <c r="D435" s="1452">
        <f>850000-850000</f>
        <v>0</v>
      </c>
      <c r="E435" s="744">
        <v>0</v>
      </c>
      <c r="F435" s="744"/>
      <c r="G435" s="1243">
        <f t="shared" si="123"/>
        <v>0</v>
      </c>
      <c r="H435" s="1248">
        <v>0</v>
      </c>
      <c r="I435" s="1249">
        <v>0</v>
      </c>
      <c r="J435" s="1520">
        <v>0</v>
      </c>
    </row>
    <row r="436" spans="1:10" ht="12.75" customHeight="1" x14ac:dyDescent="0.2">
      <c r="A436" s="1418" t="s">
        <v>1795</v>
      </c>
      <c r="B436" s="1031" t="s">
        <v>1796</v>
      </c>
      <c r="C436" s="1452">
        <v>150000</v>
      </c>
      <c r="D436" s="1452">
        <v>150000</v>
      </c>
      <c r="E436" s="744">
        <v>0</v>
      </c>
      <c r="F436" s="744"/>
      <c r="G436" s="1243">
        <f t="shared" si="123"/>
        <v>0</v>
      </c>
      <c r="H436" s="1248">
        <f t="shared" si="124"/>
        <v>0</v>
      </c>
      <c r="I436" s="1249">
        <v>0</v>
      </c>
      <c r="J436" s="1520">
        <v>0</v>
      </c>
    </row>
    <row r="437" spans="1:10" ht="12.75" customHeight="1" x14ac:dyDescent="0.2">
      <c r="A437" s="1420">
        <v>3233</v>
      </c>
      <c r="B437" s="1424" t="s">
        <v>2154</v>
      </c>
      <c r="C437" s="1425">
        <f>SUM(C438)</f>
        <v>300000</v>
      </c>
      <c r="D437" s="1425">
        <f>SUM(D438)</f>
        <v>300000</v>
      </c>
      <c r="E437" s="845">
        <v>0</v>
      </c>
      <c r="F437" s="744">
        <f>SUM(E438)</f>
        <v>0</v>
      </c>
      <c r="G437" s="1243">
        <f t="shared" si="123"/>
        <v>0</v>
      </c>
      <c r="H437" s="1248">
        <f t="shared" si="124"/>
        <v>0</v>
      </c>
      <c r="I437" s="1249">
        <v>0</v>
      </c>
      <c r="J437" s="1520">
        <v>0</v>
      </c>
    </row>
    <row r="438" spans="1:10" x14ac:dyDescent="0.2">
      <c r="A438" s="1588" t="s">
        <v>1803</v>
      </c>
      <c r="B438" s="1589" t="s">
        <v>1804</v>
      </c>
      <c r="C438" s="1590">
        <v>300000</v>
      </c>
      <c r="D438" s="1590">
        <v>300000</v>
      </c>
      <c r="E438" s="744">
        <v>0</v>
      </c>
      <c r="F438" s="744"/>
      <c r="G438" s="1243">
        <f t="shared" si="123"/>
        <v>0</v>
      </c>
      <c r="H438" s="1248">
        <f t="shared" si="124"/>
        <v>0</v>
      </c>
      <c r="I438" s="1249">
        <v>0</v>
      </c>
      <c r="J438" s="1520">
        <v>0</v>
      </c>
    </row>
    <row r="439" spans="1:10" s="12" customFormat="1" x14ac:dyDescent="0.2">
      <c r="A439" s="1591">
        <v>3412</v>
      </c>
      <c r="B439" s="1592" t="s">
        <v>1797</v>
      </c>
      <c r="C439" s="1593">
        <f t="shared" ref="C439:D439" si="125">SUM(C440:C441)</f>
        <v>30003000</v>
      </c>
      <c r="D439" s="1594">
        <f t="shared" si="125"/>
        <v>23303000</v>
      </c>
      <c r="E439" s="845">
        <v>683747.86</v>
      </c>
      <c r="F439" s="845">
        <f>SUM(E440:E441)</f>
        <v>683747.86</v>
      </c>
      <c r="G439" s="825">
        <f t="shared" si="123"/>
        <v>2.2789316401693167</v>
      </c>
      <c r="H439" s="1244">
        <f t="shared" si="124"/>
        <v>2.9341623825258552</v>
      </c>
      <c r="I439" s="1255">
        <v>0</v>
      </c>
      <c r="J439" s="1179">
        <v>0</v>
      </c>
    </row>
    <row r="440" spans="1:10" s="12" customFormat="1" x14ac:dyDescent="0.2">
      <c r="A440" s="1422" t="s">
        <v>1798</v>
      </c>
      <c r="B440" s="1031" t="s">
        <v>1799</v>
      </c>
      <c r="C440" s="958">
        <v>3000</v>
      </c>
      <c r="D440" s="958">
        <f>3000+40000+4000</f>
        <v>47000</v>
      </c>
      <c r="E440" s="744">
        <v>46438</v>
      </c>
      <c r="F440" s="744"/>
      <c r="G440" s="1243">
        <f t="shared" ref="G440:G441" si="126">E440/C440*100</f>
        <v>1547.9333333333334</v>
      </c>
      <c r="H440" s="1248">
        <f t="shared" ref="H440:H441" si="127">E440/D440*100</f>
        <v>98.804255319148936</v>
      </c>
      <c r="I440" s="1249">
        <v>0</v>
      </c>
      <c r="J440" s="1179">
        <v>0</v>
      </c>
    </row>
    <row r="441" spans="1:10" s="12" customFormat="1" ht="13.5" thickBot="1" x14ac:dyDescent="0.25">
      <c r="A441" s="1422" t="s">
        <v>1800</v>
      </c>
      <c r="B441" s="1031" t="s">
        <v>1801</v>
      </c>
      <c r="C441" s="958">
        <v>30000000</v>
      </c>
      <c r="D441" s="958">
        <f>30000000-40000-4000-5700000-1000000</f>
        <v>23256000</v>
      </c>
      <c r="E441" s="744">
        <v>637309.86</v>
      </c>
      <c r="F441" s="744"/>
      <c r="G441" s="1243">
        <f t="shared" si="126"/>
        <v>2.1243661999999999</v>
      </c>
      <c r="H441" s="1248">
        <f t="shared" si="127"/>
        <v>2.7404104747162021</v>
      </c>
      <c r="I441" s="1249">
        <v>0</v>
      </c>
      <c r="J441" s="1179">
        <v>0</v>
      </c>
    </row>
    <row r="442" spans="1:10" s="12" customFormat="1" ht="16.5" thickBot="1" x14ac:dyDescent="0.3">
      <c r="A442" s="1072"/>
      <c r="B442" s="1073" t="s">
        <v>527</v>
      </c>
      <c r="C442" s="1074">
        <f>SUM(C443:C444,C447)</f>
        <v>7530000</v>
      </c>
      <c r="D442" s="1074">
        <f>SUM(D443:D444,D447)</f>
        <v>7130000</v>
      </c>
      <c r="E442" s="931">
        <v>1034228.35</v>
      </c>
      <c r="F442" s="1298">
        <f>SUM(E443:E444,E447)</f>
        <v>1034228.3500000001</v>
      </c>
      <c r="G442" s="1237">
        <f>E442/C442*100</f>
        <v>13.734772244355909</v>
      </c>
      <c r="H442" s="1237">
        <f>E442/D442*100</f>
        <v>14.505306451612904</v>
      </c>
      <c r="I442" s="1253">
        <f t="shared" ref="I442" si="128">E442/J442*100</f>
        <v>27.859401179260274</v>
      </c>
      <c r="J442" s="1179">
        <v>3712313.64</v>
      </c>
    </row>
    <row r="443" spans="1:10" s="1546" customFormat="1" x14ac:dyDescent="0.2">
      <c r="A443" s="1547">
        <v>2219</v>
      </c>
      <c r="B443" s="1548" t="s">
        <v>2049</v>
      </c>
      <c r="C443" s="1549">
        <v>0</v>
      </c>
      <c r="D443" s="1549">
        <f>1000000+100000</f>
        <v>1100000</v>
      </c>
      <c r="E443" s="1299">
        <v>324739.19</v>
      </c>
      <c r="F443" s="1300"/>
      <c r="G443" s="825">
        <v>0</v>
      </c>
      <c r="H443" s="1244">
        <f t="shared" ref="H443:H445" si="129">E443/D443*100</f>
        <v>29.521744545454549</v>
      </c>
      <c r="I443" s="1552">
        <v>0</v>
      </c>
      <c r="J443" s="1613">
        <v>0</v>
      </c>
    </row>
    <row r="444" spans="1:10" s="12" customFormat="1" x14ac:dyDescent="0.2">
      <c r="A444" s="1431">
        <v>3613</v>
      </c>
      <c r="B444" s="1553" t="s">
        <v>2155</v>
      </c>
      <c r="C444" s="920">
        <f t="shared" ref="C444:D444" si="130">SUM(C445:C446)</f>
        <v>2000000</v>
      </c>
      <c r="D444" s="920">
        <f t="shared" si="130"/>
        <v>2000000</v>
      </c>
      <c r="E444" s="920">
        <v>53094</v>
      </c>
      <c r="F444" s="1301">
        <f>SUM(E445:E446)</f>
        <v>53094</v>
      </c>
      <c r="G444" s="825">
        <f t="shared" ref="G444" si="131">E444/C444*100</f>
        <v>2.6547000000000001</v>
      </c>
      <c r="H444" s="1244">
        <f t="shared" si="129"/>
        <v>2.6547000000000001</v>
      </c>
      <c r="I444" s="1554">
        <v>0</v>
      </c>
      <c r="J444" s="1179">
        <v>145200</v>
      </c>
    </row>
    <row r="445" spans="1:10" s="12" customFormat="1" x14ac:dyDescent="0.2">
      <c r="A445" s="926" t="s">
        <v>1805</v>
      </c>
      <c r="B445" s="1403" t="s">
        <v>1806</v>
      </c>
      <c r="C445" s="744">
        <v>0</v>
      </c>
      <c r="D445" s="744">
        <f>200000</f>
        <v>200000</v>
      </c>
      <c r="E445" s="744">
        <v>13310</v>
      </c>
      <c r="F445" s="744"/>
      <c r="G445" s="1243">
        <v>0</v>
      </c>
      <c r="H445" s="1248">
        <f t="shared" si="129"/>
        <v>6.6549999999999994</v>
      </c>
      <c r="I445" s="1258">
        <v>0</v>
      </c>
      <c r="J445" s="1179">
        <v>0</v>
      </c>
    </row>
    <row r="446" spans="1:10" s="12" customFormat="1" ht="25.5" x14ac:dyDescent="0.2">
      <c r="A446" s="926" t="s">
        <v>529</v>
      </c>
      <c r="B446" s="1403" t="s">
        <v>1726</v>
      </c>
      <c r="C446" s="744">
        <v>2000000</v>
      </c>
      <c r="D446" s="744">
        <f>2000000-200000</f>
        <v>1800000</v>
      </c>
      <c r="E446" s="744">
        <v>39784</v>
      </c>
      <c r="F446" s="744"/>
      <c r="G446" s="1243">
        <f t="shared" ref="G446:G452" si="132">E446/C446*100</f>
        <v>1.9892000000000001</v>
      </c>
      <c r="H446" s="1248">
        <f t="shared" ref="H446:H452" si="133">E446/D446*100</f>
        <v>2.2102222222222223</v>
      </c>
      <c r="I446" s="1258">
        <f>E446/J446*100</f>
        <v>27.399449035812673</v>
      </c>
      <c r="J446" s="1612">
        <v>145200</v>
      </c>
    </row>
    <row r="447" spans="1:10" s="12" customFormat="1" x14ac:dyDescent="0.2">
      <c r="A447" s="1407">
        <v>3639</v>
      </c>
      <c r="B447" s="1408" t="s">
        <v>1362</v>
      </c>
      <c r="C447" s="920">
        <f>SUM(C448:C452)</f>
        <v>5530000</v>
      </c>
      <c r="D447" s="920">
        <f>SUM(D448:D452)</f>
        <v>4030000</v>
      </c>
      <c r="E447" s="845">
        <v>656395.16</v>
      </c>
      <c r="F447" s="845">
        <f>SUM(E448:E452)</f>
        <v>656395.16</v>
      </c>
      <c r="G447" s="825">
        <f t="shared" si="132"/>
        <v>11.86971356238698</v>
      </c>
      <c r="H447" s="1244">
        <f t="shared" si="133"/>
        <v>16.287721091811417</v>
      </c>
      <c r="I447" s="1257">
        <f t="shared" ref="I447:I452" si="134">E447/J447*100</f>
        <v>25.569384610491962</v>
      </c>
      <c r="J447" s="1179">
        <v>2567113.64</v>
      </c>
    </row>
    <row r="448" spans="1:10" s="12" customFormat="1" x14ac:dyDescent="0.2">
      <c r="A448" s="926" t="s">
        <v>534</v>
      </c>
      <c r="B448" s="1405" t="s">
        <v>1597</v>
      </c>
      <c r="C448" s="744">
        <v>40000</v>
      </c>
      <c r="D448" s="744">
        <v>40000</v>
      </c>
      <c r="E448" s="744">
        <v>19364.810000000001</v>
      </c>
      <c r="F448" s="744"/>
      <c r="G448" s="1243">
        <f t="shared" si="132"/>
        <v>48.412025</v>
      </c>
      <c r="H448" s="1248">
        <f t="shared" si="133"/>
        <v>48.412025</v>
      </c>
      <c r="I448" s="1258">
        <f t="shared" si="134"/>
        <v>122.33244428496886</v>
      </c>
      <c r="J448" s="1179">
        <v>15829.66</v>
      </c>
    </row>
    <row r="449" spans="1:10" s="12" customFormat="1" x14ac:dyDescent="0.2">
      <c r="A449" s="926" t="s">
        <v>538</v>
      </c>
      <c r="B449" s="1405" t="s">
        <v>1807</v>
      </c>
      <c r="C449" s="744">
        <v>515000</v>
      </c>
      <c r="D449" s="744">
        <f>515000</f>
        <v>515000</v>
      </c>
      <c r="E449" s="744">
        <v>165210.5</v>
      </c>
      <c r="F449" s="744"/>
      <c r="G449" s="1243">
        <f t="shared" si="132"/>
        <v>32.079708737864074</v>
      </c>
      <c r="H449" s="1248">
        <f t="shared" si="133"/>
        <v>32.079708737864074</v>
      </c>
      <c r="I449" s="1258">
        <f t="shared" si="134"/>
        <v>68.828015054546483</v>
      </c>
      <c r="J449" s="1179">
        <v>240033.8</v>
      </c>
    </row>
    <row r="450" spans="1:10" s="12" customFormat="1" ht="25.5" x14ac:dyDescent="0.2">
      <c r="A450" s="926" t="s">
        <v>540</v>
      </c>
      <c r="B450" s="1403" t="s">
        <v>1808</v>
      </c>
      <c r="C450" s="744">
        <v>4950000</v>
      </c>
      <c r="D450" s="744">
        <f>4950000-400000+(-1000000-100000)-59290</f>
        <v>3390710</v>
      </c>
      <c r="E450" s="744">
        <v>460342.5</v>
      </c>
      <c r="F450" s="744"/>
      <c r="G450" s="1243">
        <f t="shared" si="132"/>
        <v>9.2998484848484839</v>
      </c>
      <c r="H450" s="1248">
        <f t="shared" si="133"/>
        <v>13.576581305980163</v>
      </c>
      <c r="I450" s="1258">
        <f t="shared" si="134"/>
        <v>83.819171380050747</v>
      </c>
      <c r="J450" s="1612">
        <v>549209.07999999996</v>
      </c>
    </row>
    <row r="451" spans="1:10" s="12" customFormat="1" x14ac:dyDescent="0.2">
      <c r="A451" s="926" t="s">
        <v>2093</v>
      </c>
      <c r="B451" s="1403" t="s">
        <v>2094</v>
      </c>
      <c r="C451" s="744">
        <v>0</v>
      </c>
      <c r="D451" s="744">
        <f>(41503+17787)</f>
        <v>59290</v>
      </c>
      <c r="E451" s="744">
        <v>0</v>
      </c>
      <c r="F451" s="744"/>
      <c r="G451" s="1243">
        <v>0</v>
      </c>
      <c r="H451" s="1248">
        <f t="shared" si="133"/>
        <v>0</v>
      </c>
      <c r="I451" s="1258">
        <v>0</v>
      </c>
      <c r="J451" s="1179">
        <v>0</v>
      </c>
    </row>
    <row r="452" spans="1:10" s="12" customFormat="1" ht="13.5" thickBot="1" x14ac:dyDescent="0.25">
      <c r="A452" s="926" t="s">
        <v>542</v>
      </c>
      <c r="B452" s="1402" t="s">
        <v>1809</v>
      </c>
      <c r="C452" s="744">
        <v>25000</v>
      </c>
      <c r="D452" s="744">
        <v>25000</v>
      </c>
      <c r="E452" s="744">
        <v>11477.35</v>
      </c>
      <c r="F452" s="744"/>
      <c r="G452" s="1243">
        <f t="shared" si="132"/>
        <v>45.909399999999998</v>
      </c>
      <c r="H452" s="1248">
        <f t="shared" si="133"/>
        <v>45.909399999999998</v>
      </c>
      <c r="I452" s="1258">
        <f t="shared" si="134"/>
        <v>95.318118776523747</v>
      </c>
      <c r="J452" s="1179">
        <v>12041.1</v>
      </c>
    </row>
    <row r="453" spans="1:10" s="12" customFormat="1" ht="16.5" thickBot="1" x14ac:dyDescent="0.3">
      <c r="A453" s="892"/>
      <c r="B453" s="794" t="s">
        <v>1181</v>
      </c>
      <c r="C453" s="951">
        <f>SUM(C454,C458,C460)</f>
        <v>3805000</v>
      </c>
      <c r="D453" s="951">
        <f>SUM(D454,D458,D460)</f>
        <v>3965000</v>
      </c>
      <c r="E453" s="1170">
        <v>1923355.45</v>
      </c>
      <c r="F453" s="1307">
        <f>SUM(E454,E458,E460)</f>
        <v>1923355.45</v>
      </c>
      <c r="G453" s="1237">
        <f>E453/C453*100</f>
        <v>50.548106438896191</v>
      </c>
      <c r="H453" s="1237">
        <f>E453/D453*100</f>
        <v>48.5083341740227</v>
      </c>
      <c r="I453" s="1253">
        <f t="shared" ref="I453" si="135">E453/J453*100</f>
        <v>689.22431908048156</v>
      </c>
      <c r="J453" s="1179">
        <v>279060.88</v>
      </c>
    </row>
    <row r="454" spans="1:10" s="12" customFormat="1" x14ac:dyDescent="0.2">
      <c r="A454" s="1409">
        <v>3311</v>
      </c>
      <c r="B454" s="1429" t="s">
        <v>1182</v>
      </c>
      <c r="C454" s="1430">
        <f t="shared" ref="C454:D454" si="136">SUM(C455:C457)</f>
        <v>800000</v>
      </c>
      <c r="D454" s="1430">
        <f t="shared" si="136"/>
        <v>800000</v>
      </c>
      <c r="E454" s="919">
        <v>19000</v>
      </c>
      <c r="F454" s="1302">
        <f>SUM(E461)</f>
        <v>486420</v>
      </c>
      <c r="G454" s="825">
        <f t="shared" ref="G454:G455" si="137">E454/C454*100</f>
        <v>2.375</v>
      </c>
      <c r="H454" s="1244">
        <f t="shared" ref="H454:H455" si="138">E454/D454*100</f>
        <v>2.375</v>
      </c>
      <c r="I454" s="1255">
        <v>0</v>
      </c>
      <c r="J454" s="1179">
        <v>0</v>
      </c>
    </row>
    <row r="455" spans="1:10" s="12" customFormat="1" x14ac:dyDescent="0.2">
      <c r="A455" s="1422" t="s">
        <v>2064</v>
      </c>
      <c r="B455" s="1031" t="s">
        <v>2065</v>
      </c>
      <c r="C455" s="958">
        <v>250000</v>
      </c>
      <c r="D455" s="958">
        <v>250000</v>
      </c>
      <c r="E455" s="744">
        <v>19000</v>
      </c>
      <c r="F455" s="744"/>
      <c r="G455" s="1243">
        <f t="shared" si="137"/>
        <v>7.6</v>
      </c>
      <c r="H455" s="1248">
        <f t="shared" si="138"/>
        <v>7.6</v>
      </c>
      <c r="I455" s="1249">
        <v>0</v>
      </c>
      <c r="J455" s="1179">
        <v>0</v>
      </c>
    </row>
    <row r="456" spans="1:10" s="12" customFormat="1" x14ac:dyDescent="0.2">
      <c r="A456" s="1422" t="s">
        <v>2024</v>
      </c>
      <c r="B456" s="1031" t="s">
        <v>1810</v>
      </c>
      <c r="C456" s="958">
        <v>250000</v>
      </c>
      <c r="D456" s="958">
        <v>250000</v>
      </c>
      <c r="E456" s="744">
        <v>0</v>
      </c>
      <c r="F456" s="744">
        <f>SUM(E457:E461)</f>
        <v>3598785.9</v>
      </c>
      <c r="G456" s="1243">
        <f t="shared" ref="G456:G464" si="139">E456/C456*100</f>
        <v>0</v>
      </c>
      <c r="H456" s="1248">
        <f t="shared" ref="H456:H464" si="140">E456/D456*100</f>
        <v>0</v>
      </c>
      <c r="I456" s="1249">
        <v>0</v>
      </c>
      <c r="J456" s="1179">
        <v>0</v>
      </c>
    </row>
    <row r="457" spans="1:10" x14ac:dyDescent="0.2">
      <c r="A457" s="1418" t="s">
        <v>1811</v>
      </c>
      <c r="B457" s="1031" t="s">
        <v>1812</v>
      </c>
      <c r="C457" s="958">
        <v>300000</v>
      </c>
      <c r="D457" s="958">
        <v>300000</v>
      </c>
      <c r="E457" s="744">
        <v>0</v>
      </c>
      <c r="F457" s="744"/>
      <c r="G457" s="1243">
        <f t="shared" si="139"/>
        <v>0</v>
      </c>
      <c r="H457" s="1248">
        <f t="shared" si="140"/>
        <v>0</v>
      </c>
      <c r="I457" s="1249">
        <v>0</v>
      </c>
      <c r="J457" s="1520">
        <v>0</v>
      </c>
    </row>
    <row r="458" spans="1:10" s="12" customFormat="1" x14ac:dyDescent="0.2">
      <c r="A458" s="1431">
        <v>3326</v>
      </c>
      <c r="B458" s="1424" t="s">
        <v>2040</v>
      </c>
      <c r="C458" s="1432">
        <f>SUM(C459)</f>
        <v>1600000</v>
      </c>
      <c r="D458" s="1432">
        <f>SUM(D459)</f>
        <v>1600000</v>
      </c>
      <c r="E458" s="1595">
        <v>1208010.45</v>
      </c>
      <c r="F458" s="751"/>
      <c r="G458" s="825">
        <f t="shared" si="139"/>
        <v>75.500653124999999</v>
      </c>
      <c r="H458" s="1244">
        <f t="shared" si="140"/>
        <v>75.500653124999999</v>
      </c>
      <c r="I458" s="1255">
        <v>0</v>
      </c>
      <c r="J458" s="1179">
        <v>0</v>
      </c>
    </row>
    <row r="459" spans="1:10" x14ac:dyDescent="0.2">
      <c r="A459" s="1418" t="s">
        <v>2041</v>
      </c>
      <c r="B459" s="1031" t="s">
        <v>1816</v>
      </c>
      <c r="C459" s="958">
        <v>1600000</v>
      </c>
      <c r="D459" s="958">
        <v>1600000</v>
      </c>
      <c r="E459" s="744">
        <v>1208010.45</v>
      </c>
      <c r="F459" s="744"/>
      <c r="G459" s="1243">
        <f t="shared" si="139"/>
        <v>75.500653124999999</v>
      </c>
      <c r="H459" s="1248">
        <f t="shared" si="140"/>
        <v>75.500653124999999</v>
      </c>
      <c r="I459" s="1249">
        <v>0</v>
      </c>
      <c r="J459" s="1520">
        <v>0</v>
      </c>
    </row>
    <row r="460" spans="1:10" s="12" customFormat="1" x14ac:dyDescent="0.2">
      <c r="A460" s="1431">
        <v>3392</v>
      </c>
      <c r="B460" s="1424" t="s">
        <v>1183</v>
      </c>
      <c r="C460" s="1432">
        <f>SUM(C461:C464)</f>
        <v>1405000</v>
      </c>
      <c r="D460" s="1432">
        <f>SUM(D461:D464)</f>
        <v>1565000</v>
      </c>
      <c r="E460" s="1595">
        <v>696345</v>
      </c>
      <c r="F460" s="751">
        <f>SUM(E461:E464)</f>
        <v>696345</v>
      </c>
      <c r="G460" s="825">
        <f t="shared" si="139"/>
        <v>49.561921708185054</v>
      </c>
      <c r="H460" s="1244">
        <f t="shared" si="140"/>
        <v>44.49488817891374</v>
      </c>
      <c r="I460" s="1257">
        <f t="shared" ref="I460" si="141">E460/J460*100</f>
        <v>252.26611844808002</v>
      </c>
      <c r="J460" s="1179">
        <v>276035.88</v>
      </c>
    </row>
    <row r="461" spans="1:10" s="12" customFormat="1" x14ac:dyDescent="0.2">
      <c r="A461" s="1422" t="s">
        <v>1184</v>
      </c>
      <c r="B461" s="1031" t="s">
        <v>1598</v>
      </c>
      <c r="C461" s="958">
        <v>750000</v>
      </c>
      <c r="D461" s="958">
        <f>750000-6000</f>
        <v>744000</v>
      </c>
      <c r="E461" s="744">
        <v>486420</v>
      </c>
      <c r="F461" s="744"/>
      <c r="G461" s="1243">
        <f t="shared" si="139"/>
        <v>64.856000000000009</v>
      </c>
      <c r="H461" s="1248">
        <f t="shared" si="140"/>
        <v>65.379032258064512</v>
      </c>
      <c r="I461" s="1249">
        <v>0</v>
      </c>
      <c r="J461" s="1179">
        <v>0</v>
      </c>
    </row>
    <row r="462" spans="1:10" s="12" customFormat="1" x14ac:dyDescent="0.2">
      <c r="A462" s="1422" t="s">
        <v>1277</v>
      </c>
      <c r="B462" s="1031" t="s">
        <v>1600</v>
      </c>
      <c r="C462" s="958">
        <v>5000</v>
      </c>
      <c r="D462" s="958">
        <v>5000</v>
      </c>
      <c r="E462" s="744">
        <v>0</v>
      </c>
      <c r="F462" s="744"/>
      <c r="G462" s="1243">
        <f t="shared" si="139"/>
        <v>0</v>
      </c>
      <c r="H462" s="1248">
        <f t="shared" si="140"/>
        <v>0</v>
      </c>
      <c r="I462" s="1249">
        <v>0</v>
      </c>
      <c r="J462" s="1179">
        <v>0</v>
      </c>
    </row>
    <row r="463" spans="1:10" x14ac:dyDescent="0.2">
      <c r="A463" s="1418" t="s">
        <v>1814</v>
      </c>
      <c r="B463" s="1031" t="s">
        <v>1815</v>
      </c>
      <c r="C463" s="958">
        <v>150000</v>
      </c>
      <c r="D463" s="958">
        <f>150000+6000</f>
        <v>156000</v>
      </c>
      <c r="E463" s="751">
        <v>140000</v>
      </c>
      <c r="F463" s="751"/>
      <c r="G463" s="1243">
        <f t="shared" si="139"/>
        <v>93.333333333333329</v>
      </c>
      <c r="H463" s="1248">
        <f t="shared" si="140"/>
        <v>89.743589743589752</v>
      </c>
      <c r="I463" s="1249">
        <v>0</v>
      </c>
      <c r="J463" s="1520">
        <v>0</v>
      </c>
    </row>
    <row r="464" spans="1:10" s="12" customFormat="1" ht="13.5" thickBot="1" x14ac:dyDescent="0.25">
      <c r="A464" s="1540" t="s">
        <v>1813</v>
      </c>
      <c r="B464" s="1541" t="s">
        <v>1728</v>
      </c>
      <c r="C464" s="1542">
        <v>500000</v>
      </c>
      <c r="D464" s="1542">
        <f>500000+160000</f>
        <v>660000</v>
      </c>
      <c r="E464" s="751">
        <v>69925</v>
      </c>
      <c r="F464" s="751"/>
      <c r="G464" s="1243">
        <f t="shared" si="139"/>
        <v>13.984999999999999</v>
      </c>
      <c r="H464" s="1248">
        <f t="shared" si="140"/>
        <v>10.594696969696969</v>
      </c>
      <c r="I464" s="1249">
        <v>0</v>
      </c>
      <c r="J464" s="1179">
        <v>0</v>
      </c>
    </row>
    <row r="465" spans="1:248" s="12" customFormat="1" ht="16.5" thickBot="1" x14ac:dyDescent="0.3">
      <c r="A465" s="1075"/>
      <c r="B465" s="1076" t="s">
        <v>1300</v>
      </c>
      <c r="C465" s="1077">
        <f t="shared" ref="C465:D465" si="142">SUM(C466)</f>
        <v>8650000</v>
      </c>
      <c r="D465" s="1077">
        <f t="shared" si="142"/>
        <v>13150000</v>
      </c>
      <c r="E465" s="1170">
        <v>362220</v>
      </c>
      <c r="F465" s="1308"/>
      <c r="G465" s="1237">
        <f>E465/C465*100</f>
        <v>4.1875144508670514</v>
      </c>
      <c r="H465" s="1237">
        <f>E465/D465*100</f>
        <v>2.7545247148288974</v>
      </c>
      <c r="I465" s="1253">
        <v>0</v>
      </c>
      <c r="J465" s="1179">
        <v>0</v>
      </c>
    </row>
    <row r="466" spans="1:248" s="12" customFormat="1" x14ac:dyDescent="0.2">
      <c r="A466" s="1433">
        <v>6171</v>
      </c>
      <c r="B466" s="1434" t="s">
        <v>1186</v>
      </c>
      <c r="C466" s="1435">
        <f>SUM(C467:C469)</f>
        <v>8650000</v>
      </c>
      <c r="D466" s="1435">
        <f>SUM(D467:D469)</f>
        <v>13150000</v>
      </c>
      <c r="E466" s="919">
        <v>362220</v>
      </c>
      <c r="F466" s="1302">
        <f>SUM(E467:E469)</f>
        <v>362220</v>
      </c>
      <c r="G466" s="825">
        <f t="shared" ref="G466" si="143">E466/C466*100</f>
        <v>4.1875144508670514</v>
      </c>
      <c r="H466" s="1244">
        <f t="shared" ref="H466:H467" si="144">E466/D466*100</f>
        <v>2.7545247148288974</v>
      </c>
      <c r="I466" s="1255">
        <v>0</v>
      </c>
      <c r="J466" s="1179">
        <v>0</v>
      </c>
    </row>
    <row r="467" spans="1:248" s="12" customFormat="1" x14ac:dyDescent="0.2">
      <c r="A467" s="926" t="s">
        <v>1279</v>
      </c>
      <c r="B467" s="1412" t="s">
        <v>2039</v>
      </c>
      <c r="C467" s="744">
        <v>0</v>
      </c>
      <c r="D467" s="744">
        <v>150470</v>
      </c>
      <c r="E467" s="744">
        <v>150470</v>
      </c>
      <c r="F467" s="744"/>
      <c r="G467" s="1243">
        <v>0</v>
      </c>
      <c r="H467" s="1248">
        <f t="shared" si="144"/>
        <v>100</v>
      </c>
      <c r="I467" s="1249">
        <v>0</v>
      </c>
      <c r="J467" s="1179">
        <v>0</v>
      </c>
    </row>
    <row r="468" spans="1:248" s="12" customFormat="1" x14ac:dyDescent="0.2">
      <c r="A468" s="926" t="s">
        <v>1281</v>
      </c>
      <c r="B468" s="1412" t="s">
        <v>1817</v>
      </c>
      <c r="C468" s="744">
        <v>8300000</v>
      </c>
      <c r="D468" s="744">
        <f>8300000-20000-150470+4500000</f>
        <v>12629530</v>
      </c>
      <c r="E468" s="744">
        <v>139150</v>
      </c>
      <c r="F468" s="744"/>
      <c r="G468" s="1243">
        <f t="shared" ref="G468:G469" si="145">E468/C468*100</f>
        <v>1.6765060240963854</v>
      </c>
      <c r="H468" s="1248">
        <f t="shared" ref="H468:H469" si="146">E468/D468*100</f>
        <v>1.1017828850321429</v>
      </c>
      <c r="I468" s="1249">
        <v>0</v>
      </c>
      <c r="J468" s="1179">
        <v>0</v>
      </c>
    </row>
    <row r="469" spans="1:248" s="12" customFormat="1" ht="13.5" thickBot="1" x14ac:dyDescent="0.25">
      <c r="A469" s="1183" t="s">
        <v>1282</v>
      </c>
      <c r="B469" s="1414" t="s">
        <v>1818</v>
      </c>
      <c r="C469" s="1143">
        <v>350000</v>
      </c>
      <c r="D469" s="1143">
        <f>350000+20000</f>
        <v>370000</v>
      </c>
      <c r="E469" s="1143">
        <v>72600</v>
      </c>
      <c r="F469" s="1143"/>
      <c r="G469" s="1243">
        <f t="shared" si="145"/>
        <v>20.742857142857144</v>
      </c>
      <c r="H469" s="1248">
        <f t="shared" si="146"/>
        <v>19.621621621621621</v>
      </c>
      <c r="I469" s="1249">
        <v>0</v>
      </c>
      <c r="J469" s="1179">
        <v>0</v>
      </c>
      <c r="FH469" s="695"/>
      <c r="FI469" s="695"/>
      <c r="FJ469" s="695"/>
      <c r="FK469" s="695"/>
      <c r="FL469" s="695"/>
      <c r="FM469" s="695"/>
      <c r="FN469" s="695"/>
      <c r="FO469" s="695"/>
      <c r="FP469" s="695"/>
      <c r="FQ469" s="695"/>
      <c r="FR469" s="695"/>
      <c r="FS469" s="695"/>
      <c r="FT469" s="695"/>
      <c r="FU469" s="695"/>
      <c r="FV469" s="695"/>
      <c r="FW469" s="695"/>
      <c r="FX469" s="695"/>
      <c r="FY469" s="695"/>
      <c r="FZ469" s="695"/>
      <c r="GA469" s="695"/>
      <c r="GB469" s="695"/>
      <c r="GC469" s="695"/>
      <c r="GD469" s="695"/>
      <c r="GE469" s="695"/>
      <c r="GF469" s="695"/>
      <c r="GG469" s="695"/>
      <c r="GH469" s="695"/>
      <c r="GI469" s="695"/>
      <c r="GJ469" s="695"/>
      <c r="GK469" s="695"/>
      <c r="GL469" s="695"/>
      <c r="GM469" s="695"/>
      <c r="GN469" s="695"/>
      <c r="GO469" s="695"/>
      <c r="GP469" s="695"/>
      <c r="GQ469" s="695"/>
      <c r="GR469" s="695"/>
      <c r="GS469" s="695"/>
      <c r="GT469" s="695"/>
      <c r="GU469" s="695"/>
      <c r="GV469" s="695"/>
      <c r="GW469" s="695"/>
      <c r="GX469" s="695"/>
      <c r="GY469" s="695"/>
      <c r="GZ469" s="695"/>
      <c r="HA469" s="695"/>
      <c r="HB469" s="695"/>
      <c r="HC469" s="695"/>
      <c r="HD469" s="695"/>
      <c r="HE469" s="695"/>
      <c r="HF469" s="695"/>
      <c r="HG469" s="695"/>
      <c r="HH469" s="695"/>
      <c r="HI469" s="695"/>
      <c r="HJ469" s="695"/>
      <c r="HK469" s="695"/>
      <c r="HL469" s="695"/>
      <c r="HM469" s="695"/>
      <c r="HN469" s="695"/>
      <c r="HO469" s="695"/>
      <c r="HP469" s="695"/>
      <c r="HQ469" s="695"/>
      <c r="HR469" s="695"/>
      <c r="HS469" s="695"/>
      <c r="HT469" s="695"/>
      <c r="HU469" s="695"/>
      <c r="HV469" s="695"/>
      <c r="HW469" s="695"/>
      <c r="HX469" s="695"/>
      <c r="HY469" s="695"/>
      <c r="HZ469" s="695"/>
      <c r="IA469" s="695"/>
      <c r="IB469" s="695"/>
      <c r="IC469" s="695"/>
      <c r="ID469" s="695"/>
      <c r="IE469" s="695"/>
      <c r="IF469" s="695"/>
      <c r="IG469" s="695"/>
      <c r="IH469" s="695"/>
      <c r="II469" s="695"/>
      <c r="IJ469" s="695"/>
      <c r="IK469" s="695"/>
      <c r="IL469" s="695"/>
      <c r="IM469" s="695"/>
      <c r="IN469" s="695"/>
    </row>
    <row r="470" spans="1:248" s="893" customFormat="1" ht="16.5" thickBot="1" x14ac:dyDescent="0.3">
      <c r="A470" s="892"/>
      <c r="B470" s="795" t="s">
        <v>1187</v>
      </c>
      <c r="C470" s="951">
        <f>SUM(C471,C473,C475,C477,C480)</f>
        <v>5955000</v>
      </c>
      <c r="D470" s="951">
        <f>SUM(D471,D473,D475,D477,D480)</f>
        <v>5885000</v>
      </c>
      <c r="E470" s="1170">
        <v>312080</v>
      </c>
      <c r="F470" s="1307">
        <f>SUM(E471,E473,E475,E477,E480)</f>
        <v>312080</v>
      </c>
      <c r="G470" s="1237">
        <f>E470/C470*100</f>
        <v>5.2406381192275395</v>
      </c>
      <c r="H470" s="1237">
        <f>E470/D470*100</f>
        <v>5.3029736618521666</v>
      </c>
      <c r="I470" s="1253">
        <v>0</v>
      </c>
      <c r="J470" s="1499">
        <v>0</v>
      </c>
      <c r="K470" s="695"/>
      <c r="L470" s="695"/>
      <c r="M470" s="695"/>
      <c r="N470" s="695"/>
      <c r="O470" s="695"/>
      <c r="P470" s="695"/>
      <c r="Q470" s="695"/>
      <c r="R470" s="695"/>
      <c r="S470" s="695"/>
      <c r="T470" s="695"/>
      <c r="U470" s="695"/>
      <c r="V470" s="695"/>
      <c r="W470" s="695"/>
      <c r="X470" s="695"/>
      <c r="Y470" s="695"/>
      <c r="Z470" s="695"/>
      <c r="AA470" s="695"/>
      <c r="AB470" s="695"/>
      <c r="AC470" s="695"/>
      <c r="AD470" s="695"/>
      <c r="AE470" s="695"/>
      <c r="AF470" s="695"/>
      <c r="AG470" s="695"/>
      <c r="FH470" s="695"/>
      <c r="FI470" s="695"/>
      <c r="FJ470" s="695"/>
      <c r="FK470" s="695"/>
      <c r="FL470" s="695"/>
      <c r="FM470" s="695"/>
      <c r="FN470" s="695"/>
      <c r="FO470" s="695"/>
      <c r="FP470" s="695"/>
      <c r="FQ470" s="695"/>
      <c r="FR470" s="695"/>
      <c r="FS470" s="695"/>
      <c r="FT470" s="695"/>
      <c r="FU470" s="695"/>
      <c r="FV470" s="695"/>
      <c r="FW470" s="695"/>
      <c r="FX470" s="695"/>
      <c r="FY470" s="695"/>
      <c r="FZ470" s="695"/>
      <c r="GA470" s="695"/>
      <c r="GB470" s="695"/>
      <c r="GC470" s="695"/>
      <c r="GD470" s="695"/>
      <c r="GE470" s="695"/>
      <c r="GF470" s="695"/>
      <c r="GG470" s="695"/>
      <c r="GH470" s="695"/>
      <c r="GI470" s="695"/>
      <c r="GJ470" s="695"/>
      <c r="GK470" s="695"/>
      <c r="GL470" s="695"/>
      <c r="GM470" s="695"/>
      <c r="GN470" s="695"/>
      <c r="GO470" s="695"/>
      <c r="GP470" s="695"/>
      <c r="GQ470" s="695"/>
      <c r="GR470" s="695"/>
      <c r="GS470" s="695"/>
      <c r="GT470" s="695"/>
      <c r="GU470" s="695"/>
      <c r="GV470" s="695"/>
      <c r="GW470" s="695"/>
      <c r="GX470" s="695"/>
      <c r="GY470" s="695"/>
      <c r="GZ470" s="695"/>
      <c r="HA470" s="695"/>
      <c r="HB470" s="695"/>
      <c r="HC470" s="695"/>
      <c r="HD470" s="695"/>
      <c r="HE470" s="695"/>
      <c r="HF470" s="695"/>
      <c r="HG470" s="695"/>
      <c r="HH470" s="695"/>
      <c r="HI470" s="695"/>
      <c r="HJ470" s="695"/>
      <c r="HK470" s="695"/>
      <c r="HL470" s="695"/>
      <c r="HM470" s="695"/>
      <c r="HN470" s="695"/>
      <c r="HO470" s="695"/>
      <c r="HP470" s="695"/>
      <c r="HQ470" s="695"/>
      <c r="HR470" s="695"/>
      <c r="HS470" s="695"/>
      <c r="HT470" s="695"/>
      <c r="HU470" s="695"/>
      <c r="HV470" s="695"/>
      <c r="HW470" s="695"/>
      <c r="HX470" s="695"/>
      <c r="HY470" s="695"/>
      <c r="HZ470" s="695"/>
      <c r="IA470" s="695"/>
      <c r="IB470" s="695"/>
      <c r="IC470" s="695"/>
      <c r="ID470" s="695"/>
      <c r="IE470" s="695"/>
      <c r="IF470" s="695"/>
      <c r="IG470" s="695"/>
      <c r="IH470" s="695"/>
      <c r="II470" s="695"/>
      <c r="IJ470" s="695"/>
      <c r="IK470" s="695"/>
      <c r="IL470" s="695"/>
      <c r="IM470" s="695"/>
      <c r="IN470" s="695"/>
    </row>
    <row r="471" spans="1:248" s="894" customFormat="1" x14ac:dyDescent="0.2">
      <c r="A471" s="887">
        <v>3745</v>
      </c>
      <c r="B471" s="914" t="s">
        <v>1363</v>
      </c>
      <c r="C471" s="919">
        <f>SUM(C472:C472)</f>
        <v>5000</v>
      </c>
      <c r="D471" s="919">
        <f>SUM(D472:D472)</f>
        <v>5000</v>
      </c>
      <c r="E471" s="919">
        <v>0</v>
      </c>
      <c r="F471" s="1302"/>
      <c r="G471" s="825">
        <f t="shared" ref="G471:G472" si="147">E471/C471*100</f>
        <v>0</v>
      </c>
      <c r="H471" s="1244">
        <f t="shared" ref="H471:H472" si="148">E471/D471*100</f>
        <v>0</v>
      </c>
      <c r="I471" s="1255">
        <v>0</v>
      </c>
      <c r="J471" s="1499">
        <v>0</v>
      </c>
      <c r="K471" s="695"/>
      <c r="L471" s="695"/>
      <c r="M471" s="695"/>
      <c r="N471" s="695"/>
      <c r="O471" s="695"/>
      <c r="P471" s="695"/>
      <c r="Q471" s="695"/>
      <c r="R471" s="695"/>
      <c r="S471" s="695"/>
      <c r="T471" s="695"/>
      <c r="U471" s="695"/>
      <c r="V471" s="695"/>
      <c r="W471" s="695"/>
      <c r="X471" s="695"/>
      <c r="Y471" s="695"/>
      <c r="Z471" s="695"/>
      <c r="AA471" s="695"/>
      <c r="AB471" s="695"/>
      <c r="AC471" s="695"/>
      <c r="AD471" s="695"/>
      <c r="AE471" s="695"/>
      <c r="AF471" s="695"/>
      <c r="AG471" s="695"/>
      <c r="AH471" s="695"/>
      <c r="AI471" s="695"/>
      <c r="AJ471" s="695"/>
      <c r="AK471" s="695"/>
      <c r="AL471" s="695"/>
      <c r="AM471" s="695"/>
      <c r="AN471" s="695"/>
      <c r="AO471" s="695"/>
      <c r="AP471" s="695"/>
      <c r="AQ471" s="695"/>
      <c r="AR471" s="695"/>
      <c r="AS471" s="695"/>
      <c r="AT471" s="695"/>
      <c r="AU471" s="695"/>
      <c r="AV471" s="695"/>
      <c r="AW471" s="695"/>
      <c r="AX471" s="695"/>
      <c r="AY471" s="695"/>
      <c r="AZ471" s="695"/>
      <c r="BA471" s="695"/>
      <c r="BB471" s="695"/>
      <c r="BC471" s="695"/>
      <c r="BD471" s="695"/>
      <c r="BE471" s="695"/>
      <c r="BF471" s="695"/>
      <c r="BG471" s="695"/>
      <c r="BH471" s="695"/>
      <c r="BI471" s="695"/>
      <c r="BJ471" s="695"/>
      <c r="BK471" s="695"/>
      <c r="BL471" s="695"/>
      <c r="BM471" s="695"/>
      <c r="BN471" s="695"/>
      <c r="BO471" s="695"/>
      <c r="BP471" s="695"/>
      <c r="BQ471" s="695"/>
      <c r="BR471" s="695"/>
      <c r="BS471" s="695"/>
      <c r="BT471" s="695"/>
      <c r="BU471" s="695"/>
      <c r="BV471" s="695"/>
      <c r="BW471" s="695"/>
      <c r="BX471" s="695"/>
      <c r="BY471" s="695"/>
      <c r="BZ471" s="695"/>
      <c r="CA471" s="695"/>
      <c r="CB471" s="695"/>
      <c r="CC471" s="695"/>
      <c r="CD471" s="695"/>
      <c r="CE471" s="695"/>
      <c r="CF471" s="695"/>
      <c r="CG471" s="695"/>
      <c r="CH471" s="695"/>
      <c r="CI471" s="695"/>
      <c r="CJ471" s="695"/>
      <c r="CK471" s="695"/>
      <c r="CL471" s="695"/>
      <c r="CM471" s="695"/>
      <c r="CN471" s="695"/>
      <c r="CO471" s="695"/>
      <c r="CP471" s="695"/>
      <c r="CQ471" s="695"/>
      <c r="CR471" s="695"/>
      <c r="CS471" s="695"/>
      <c r="CT471" s="695"/>
      <c r="CU471" s="695"/>
      <c r="CV471" s="695"/>
      <c r="CW471" s="695"/>
      <c r="CX471" s="695"/>
      <c r="CY471" s="695"/>
      <c r="CZ471" s="695"/>
      <c r="DA471" s="695"/>
      <c r="DB471" s="695"/>
      <c r="DC471" s="695"/>
      <c r="DD471" s="695"/>
      <c r="DE471" s="695"/>
      <c r="DF471" s="695"/>
      <c r="DG471" s="695"/>
      <c r="DH471" s="695"/>
      <c r="DI471" s="695"/>
      <c r="DJ471" s="695"/>
      <c r="DK471" s="695"/>
      <c r="DL471" s="695"/>
      <c r="DM471" s="695"/>
      <c r="DN471" s="695"/>
      <c r="DO471" s="695"/>
      <c r="DP471" s="695"/>
      <c r="DQ471" s="695"/>
      <c r="DR471" s="695"/>
      <c r="DS471" s="695"/>
      <c r="DT471" s="695"/>
      <c r="DU471" s="695"/>
      <c r="DV471" s="695"/>
      <c r="DW471" s="695"/>
      <c r="DX471" s="695"/>
      <c r="DY471" s="695"/>
      <c r="DZ471" s="695"/>
      <c r="EA471" s="695"/>
      <c r="EB471" s="695"/>
      <c r="EC471" s="695"/>
      <c r="ED471" s="695"/>
      <c r="EE471" s="695"/>
      <c r="EF471" s="695"/>
      <c r="EG471" s="695"/>
      <c r="EH471" s="695"/>
      <c r="EI471" s="695"/>
      <c r="EJ471" s="695"/>
      <c r="EK471" s="695"/>
      <c r="EL471" s="695"/>
      <c r="EM471" s="695"/>
      <c r="EN471" s="695"/>
      <c r="EO471" s="695"/>
      <c r="EP471" s="695"/>
      <c r="EQ471" s="695"/>
      <c r="ER471" s="695"/>
      <c r="ES471" s="695"/>
      <c r="ET471" s="695"/>
      <c r="EU471" s="695"/>
      <c r="EV471" s="695"/>
      <c r="EW471" s="695"/>
      <c r="EX471" s="695"/>
      <c r="EY471" s="695"/>
      <c r="EZ471" s="695"/>
      <c r="FA471" s="695"/>
      <c r="FB471" s="695"/>
      <c r="FC471" s="695"/>
      <c r="FD471" s="695"/>
      <c r="FE471" s="695"/>
      <c r="FF471" s="695"/>
      <c r="FG471" s="695"/>
      <c r="FH471" s="695"/>
      <c r="FI471" s="695"/>
      <c r="FJ471" s="695"/>
      <c r="FK471" s="695"/>
      <c r="FL471" s="695"/>
      <c r="FM471" s="695"/>
      <c r="FN471" s="695"/>
      <c r="FO471" s="695"/>
      <c r="FP471" s="695"/>
      <c r="FQ471" s="695"/>
      <c r="FR471" s="695"/>
      <c r="FS471" s="695"/>
      <c r="FT471" s="695"/>
      <c r="FU471" s="695"/>
      <c r="FV471" s="695"/>
      <c r="FW471" s="695"/>
      <c r="FX471" s="695"/>
      <c r="FY471" s="695"/>
      <c r="FZ471" s="695"/>
      <c r="GA471" s="695"/>
      <c r="GB471" s="695"/>
      <c r="GC471" s="695"/>
      <c r="GD471" s="695"/>
      <c r="GE471" s="695"/>
      <c r="GF471" s="695"/>
      <c r="GG471" s="695"/>
      <c r="GH471" s="695"/>
      <c r="GI471" s="695"/>
      <c r="GJ471" s="695"/>
      <c r="GK471" s="695"/>
      <c r="GL471" s="695"/>
      <c r="GM471" s="695"/>
      <c r="GN471" s="695"/>
      <c r="GO471" s="695"/>
      <c r="GP471" s="695"/>
      <c r="GQ471" s="695"/>
      <c r="GR471" s="695"/>
      <c r="GS471" s="695"/>
      <c r="GT471" s="695"/>
      <c r="GU471" s="695"/>
      <c r="GV471" s="695"/>
      <c r="GW471" s="695"/>
      <c r="GX471" s="695"/>
      <c r="GY471" s="695"/>
      <c r="GZ471" s="695"/>
      <c r="HA471" s="695"/>
      <c r="HB471" s="695"/>
      <c r="HC471" s="695"/>
      <c r="HD471" s="695"/>
      <c r="HE471" s="695"/>
      <c r="HF471" s="695"/>
      <c r="HG471" s="695"/>
      <c r="HH471" s="695"/>
      <c r="HI471" s="695"/>
      <c r="HJ471" s="695"/>
      <c r="HK471" s="695"/>
      <c r="HL471" s="695"/>
      <c r="HM471" s="695"/>
      <c r="HN471" s="695"/>
      <c r="HO471" s="695"/>
      <c r="HP471" s="695"/>
      <c r="HQ471" s="695"/>
      <c r="HR471" s="695"/>
      <c r="HS471" s="695"/>
      <c r="HT471" s="695"/>
      <c r="HU471" s="695"/>
      <c r="HV471" s="695"/>
      <c r="HW471" s="695"/>
      <c r="HX471" s="695"/>
      <c r="HY471" s="695"/>
      <c r="HZ471" s="695"/>
      <c r="IA471" s="695"/>
      <c r="IB471" s="695"/>
      <c r="IC471" s="695"/>
      <c r="ID471" s="695"/>
      <c r="IE471" s="695"/>
      <c r="IF471" s="695"/>
      <c r="IG471" s="695"/>
      <c r="IH471" s="695"/>
      <c r="II471" s="695"/>
      <c r="IJ471" s="695"/>
      <c r="IK471" s="695"/>
      <c r="IL471" s="695"/>
      <c r="IM471" s="695"/>
      <c r="IN471" s="695"/>
    </row>
    <row r="472" spans="1:248" s="893" customFormat="1" x14ac:dyDescent="0.2">
      <c r="A472" s="748" t="s">
        <v>1188</v>
      </c>
      <c r="B472" s="913" t="s">
        <v>1819</v>
      </c>
      <c r="C472" s="709">
        <v>5000</v>
      </c>
      <c r="D472" s="709">
        <v>5000</v>
      </c>
      <c r="E472" s="744">
        <v>0</v>
      </c>
      <c r="F472" s="744"/>
      <c r="G472" s="1243">
        <f t="shared" si="147"/>
        <v>0</v>
      </c>
      <c r="H472" s="1248">
        <f t="shared" si="148"/>
        <v>0</v>
      </c>
      <c r="I472" s="1249">
        <v>0</v>
      </c>
      <c r="J472" s="1499">
        <v>0</v>
      </c>
      <c r="K472" s="695"/>
      <c r="L472" s="695"/>
      <c r="M472" s="695"/>
      <c r="N472" s="695"/>
      <c r="O472" s="695"/>
      <c r="P472" s="695"/>
      <c r="Q472" s="695"/>
      <c r="R472" s="695"/>
      <c r="S472" s="695"/>
      <c r="T472" s="695"/>
      <c r="U472" s="695"/>
      <c r="V472" s="695"/>
      <c r="W472" s="695"/>
      <c r="X472" s="695"/>
      <c r="Y472" s="695"/>
      <c r="Z472" s="695"/>
      <c r="AA472" s="695"/>
      <c r="AB472" s="695"/>
      <c r="AC472" s="695"/>
      <c r="AD472" s="695"/>
      <c r="AE472" s="695"/>
      <c r="AF472" s="695"/>
      <c r="AG472" s="695"/>
      <c r="AH472" s="695"/>
      <c r="AI472" s="695"/>
      <c r="AJ472" s="695"/>
      <c r="AK472" s="695"/>
      <c r="AL472" s="695"/>
      <c r="AM472" s="695"/>
      <c r="AN472" s="695"/>
      <c r="AO472" s="695"/>
      <c r="AP472" s="695"/>
      <c r="AQ472" s="695"/>
      <c r="AR472" s="695"/>
      <c r="AS472" s="695"/>
      <c r="AT472" s="695"/>
      <c r="AU472" s="695"/>
      <c r="AV472" s="695"/>
      <c r="AW472" s="695"/>
      <c r="AX472" s="695"/>
      <c r="AY472" s="695"/>
      <c r="AZ472" s="695"/>
      <c r="BA472" s="695"/>
      <c r="BB472" s="695"/>
      <c r="BC472" s="695"/>
      <c r="BD472" s="695"/>
      <c r="BE472" s="695"/>
      <c r="BF472" s="695"/>
      <c r="BG472" s="695"/>
      <c r="BH472" s="695"/>
      <c r="BI472" s="695"/>
      <c r="BJ472" s="695"/>
      <c r="BK472" s="695"/>
      <c r="BL472" s="695"/>
      <c r="BM472" s="695"/>
      <c r="BN472" s="695"/>
      <c r="BO472" s="695"/>
      <c r="BP472" s="695"/>
      <c r="BQ472" s="695"/>
      <c r="BR472" s="695"/>
      <c r="BS472" s="695"/>
      <c r="BT472" s="695"/>
      <c r="BU472" s="695"/>
      <c r="BV472" s="695"/>
      <c r="BW472" s="695"/>
      <c r="BX472" s="695"/>
      <c r="BY472" s="695"/>
      <c r="BZ472" s="695"/>
      <c r="CA472" s="695"/>
      <c r="CB472" s="695"/>
      <c r="CC472" s="695"/>
      <c r="CD472" s="695"/>
      <c r="CE472" s="695"/>
      <c r="CF472" s="695"/>
      <c r="CG472" s="695"/>
      <c r="CH472" s="695"/>
      <c r="CI472" s="695"/>
      <c r="CJ472" s="695"/>
      <c r="CK472" s="695"/>
      <c r="CL472" s="695"/>
      <c r="CM472" s="695"/>
      <c r="CN472" s="695"/>
      <c r="CO472" s="695"/>
      <c r="CP472" s="695"/>
      <c r="CQ472" s="695"/>
      <c r="CR472" s="695"/>
      <c r="CS472" s="695"/>
      <c r="CT472" s="695"/>
      <c r="CU472" s="695"/>
      <c r="CV472" s="695"/>
      <c r="CW472" s="695"/>
      <c r="CX472" s="695"/>
      <c r="CY472" s="695"/>
      <c r="CZ472" s="695"/>
      <c r="DA472" s="695"/>
      <c r="DB472" s="695"/>
      <c r="DC472" s="695"/>
      <c r="DD472" s="695"/>
      <c r="DE472" s="695"/>
      <c r="DF472" s="695"/>
      <c r="DG472" s="695"/>
      <c r="DH472" s="695"/>
      <c r="DI472" s="695"/>
      <c r="DJ472" s="695"/>
      <c r="DK472" s="695"/>
      <c r="DL472" s="695"/>
      <c r="DM472" s="695"/>
      <c r="DN472" s="695"/>
      <c r="DO472" s="695"/>
      <c r="DP472" s="695"/>
      <c r="DQ472" s="695"/>
      <c r="DR472" s="695"/>
      <c r="DS472" s="695"/>
      <c r="DT472" s="695"/>
      <c r="DU472" s="695"/>
      <c r="DV472" s="695"/>
      <c r="DW472" s="695"/>
      <c r="DX472" s="695"/>
      <c r="DY472" s="695"/>
      <c r="DZ472" s="695"/>
      <c r="EA472" s="695"/>
      <c r="EB472" s="695"/>
      <c r="EC472" s="695"/>
      <c r="ED472" s="695"/>
      <c r="EE472" s="695"/>
      <c r="EF472" s="695"/>
      <c r="EG472" s="695"/>
      <c r="EH472" s="695"/>
      <c r="EI472" s="695"/>
      <c r="EJ472" s="695"/>
      <c r="EK472" s="695"/>
      <c r="EL472" s="695"/>
      <c r="EM472" s="695"/>
      <c r="EN472" s="695"/>
      <c r="EO472" s="695"/>
      <c r="EP472" s="695"/>
      <c r="EQ472" s="695"/>
      <c r="ER472" s="695"/>
      <c r="ES472" s="695"/>
      <c r="ET472" s="695"/>
      <c r="EU472" s="695"/>
      <c r="EV472" s="695"/>
      <c r="EW472" s="695"/>
      <c r="EX472" s="695"/>
      <c r="EY472" s="695"/>
      <c r="EZ472" s="695"/>
      <c r="FA472" s="695"/>
      <c r="FB472" s="695"/>
      <c r="FC472" s="695"/>
      <c r="FD472" s="695"/>
      <c r="FE472" s="695"/>
      <c r="FF472" s="695"/>
      <c r="FG472" s="695"/>
      <c r="FH472" s="695"/>
      <c r="FI472" s="695"/>
      <c r="FJ472" s="695"/>
      <c r="FK472" s="695"/>
      <c r="FL472" s="695"/>
      <c r="FM472" s="695"/>
      <c r="FN472" s="695"/>
      <c r="FO472" s="695"/>
      <c r="FP472" s="695"/>
      <c r="FQ472" s="695"/>
      <c r="FR472" s="695"/>
      <c r="FS472" s="695"/>
      <c r="FT472" s="695"/>
      <c r="FU472" s="695"/>
      <c r="FV472" s="695"/>
      <c r="FW472" s="695"/>
      <c r="FX472" s="695"/>
      <c r="FY472" s="695"/>
      <c r="FZ472" s="695"/>
      <c r="GA472" s="695"/>
      <c r="GB472" s="695"/>
      <c r="GC472" s="695"/>
      <c r="GD472" s="695"/>
      <c r="GE472" s="695"/>
      <c r="GF472" s="695"/>
      <c r="GG472" s="695"/>
      <c r="GH472" s="695"/>
      <c r="GI472" s="695"/>
      <c r="GJ472" s="695"/>
      <c r="GK472" s="695"/>
      <c r="GL472" s="695"/>
      <c r="GM472" s="695"/>
      <c r="GN472" s="695"/>
      <c r="GO472" s="695"/>
      <c r="GP472" s="695"/>
      <c r="GQ472" s="695"/>
      <c r="GR472" s="695"/>
      <c r="GS472" s="695"/>
      <c r="GT472" s="695"/>
      <c r="GU472" s="695"/>
      <c r="GV472" s="695"/>
      <c r="GW472" s="695"/>
      <c r="GX472" s="695"/>
      <c r="GY472" s="695"/>
      <c r="GZ472" s="695"/>
      <c r="HA472" s="695"/>
      <c r="HB472" s="695"/>
      <c r="HC472" s="695"/>
      <c r="HD472" s="695"/>
      <c r="HE472" s="695"/>
      <c r="HF472" s="695"/>
      <c r="HG472" s="695"/>
      <c r="HH472" s="695"/>
      <c r="HI472" s="695"/>
      <c r="HJ472" s="695"/>
      <c r="HK472" s="695"/>
      <c r="HL472" s="695"/>
      <c r="HM472" s="695"/>
      <c r="HN472" s="695"/>
      <c r="HO472" s="695"/>
      <c r="HP472" s="695"/>
      <c r="HQ472" s="695"/>
      <c r="HR472" s="695"/>
      <c r="HS472" s="695"/>
      <c r="HT472" s="695"/>
      <c r="HU472" s="695"/>
      <c r="HV472" s="695"/>
      <c r="HW472" s="695"/>
      <c r="HX472" s="695"/>
      <c r="HY472" s="695"/>
      <c r="HZ472" s="695"/>
      <c r="IA472" s="695"/>
      <c r="IB472" s="695"/>
      <c r="IC472" s="695"/>
      <c r="ID472" s="695"/>
      <c r="IE472" s="695"/>
      <c r="IF472" s="695"/>
      <c r="IG472" s="695"/>
      <c r="IH472" s="695"/>
      <c r="II472" s="695"/>
      <c r="IJ472" s="695"/>
      <c r="IK472" s="695"/>
      <c r="IL472" s="695"/>
      <c r="IM472" s="695"/>
      <c r="IN472" s="695"/>
    </row>
    <row r="473" spans="1:248" s="107" customFormat="1" x14ac:dyDescent="0.2">
      <c r="A473" s="752">
        <v>2321</v>
      </c>
      <c r="B473" s="915" t="s">
        <v>1357</v>
      </c>
      <c r="C473" s="754">
        <f t="shared" ref="C473:D473" si="149">SUM(C474:C474)</f>
        <v>250000</v>
      </c>
      <c r="D473" s="754">
        <f t="shared" si="149"/>
        <v>250000</v>
      </c>
      <c r="E473" s="845">
        <v>0</v>
      </c>
      <c r="F473" s="744"/>
      <c r="G473" s="1243">
        <f t="shared" ref="G473:G481" si="150">E473/C473*100</f>
        <v>0</v>
      </c>
      <c r="H473" s="1248">
        <f t="shared" ref="H473:H481" si="151">E473/D473*100</f>
        <v>0</v>
      </c>
      <c r="I473" s="1249">
        <v>0</v>
      </c>
      <c r="J473" s="1499">
        <v>0</v>
      </c>
      <c r="K473" s="1185"/>
      <c r="L473" s="1185"/>
      <c r="M473" s="1185"/>
      <c r="N473" s="1185"/>
      <c r="O473" s="1185"/>
      <c r="P473" s="1185"/>
      <c r="Q473" s="1185"/>
      <c r="R473" s="1185"/>
      <c r="S473" s="1185"/>
      <c r="T473" s="1185"/>
      <c r="U473" s="1185"/>
      <c r="V473" s="1185"/>
      <c r="W473" s="1185"/>
      <c r="X473" s="1185"/>
      <c r="Y473" s="1185"/>
      <c r="Z473" s="1185"/>
      <c r="AA473" s="1185"/>
      <c r="AB473" s="1185"/>
      <c r="AC473" s="1185"/>
      <c r="AD473" s="1185"/>
      <c r="AE473" s="1185"/>
      <c r="AF473" s="1185"/>
      <c r="AG473" s="1185"/>
      <c r="AH473" s="1185"/>
      <c r="AI473" s="1185"/>
      <c r="AJ473" s="1185"/>
      <c r="AK473" s="1185"/>
      <c r="AL473" s="1185"/>
      <c r="AM473" s="1185"/>
      <c r="AN473" s="1185"/>
      <c r="AO473" s="1185"/>
      <c r="AP473" s="1185"/>
      <c r="AQ473" s="1185"/>
      <c r="AR473" s="1185"/>
      <c r="AS473" s="1185"/>
      <c r="AT473" s="1185"/>
      <c r="AU473" s="1185"/>
      <c r="AV473" s="1185"/>
      <c r="AW473" s="1185"/>
      <c r="AX473" s="1185"/>
      <c r="AY473" s="1185"/>
      <c r="AZ473" s="1185"/>
      <c r="BA473" s="1185"/>
      <c r="BB473" s="1185"/>
      <c r="BC473" s="1185"/>
      <c r="BD473" s="1185"/>
      <c r="BE473" s="1185"/>
      <c r="BF473" s="1185"/>
      <c r="BG473" s="1185"/>
      <c r="BH473" s="1185"/>
      <c r="BI473" s="1185"/>
      <c r="BJ473" s="1185"/>
      <c r="BK473" s="1185"/>
      <c r="BL473" s="1185"/>
      <c r="BM473" s="1185"/>
      <c r="BN473" s="1185"/>
      <c r="BO473" s="1185"/>
      <c r="BP473" s="1185"/>
      <c r="BQ473" s="1185"/>
      <c r="BR473" s="1185"/>
      <c r="BS473" s="1185"/>
      <c r="BT473" s="1185"/>
      <c r="BU473" s="1185"/>
      <c r="BV473" s="1185"/>
      <c r="BW473" s="1185"/>
      <c r="BX473" s="1185"/>
      <c r="BY473" s="1185"/>
      <c r="BZ473" s="1185"/>
      <c r="CA473" s="1185"/>
      <c r="CB473" s="1185"/>
      <c r="CC473" s="1185"/>
      <c r="CD473" s="1185"/>
      <c r="CE473" s="1185"/>
      <c r="CF473" s="1185"/>
      <c r="CG473" s="1185"/>
      <c r="CH473" s="1185"/>
      <c r="CI473" s="1185"/>
      <c r="CJ473" s="1185"/>
      <c r="CK473" s="1185"/>
      <c r="CL473" s="1185"/>
      <c r="CM473" s="1185"/>
      <c r="CN473" s="1185"/>
      <c r="CO473" s="1185"/>
      <c r="CP473" s="1185"/>
      <c r="CQ473" s="1185"/>
      <c r="CR473" s="1185"/>
      <c r="CS473" s="1185"/>
      <c r="CT473" s="1185"/>
      <c r="CU473" s="1185"/>
      <c r="CV473" s="1185"/>
      <c r="CW473" s="1185"/>
      <c r="CX473" s="1185"/>
      <c r="CY473" s="1185"/>
      <c r="CZ473" s="1185"/>
      <c r="DA473" s="1185"/>
      <c r="DB473" s="1185"/>
      <c r="DC473" s="1185"/>
      <c r="DD473" s="1185"/>
      <c r="DE473" s="1185"/>
      <c r="DF473" s="1185"/>
      <c r="DG473" s="1185"/>
      <c r="DH473" s="1185"/>
      <c r="DI473" s="1185"/>
      <c r="DJ473" s="1185"/>
      <c r="DK473" s="1185"/>
      <c r="DL473" s="1185"/>
      <c r="DM473" s="1185"/>
      <c r="DN473" s="1185"/>
      <c r="DO473" s="1185"/>
      <c r="DP473" s="1185"/>
      <c r="DQ473" s="1185"/>
      <c r="DR473" s="1185"/>
      <c r="DS473" s="1185"/>
      <c r="DT473" s="1185"/>
      <c r="DU473" s="1185"/>
      <c r="DV473" s="1185"/>
      <c r="DW473" s="1185"/>
      <c r="DX473" s="1185"/>
      <c r="DY473" s="1185"/>
      <c r="DZ473" s="1185"/>
      <c r="EA473" s="1185"/>
      <c r="EB473" s="1185"/>
      <c r="EC473" s="1185"/>
      <c r="ED473" s="1185"/>
      <c r="EE473" s="1185"/>
      <c r="EF473" s="1185"/>
      <c r="EG473" s="1185"/>
      <c r="EH473" s="1185"/>
      <c r="EI473" s="1185"/>
      <c r="EJ473" s="1185"/>
      <c r="EK473" s="1185"/>
      <c r="EL473" s="1185"/>
      <c r="EM473" s="1185"/>
      <c r="EN473" s="1185"/>
      <c r="EO473" s="1185"/>
      <c r="EP473" s="1185"/>
      <c r="EQ473" s="1185"/>
      <c r="ER473" s="1185"/>
      <c r="ES473" s="1185"/>
      <c r="ET473" s="1185"/>
      <c r="EU473" s="1185"/>
      <c r="EV473" s="1185"/>
      <c r="EW473" s="1185"/>
      <c r="EX473" s="1185"/>
      <c r="EY473" s="1185"/>
      <c r="EZ473" s="1185"/>
      <c r="FA473" s="1185"/>
      <c r="FB473" s="1185"/>
      <c r="FC473" s="1185"/>
      <c r="FD473" s="1185"/>
      <c r="FE473" s="1185"/>
      <c r="FF473" s="1185"/>
      <c r="FG473" s="1185"/>
      <c r="FH473" s="1185"/>
      <c r="FI473" s="1185"/>
      <c r="FJ473" s="1185"/>
      <c r="FK473" s="1185"/>
      <c r="FL473" s="1185"/>
      <c r="FM473" s="1185"/>
      <c r="FN473" s="1185"/>
      <c r="FO473" s="1185"/>
      <c r="FP473" s="1185"/>
      <c r="FQ473" s="1185"/>
      <c r="FR473" s="1185"/>
      <c r="FS473" s="1185"/>
      <c r="FT473" s="1185"/>
      <c r="FU473" s="1185"/>
      <c r="FV473" s="1185"/>
      <c r="FW473" s="1185"/>
      <c r="FX473" s="1185"/>
      <c r="FY473" s="1185"/>
      <c r="FZ473" s="1185"/>
      <c r="GA473" s="1185"/>
      <c r="GB473" s="1185"/>
      <c r="GC473" s="1185"/>
      <c r="GD473" s="1185"/>
      <c r="GE473" s="1185"/>
      <c r="GF473" s="1185"/>
      <c r="GG473" s="1185"/>
      <c r="GH473" s="1185"/>
      <c r="GI473" s="1185"/>
      <c r="GJ473" s="1185"/>
      <c r="GK473" s="1185"/>
      <c r="GL473" s="1185"/>
      <c r="GM473" s="1185"/>
      <c r="GN473" s="1185"/>
      <c r="GO473" s="1185"/>
      <c r="GP473" s="1185"/>
      <c r="GQ473" s="1185"/>
      <c r="GR473" s="1185"/>
      <c r="GS473" s="1185"/>
      <c r="GT473" s="1185"/>
      <c r="GU473" s="1185"/>
      <c r="GV473" s="1185"/>
      <c r="GW473" s="1185"/>
      <c r="GX473" s="1185"/>
      <c r="GY473" s="1185"/>
      <c r="GZ473" s="1185"/>
      <c r="HA473" s="1185"/>
      <c r="HB473" s="1185"/>
      <c r="HC473" s="1185"/>
      <c r="HD473" s="1185"/>
      <c r="HE473" s="1185"/>
      <c r="HF473" s="1185"/>
      <c r="HG473" s="1185"/>
      <c r="HH473" s="1185"/>
      <c r="HI473" s="1185"/>
      <c r="HJ473" s="1185"/>
      <c r="HK473" s="1185"/>
      <c r="HL473" s="1185"/>
      <c r="HM473" s="1185"/>
      <c r="HN473" s="1185"/>
      <c r="HO473" s="1185"/>
      <c r="HP473" s="1185"/>
      <c r="HQ473" s="1185"/>
      <c r="HR473" s="1185"/>
      <c r="HS473" s="1185"/>
      <c r="HT473" s="1185"/>
      <c r="HU473" s="1185"/>
      <c r="HV473" s="1185"/>
      <c r="HW473" s="1185"/>
      <c r="HX473" s="1185"/>
      <c r="HY473" s="1185"/>
      <c r="HZ473" s="1185"/>
      <c r="IA473" s="1185"/>
      <c r="IB473" s="1185"/>
      <c r="IC473" s="1185"/>
      <c r="ID473" s="1185"/>
      <c r="IE473" s="1185"/>
      <c r="IF473" s="1185"/>
      <c r="IG473" s="1185"/>
      <c r="IH473" s="1185"/>
      <c r="II473" s="1185"/>
      <c r="IJ473" s="1185"/>
      <c r="IK473" s="1185"/>
      <c r="IL473" s="1185"/>
      <c r="IM473" s="1185"/>
      <c r="IN473" s="1185"/>
    </row>
    <row r="474" spans="1:248" s="904" customFormat="1" x14ac:dyDescent="0.2">
      <c r="A474" s="924" t="s">
        <v>1676</v>
      </c>
      <c r="B474" s="758" t="s">
        <v>1820</v>
      </c>
      <c r="C474" s="751">
        <v>250000</v>
      </c>
      <c r="D474" s="751">
        <v>250000</v>
      </c>
      <c r="E474" s="744">
        <v>0</v>
      </c>
      <c r="F474" s="744"/>
      <c r="G474" s="1243">
        <f t="shared" si="150"/>
        <v>0</v>
      </c>
      <c r="H474" s="1248">
        <f t="shared" si="151"/>
        <v>0</v>
      </c>
      <c r="I474" s="1249">
        <v>0</v>
      </c>
      <c r="J474" s="1499">
        <v>0</v>
      </c>
      <c r="K474" s="695"/>
      <c r="L474" s="695"/>
      <c r="M474" s="695"/>
      <c r="N474" s="695"/>
      <c r="O474" s="695"/>
      <c r="P474" s="695"/>
      <c r="Q474" s="695"/>
      <c r="R474" s="695"/>
      <c r="S474" s="695"/>
      <c r="T474" s="695"/>
      <c r="U474" s="695"/>
      <c r="V474" s="695"/>
      <c r="W474" s="695"/>
      <c r="X474" s="695"/>
      <c r="Y474" s="695"/>
      <c r="Z474" s="695"/>
      <c r="AA474" s="695"/>
      <c r="AB474" s="695"/>
      <c r="AC474" s="695"/>
      <c r="AD474" s="695"/>
      <c r="AE474" s="695"/>
      <c r="AF474" s="695"/>
      <c r="AG474" s="695"/>
      <c r="AH474" s="695"/>
      <c r="AI474" s="695"/>
      <c r="AJ474" s="695"/>
      <c r="AK474" s="695"/>
      <c r="AL474" s="695"/>
      <c r="AM474" s="695"/>
      <c r="AN474" s="695"/>
      <c r="AO474" s="695"/>
      <c r="AP474" s="695"/>
      <c r="AQ474" s="695"/>
      <c r="AR474" s="695"/>
      <c r="AS474" s="695"/>
      <c r="AT474" s="695"/>
      <c r="AU474" s="695"/>
      <c r="AV474" s="695"/>
      <c r="AW474" s="695"/>
      <c r="AX474" s="695"/>
      <c r="AY474" s="695"/>
      <c r="AZ474" s="695"/>
      <c r="BA474" s="695"/>
      <c r="BB474" s="695"/>
      <c r="BC474" s="695"/>
      <c r="BD474" s="695"/>
      <c r="BE474" s="695"/>
      <c r="BF474" s="695"/>
      <c r="BG474" s="695"/>
      <c r="BH474" s="695"/>
      <c r="BI474" s="695"/>
      <c r="BJ474" s="695"/>
      <c r="BK474" s="695"/>
      <c r="BL474" s="695"/>
      <c r="BM474" s="695"/>
      <c r="BN474" s="695"/>
      <c r="BO474" s="695"/>
      <c r="BP474" s="695"/>
      <c r="BQ474" s="695"/>
      <c r="BR474" s="695"/>
      <c r="BS474" s="695"/>
      <c r="BT474" s="695"/>
      <c r="BU474" s="695"/>
      <c r="BV474" s="695"/>
      <c r="BW474" s="695"/>
      <c r="BX474" s="695"/>
      <c r="BY474" s="695"/>
      <c r="BZ474" s="695"/>
      <c r="CA474" s="695"/>
      <c r="CB474" s="695"/>
      <c r="CC474" s="695"/>
      <c r="CD474" s="695"/>
      <c r="CE474" s="695"/>
      <c r="CF474" s="695"/>
      <c r="CG474" s="695"/>
      <c r="CH474" s="695"/>
      <c r="CI474" s="695"/>
      <c r="CJ474" s="695"/>
      <c r="CK474" s="695"/>
      <c r="CL474" s="695"/>
      <c r="CM474" s="695"/>
      <c r="CN474" s="695"/>
      <c r="CO474" s="695"/>
      <c r="CP474" s="695"/>
      <c r="CQ474" s="695"/>
      <c r="CR474" s="695"/>
      <c r="CS474" s="695"/>
      <c r="CT474" s="695"/>
      <c r="CU474" s="695"/>
      <c r="CV474" s="695"/>
      <c r="CW474" s="695"/>
      <c r="CX474" s="695"/>
      <c r="CY474" s="695"/>
      <c r="CZ474" s="695"/>
      <c r="DA474" s="695"/>
      <c r="DB474" s="695"/>
      <c r="DC474" s="695"/>
      <c r="DD474" s="695"/>
      <c r="DE474" s="695"/>
      <c r="DF474" s="695"/>
      <c r="DG474" s="695"/>
      <c r="DH474" s="695"/>
      <c r="DI474" s="695"/>
      <c r="DJ474" s="695"/>
      <c r="DK474" s="695"/>
      <c r="DL474" s="695"/>
      <c r="DM474" s="695"/>
      <c r="DN474" s="695"/>
      <c r="DO474" s="695"/>
      <c r="DP474" s="695"/>
      <c r="DQ474" s="695"/>
      <c r="DR474" s="695"/>
      <c r="DS474" s="695"/>
      <c r="DT474" s="695"/>
      <c r="DU474" s="695"/>
      <c r="DV474" s="695"/>
      <c r="DW474" s="695"/>
      <c r="DX474" s="695"/>
      <c r="DY474" s="695"/>
      <c r="DZ474" s="695"/>
      <c r="EA474" s="695"/>
      <c r="EB474" s="695"/>
      <c r="EC474" s="695"/>
      <c r="ED474" s="695"/>
      <c r="EE474" s="695"/>
      <c r="EF474" s="695"/>
      <c r="EG474" s="695"/>
      <c r="EH474" s="695"/>
      <c r="EI474" s="695"/>
      <c r="EJ474" s="695"/>
      <c r="EK474" s="695"/>
      <c r="EL474" s="695"/>
      <c r="EM474" s="695"/>
      <c r="EN474" s="695"/>
      <c r="EO474" s="695"/>
      <c r="EP474" s="695"/>
      <c r="EQ474" s="695"/>
      <c r="ER474" s="695"/>
      <c r="ES474" s="695"/>
      <c r="ET474" s="695"/>
      <c r="EU474" s="695"/>
      <c r="EV474" s="695"/>
      <c r="EW474" s="695"/>
      <c r="EX474" s="695"/>
      <c r="EY474" s="695"/>
      <c r="EZ474" s="695"/>
      <c r="FA474" s="695"/>
      <c r="FB474" s="695"/>
      <c r="FC474" s="695"/>
      <c r="FD474" s="695"/>
      <c r="FE474" s="695"/>
      <c r="FF474" s="695"/>
      <c r="FG474" s="695"/>
      <c r="FH474" s="695"/>
      <c r="FI474" s="695"/>
      <c r="FJ474" s="695"/>
      <c r="FK474" s="695"/>
      <c r="FL474" s="695"/>
      <c r="FM474" s="695"/>
      <c r="FN474" s="695"/>
      <c r="FO474" s="695"/>
      <c r="FP474" s="695"/>
      <c r="FQ474" s="695"/>
      <c r="FR474" s="695"/>
      <c r="FS474" s="695"/>
      <c r="FT474" s="695"/>
      <c r="FU474" s="695"/>
      <c r="FV474" s="695"/>
      <c r="FW474" s="695"/>
      <c r="FX474" s="695"/>
      <c r="FY474" s="695"/>
      <c r="FZ474" s="695"/>
      <c r="GA474" s="695"/>
      <c r="GB474" s="695"/>
      <c r="GC474" s="695"/>
      <c r="GD474" s="695"/>
      <c r="GE474" s="695"/>
      <c r="GF474" s="695"/>
      <c r="GG474" s="695"/>
      <c r="GH474" s="695"/>
      <c r="GI474" s="695"/>
      <c r="GJ474" s="695"/>
      <c r="GK474" s="695"/>
      <c r="GL474" s="695"/>
      <c r="GM474" s="695"/>
      <c r="GN474" s="695"/>
      <c r="GO474" s="695"/>
      <c r="GP474" s="695"/>
      <c r="GQ474" s="695"/>
      <c r="GR474" s="695"/>
      <c r="GS474" s="695"/>
      <c r="GT474" s="695"/>
      <c r="GU474" s="695"/>
      <c r="GV474" s="695"/>
      <c r="GW474" s="695"/>
      <c r="GX474" s="695"/>
      <c r="GY474" s="695"/>
      <c r="GZ474" s="695"/>
      <c r="HA474" s="695"/>
      <c r="HB474" s="695"/>
      <c r="HC474" s="695"/>
      <c r="HD474" s="695"/>
      <c r="HE474" s="695"/>
      <c r="HF474" s="695"/>
      <c r="HG474" s="695"/>
      <c r="HH474" s="695"/>
      <c r="HI474" s="695"/>
      <c r="HJ474" s="695"/>
      <c r="HK474" s="695"/>
      <c r="HL474" s="695"/>
      <c r="HM474" s="695"/>
      <c r="HN474" s="695"/>
      <c r="HO474" s="695"/>
      <c r="HP474" s="695"/>
      <c r="HQ474" s="695"/>
      <c r="HR474" s="695"/>
      <c r="HS474" s="695"/>
      <c r="HT474" s="695"/>
      <c r="HU474" s="695"/>
      <c r="HV474" s="695"/>
      <c r="HW474" s="695"/>
      <c r="HX474" s="695"/>
      <c r="HY474" s="695"/>
      <c r="HZ474" s="695"/>
      <c r="IA474" s="695"/>
      <c r="IB474" s="695"/>
      <c r="IC474" s="695"/>
      <c r="ID474" s="695"/>
      <c r="IE474" s="695"/>
      <c r="IF474" s="695"/>
      <c r="IG474" s="695"/>
      <c r="IH474" s="695"/>
      <c r="II474" s="695"/>
      <c r="IJ474" s="695"/>
      <c r="IK474" s="695"/>
      <c r="IL474" s="695"/>
      <c r="IM474" s="695"/>
      <c r="IN474" s="695"/>
    </row>
    <row r="475" spans="1:248" s="12" customFormat="1" ht="13.5" customHeight="1" x14ac:dyDescent="0.2">
      <c r="A475" s="925">
        <v>3612</v>
      </c>
      <c r="B475" s="916" t="s">
        <v>1190</v>
      </c>
      <c r="C475" s="922">
        <f t="shared" ref="C475:D475" si="152">SUM(C476:C476)</f>
        <v>400000</v>
      </c>
      <c r="D475" s="922">
        <f t="shared" si="152"/>
        <v>400000</v>
      </c>
      <c r="E475" s="920">
        <v>12000</v>
      </c>
      <c r="F475" s="1301">
        <f>SUM(E476:E477)</f>
        <v>12000</v>
      </c>
      <c r="G475" s="825">
        <f t="shared" si="150"/>
        <v>3</v>
      </c>
      <c r="H475" s="1244">
        <f t="shared" si="151"/>
        <v>3</v>
      </c>
      <c r="I475" s="1255">
        <v>0</v>
      </c>
      <c r="J475" s="1499">
        <v>0</v>
      </c>
      <c r="K475" s="695"/>
      <c r="L475" s="695"/>
      <c r="M475" s="695"/>
      <c r="N475" s="695"/>
      <c r="O475" s="695"/>
      <c r="P475" s="695"/>
      <c r="Q475" s="695"/>
      <c r="R475" s="695"/>
      <c r="S475" s="695"/>
      <c r="T475" s="695"/>
      <c r="U475" s="695"/>
      <c r="V475" s="695"/>
      <c r="W475" s="695"/>
      <c r="X475" s="695"/>
      <c r="Y475" s="695"/>
      <c r="Z475" s="695"/>
      <c r="AA475" s="695"/>
      <c r="AB475" s="695"/>
      <c r="AC475" s="695"/>
      <c r="AD475" s="695"/>
      <c r="AE475" s="695"/>
      <c r="AF475" s="695"/>
      <c r="AG475" s="695"/>
      <c r="AH475" s="695"/>
      <c r="AI475" s="695"/>
      <c r="AJ475" s="695"/>
      <c r="AK475" s="695"/>
      <c r="AL475" s="695"/>
      <c r="AM475" s="695"/>
      <c r="AN475" s="695"/>
      <c r="AO475" s="695"/>
      <c r="AP475" s="695"/>
      <c r="AQ475" s="695"/>
      <c r="AR475" s="695"/>
      <c r="AS475" s="695"/>
      <c r="AT475" s="695"/>
      <c r="AU475" s="695"/>
      <c r="AV475" s="695"/>
      <c r="AW475" s="695"/>
      <c r="AX475" s="695"/>
      <c r="AY475" s="695"/>
      <c r="AZ475" s="695"/>
      <c r="BA475" s="695"/>
      <c r="BB475" s="695"/>
      <c r="BC475" s="695"/>
      <c r="BD475" s="695"/>
      <c r="BE475" s="695"/>
      <c r="BF475" s="695"/>
      <c r="BG475" s="695"/>
      <c r="BH475" s="695"/>
      <c r="BI475" s="695"/>
      <c r="BJ475" s="695"/>
      <c r="BK475" s="695"/>
      <c r="BL475" s="695"/>
      <c r="BM475" s="695"/>
      <c r="BN475" s="695"/>
      <c r="BO475" s="695"/>
      <c r="BP475" s="695"/>
      <c r="BQ475" s="695"/>
      <c r="BR475" s="695"/>
      <c r="BS475" s="695"/>
      <c r="BT475" s="695"/>
      <c r="BU475" s="695"/>
      <c r="BV475" s="695"/>
      <c r="BW475" s="695"/>
      <c r="BX475" s="695"/>
      <c r="BY475" s="695"/>
      <c r="BZ475" s="695"/>
      <c r="CA475" s="695"/>
      <c r="CB475" s="695"/>
      <c r="CC475" s="695"/>
      <c r="CD475" s="695"/>
      <c r="CE475" s="695"/>
      <c r="CF475" s="695"/>
      <c r="CG475" s="695"/>
      <c r="CH475" s="695"/>
      <c r="CI475" s="695"/>
      <c r="CJ475" s="695"/>
      <c r="CK475" s="695"/>
      <c r="CL475" s="695"/>
      <c r="CM475" s="695"/>
      <c r="CN475" s="695"/>
      <c r="CO475" s="695"/>
      <c r="CP475" s="695"/>
      <c r="CQ475" s="695"/>
      <c r="CR475" s="695"/>
      <c r="CS475" s="695"/>
      <c r="CT475" s="695"/>
      <c r="CU475" s="695"/>
      <c r="CV475" s="695"/>
      <c r="CW475" s="695"/>
      <c r="CX475" s="695"/>
      <c r="CY475" s="695"/>
      <c r="CZ475" s="695"/>
      <c r="DA475" s="695"/>
      <c r="DB475" s="695"/>
      <c r="DC475" s="695"/>
      <c r="DD475" s="695"/>
      <c r="DE475" s="695"/>
      <c r="DF475" s="695"/>
      <c r="DG475" s="695"/>
      <c r="DH475" s="695"/>
      <c r="DI475" s="695"/>
      <c r="DJ475" s="695"/>
      <c r="DK475" s="695"/>
      <c r="DL475" s="695"/>
      <c r="DM475" s="695"/>
      <c r="DN475" s="695"/>
      <c r="DO475" s="695"/>
      <c r="DP475" s="695"/>
      <c r="DQ475" s="695"/>
      <c r="DR475" s="695"/>
      <c r="DS475" s="695"/>
      <c r="DT475" s="695"/>
      <c r="DU475" s="695"/>
      <c r="DV475" s="695"/>
      <c r="DW475" s="695"/>
      <c r="DX475" s="695"/>
      <c r="DY475" s="695"/>
      <c r="DZ475" s="695"/>
      <c r="EA475" s="695"/>
      <c r="EB475" s="695"/>
      <c r="EC475" s="695"/>
      <c r="ED475" s="695"/>
      <c r="EE475" s="695"/>
      <c r="EF475" s="695"/>
      <c r="EG475" s="695"/>
      <c r="EH475" s="695"/>
      <c r="EI475" s="695"/>
      <c r="EJ475" s="695"/>
      <c r="EK475" s="695"/>
      <c r="EL475" s="695"/>
      <c r="EM475" s="695"/>
      <c r="EN475" s="695"/>
      <c r="EO475" s="695"/>
      <c r="EP475" s="695"/>
      <c r="EQ475" s="695"/>
      <c r="ER475" s="695"/>
      <c r="ES475" s="695"/>
      <c r="ET475" s="695"/>
      <c r="EU475" s="695"/>
      <c r="EV475" s="695"/>
      <c r="EW475" s="695"/>
      <c r="EX475" s="695"/>
      <c r="EY475" s="695"/>
      <c r="EZ475" s="695"/>
      <c r="FA475" s="695"/>
      <c r="FB475" s="695"/>
      <c r="FC475" s="695"/>
      <c r="FD475" s="695"/>
      <c r="FE475" s="695"/>
      <c r="FF475" s="695"/>
      <c r="FG475" s="695"/>
      <c r="FH475" s="695"/>
      <c r="FI475" s="695"/>
      <c r="FJ475" s="695"/>
      <c r="FK475" s="695"/>
      <c r="FL475" s="695"/>
      <c r="FM475" s="695"/>
      <c r="FN475" s="695"/>
      <c r="FO475" s="695"/>
      <c r="FP475" s="695"/>
      <c r="FQ475" s="695"/>
      <c r="FR475" s="695"/>
      <c r="FS475" s="695"/>
      <c r="FT475" s="695"/>
      <c r="FU475" s="695"/>
      <c r="FV475" s="695"/>
      <c r="FW475" s="695"/>
      <c r="FX475" s="695"/>
      <c r="FY475" s="695"/>
      <c r="FZ475" s="695"/>
      <c r="GA475" s="695"/>
      <c r="GB475" s="695"/>
      <c r="GC475" s="695"/>
      <c r="GD475" s="695"/>
      <c r="GE475" s="695"/>
      <c r="GF475" s="695"/>
      <c r="GG475" s="695"/>
      <c r="GH475" s="695"/>
      <c r="GI475" s="695"/>
      <c r="GJ475" s="695"/>
      <c r="GK475" s="695"/>
      <c r="GL475" s="695"/>
      <c r="GM475" s="695"/>
      <c r="GN475" s="695"/>
      <c r="GO475" s="695"/>
      <c r="GP475" s="695"/>
      <c r="GQ475" s="695"/>
      <c r="GR475" s="695"/>
      <c r="GS475" s="695"/>
      <c r="GT475" s="695"/>
      <c r="GU475" s="695"/>
      <c r="GV475" s="695"/>
      <c r="GW475" s="695"/>
      <c r="GX475" s="695"/>
      <c r="GY475" s="695"/>
      <c r="GZ475" s="695"/>
      <c r="HA475" s="695"/>
      <c r="HB475" s="695"/>
      <c r="HC475" s="695"/>
      <c r="HD475" s="695"/>
      <c r="HE475" s="695"/>
      <c r="HF475" s="695"/>
      <c r="HG475" s="695"/>
      <c r="HH475" s="695"/>
      <c r="HI475" s="695"/>
      <c r="HJ475" s="695"/>
      <c r="HK475" s="695"/>
      <c r="HL475" s="695"/>
      <c r="HM475" s="695"/>
      <c r="HN475" s="695"/>
      <c r="HO475" s="695"/>
      <c r="HP475" s="695"/>
      <c r="HQ475" s="695"/>
      <c r="HR475" s="695"/>
      <c r="HS475" s="695"/>
      <c r="HT475" s="695"/>
      <c r="HU475" s="695"/>
      <c r="HV475" s="695"/>
      <c r="HW475" s="695"/>
      <c r="HX475" s="695"/>
      <c r="HY475" s="695"/>
      <c r="HZ475" s="695"/>
      <c r="IA475" s="695"/>
      <c r="IB475" s="695"/>
      <c r="IC475" s="695"/>
      <c r="ID475" s="695"/>
      <c r="IE475" s="695"/>
      <c r="IF475" s="695"/>
      <c r="IG475" s="695"/>
      <c r="IH475" s="695"/>
      <c r="II475" s="695"/>
      <c r="IJ475" s="695"/>
      <c r="IK475" s="695"/>
      <c r="IL475" s="695"/>
      <c r="IM475" s="695"/>
      <c r="IN475" s="695"/>
    </row>
    <row r="476" spans="1:248" s="695" customFormat="1" x14ac:dyDescent="0.2">
      <c r="A476" s="926"/>
      <c r="B476" s="758" t="s">
        <v>1703</v>
      </c>
      <c r="C476" s="709">
        <v>400000</v>
      </c>
      <c r="D476" s="709">
        <v>400000</v>
      </c>
      <c r="E476" s="744">
        <v>12000</v>
      </c>
      <c r="F476" s="744"/>
      <c r="G476" s="1243">
        <f t="shared" si="150"/>
        <v>3</v>
      </c>
      <c r="H476" s="1248">
        <f t="shared" si="151"/>
        <v>3</v>
      </c>
      <c r="I476" s="1249">
        <v>0</v>
      </c>
      <c r="J476" s="1499">
        <v>0</v>
      </c>
    </row>
    <row r="477" spans="1:248" s="12" customFormat="1" x14ac:dyDescent="0.2">
      <c r="A477" s="927">
        <v>3613</v>
      </c>
      <c r="B477" s="917" t="s">
        <v>1364</v>
      </c>
      <c r="C477" s="921">
        <f t="shared" ref="C477:D477" si="153">SUM(C478:C479)</f>
        <v>700000</v>
      </c>
      <c r="D477" s="921">
        <f t="shared" si="153"/>
        <v>630000</v>
      </c>
      <c r="E477" s="845">
        <v>0</v>
      </c>
      <c r="F477" s="744"/>
      <c r="G477" s="1243">
        <f t="shared" si="150"/>
        <v>0</v>
      </c>
      <c r="H477" s="1248">
        <f t="shared" si="151"/>
        <v>0</v>
      </c>
      <c r="I477" s="1249">
        <v>0</v>
      </c>
      <c r="J477" s="1499">
        <v>0</v>
      </c>
      <c r="K477" s="695"/>
      <c r="L477" s="695"/>
      <c r="M477" s="695"/>
      <c r="N477" s="695"/>
      <c r="O477" s="695"/>
      <c r="P477" s="695"/>
      <c r="Q477" s="695"/>
      <c r="R477" s="695"/>
      <c r="S477" s="695"/>
      <c r="T477" s="695"/>
      <c r="U477" s="695"/>
      <c r="V477" s="695"/>
      <c r="W477" s="695"/>
      <c r="X477" s="695"/>
      <c r="Y477" s="695"/>
      <c r="Z477" s="695"/>
      <c r="AA477" s="695"/>
      <c r="AB477" s="695"/>
      <c r="AC477" s="695"/>
      <c r="AD477" s="695"/>
      <c r="AE477" s="695"/>
      <c r="AF477" s="695"/>
      <c r="AG477" s="695"/>
      <c r="AH477" s="695"/>
      <c r="AI477" s="695"/>
      <c r="AJ477" s="695"/>
      <c r="AK477" s="695"/>
      <c r="AL477" s="695"/>
      <c r="AM477" s="695"/>
      <c r="AN477" s="695"/>
      <c r="AO477" s="695"/>
      <c r="AP477" s="695"/>
      <c r="AQ477" s="695"/>
      <c r="AR477" s="695"/>
      <c r="AS477" s="695"/>
      <c r="AT477" s="695"/>
      <c r="AU477" s="695"/>
      <c r="AV477" s="695"/>
      <c r="AW477" s="695"/>
      <c r="AX477" s="695"/>
      <c r="AY477" s="695"/>
      <c r="AZ477" s="695"/>
      <c r="BA477" s="695"/>
      <c r="BB477" s="695"/>
      <c r="BC477" s="695"/>
      <c r="BD477" s="695"/>
      <c r="BE477" s="695"/>
      <c r="BF477" s="695"/>
      <c r="BG477" s="695"/>
      <c r="BH477" s="695"/>
      <c r="BI477" s="695"/>
      <c r="BJ477" s="695"/>
      <c r="BK477" s="695"/>
      <c r="BL477" s="695"/>
      <c r="BM477" s="695"/>
      <c r="BN477" s="695"/>
      <c r="BO477" s="695"/>
      <c r="BP477" s="695"/>
      <c r="BQ477" s="695"/>
      <c r="BR477" s="695"/>
      <c r="BS477" s="695"/>
      <c r="BT477" s="695"/>
      <c r="BU477" s="695"/>
      <c r="BV477" s="695"/>
      <c r="BW477" s="695"/>
      <c r="BX477" s="695"/>
      <c r="BY477" s="695"/>
      <c r="BZ477" s="695"/>
      <c r="CA477" s="695"/>
      <c r="CB477" s="695"/>
      <c r="CC477" s="695"/>
      <c r="CD477" s="695"/>
      <c r="CE477" s="695"/>
      <c r="CF477" s="695"/>
      <c r="CG477" s="695"/>
      <c r="CH477" s="695"/>
      <c r="CI477" s="695"/>
      <c r="CJ477" s="695"/>
      <c r="CK477" s="695"/>
      <c r="CL477" s="695"/>
      <c r="CM477" s="695"/>
      <c r="CN477" s="695"/>
      <c r="CO477" s="695"/>
      <c r="CP477" s="695"/>
      <c r="CQ477" s="695"/>
      <c r="CR477" s="695"/>
      <c r="CS477" s="695"/>
      <c r="CT477" s="695"/>
      <c r="CU477" s="695"/>
      <c r="CV477" s="695"/>
      <c r="CW477" s="695"/>
      <c r="CX477" s="695"/>
      <c r="CY477" s="695"/>
      <c r="CZ477" s="695"/>
      <c r="DA477" s="695"/>
      <c r="DB477" s="695"/>
      <c r="DC477" s="695"/>
      <c r="DD477" s="695"/>
      <c r="DE477" s="695"/>
      <c r="DF477" s="695"/>
      <c r="DG477" s="695"/>
      <c r="DH477" s="695"/>
      <c r="DI477" s="695"/>
      <c r="DJ477" s="695"/>
      <c r="DK477" s="695"/>
      <c r="DL477" s="695"/>
      <c r="DM477" s="695"/>
      <c r="DN477" s="695"/>
      <c r="DO477" s="695"/>
      <c r="DP477" s="695"/>
      <c r="DQ477" s="695"/>
      <c r="DR477" s="695"/>
      <c r="DS477" s="695"/>
      <c r="DT477" s="695"/>
      <c r="DU477" s="695"/>
      <c r="DV477" s="695"/>
      <c r="DW477" s="695"/>
      <c r="DX477" s="695"/>
      <c r="DY477" s="695"/>
      <c r="DZ477" s="695"/>
      <c r="EA477" s="695"/>
      <c r="EB477" s="695"/>
      <c r="EC477" s="695"/>
      <c r="ED477" s="695"/>
      <c r="EE477" s="695"/>
      <c r="EF477" s="695"/>
      <c r="EG477" s="695"/>
      <c r="EH477" s="695"/>
      <c r="EI477" s="695"/>
      <c r="EJ477" s="695"/>
      <c r="EK477" s="695"/>
      <c r="EL477" s="695"/>
      <c r="EM477" s="695"/>
      <c r="EN477" s="695"/>
      <c r="EO477" s="695"/>
      <c r="EP477" s="695"/>
      <c r="EQ477" s="695"/>
      <c r="ER477" s="695"/>
      <c r="ES477" s="695"/>
      <c r="ET477" s="695"/>
      <c r="EU477" s="695"/>
      <c r="EV477" s="695"/>
      <c r="EW477" s="695"/>
      <c r="EX477" s="695"/>
      <c r="EY477" s="695"/>
      <c r="EZ477" s="695"/>
      <c r="FA477" s="695"/>
      <c r="FB477" s="695"/>
      <c r="FC477" s="695"/>
      <c r="FD477" s="695"/>
      <c r="FE477" s="695"/>
      <c r="FF477" s="695"/>
      <c r="FG477" s="695"/>
      <c r="FH477" s="695"/>
      <c r="FI477" s="695"/>
      <c r="FJ477" s="695"/>
      <c r="FK477" s="695"/>
      <c r="FL477" s="695"/>
      <c r="FM477" s="695"/>
      <c r="FN477" s="695"/>
      <c r="FO477" s="695"/>
      <c r="FP477" s="695"/>
      <c r="FQ477" s="695"/>
      <c r="FR477" s="695"/>
      <c r="FS477" s="695"/>
      <c r="FT477" s="695"/>
      <c r="FU477" s="695"/>
      <c r="FV477" s="695"/>
      <c r="FW477" s="695"/>
      <c r="FX477" s="695"/>
      <c r="FY477" s="695"/>
      <c r="FZ477" s="695"/>
      <c r="GA477" s="695"/>
      <c r="GB477" s="695"/>
      <c r="GC477" s="695"/>
      <c r="GD477" s="695"/>
      <c r="GE477" s="695"/>
      <c r="GF477" s="695"/>
      <c r="GG477" s="695"/>
      <c r="GH477" s="695"/>
      <c r="GI477" s="695"/>
      <c r="GJ477" s="695"/>
      <c r="GK477" s="695"/>
      <c r="GL477" s="695"/>
      <c r="GM477" s="695"/>
      <c r="GN477" s="695"/>
      <c r="GO477" s="695"/>
      <c r="GP477" s="695"/>
      <c r="GQ477" s="695"/>
      <c r="GR477" s="695"/>
      <c r="GS477" s="695"/>
      <c r="GT477" s="695"/>
      <c r="GU477" s="695"/>
      <c r="GV477" s="695"/>
      <c r="GW477" s="695"/>
      <c r="GX477" s="695"/>
      <c r="GY477" s="695"/>
      <c r="GZ477" s="695"/>
      <c r="HA477" s="695"/>
      <c r="HB477" s="695"/>
      <c r="HC477" s="695"/>
      <c r="HD477" s="695"/>
      <c r="HE477" s="695"/>
      <c r="HF477" s="695"/>
      <c r="HG477" s="695"/>
      <c r="HH477" s="695"/>
      <c r="HI477" s="695"/>
      <c r="HJ477" s="695"/>
      <c r="HK477" s="695"/>
      <c r="HL477" s="695"/>
      <c r="HM477" s="695"/>
      <c r="HN477" s="695"/>
      <c r="HO477" s="695"/>
      <c r="HP477" s="695"/>
      <c r="HQ477" s="695"/>
      <c r="HR477" s="695"/>
      <c r="HS477" s="695"/>
      <c r="HT477" s="695"/>
      <c r="HU477" s="695"/>
      <c r="HV477" s="695"/>
      <c r="HW477" s="695"/>
      <c r="HX477" s="695"/>
      <c r="HY477" s="695"/>
      <c r="HZ477" s="695"/>
      <c r="IA477" s="695"/>
      <c r="IB477" s="695"/>
      <c r="IC477" s="695"/>
      <c r="ID477" s="695"/>
      <c r="IE477" s="695"/>
      <c r="IF477" s="695"/>
      <c r="IG477" s="695"/>
      <c r="IH477" s="695"/>
      <c r="II477" s="695"/>
      <c r="IJ477" s="695"/>
      <c r="IK477" s="695"/>
      <c r="IL477" s="695"/>
      <c r="IM477" s="695"/>
      <c r="IN477" s="695"/>
    </row>
    <row r="478" spans="1:248" s="695" customFormat="1" x14ac:dyDescent="0.2">
      <c r="A478" s="928" t="s">
        <v>1678</v>
      </c>
      <c r="B478" s="753" t="s">
        <v>1821</v>
      </c>
      <c r="C478" s="744">
        <v>400000</v>
      </c>
      <c r="D478" s="744">
        <f>400000-70000</f>
        <v>330000</v>
      </c>
      <c r="E478" s="744">
        <v>0</v>
      </c>
      <c r="F478" s="744"/>
      <c r="G478" s="1243">
        <f t="shared" si="150"/>
        <v>0</v>
      </c>
      <c r="H478" s="1248">
        <f t="shared" si="151"/>
        <v>0</v>
      </c>
      <c r="I478" s="1249">
        <v>0</v>
      </c>
      <c r="J478" s="1499">
        <v>0</v>
      </c>
    </row>
    <row r="479" spans="1:248" s="904" customFormat="1" x14ac:dyDescent="0.2">
      <c r="A479" s="928" t="s">
        <v>1679</v>
      </c>
      <c r="B479" s="753" t="s">
        <v>1822</v>
      </c>
      <c r="C479" s="744">
        <v>300000</v>
      </c>
      <c r="D479" s="744">
        <v>300000</v>
      </c>
      <c r="E479" s="744">
        <v>0</v>
      </c>
      <c r="F479" s="744"/>
      <c r="G479" s="1243">
        <f t="shared" si="150"/>
        <v>0</v>
      </c>
      <c r="H479" s="1248">
        <f t="shared" si="151"/>
        <v>0</v>
      </c>
      <c r="I479" s="1249">
        <v>0</v>
      </c>
      <c r="J479" s="1499">
        <v>0</v>
      </c>
      <c r="K479" s="695"/>
      <c r="L479" s="695"/>
      <c r="M479" s="695"/>
      <c r="N479" s="695"/>
      <c r="O479" s="695"/>
      <c r="P479" s="695"/>
      <c r="Q479" s="695"/>
      <c r="R479" s="695"/>
      <c r="S479" s="695"/>
      <c r="T479" s="695"/>
      <c r="U479" s="695"/>
      <c r="V479" s="695"/>
      <c r="W479" s="695"/>
      <c r="X479" s="695"/>
      <c r="Y479" s="695"/>
      <c r="Z479" s="695"/>
      <c r="AA479" s="695"/>
      <c r="AB479" s="695"/>
      <c r="AC479" s="695"/>
      <c r="AD479" s="695"/>
      <c r="AE479" s="695"/>
      <c r="AF479" s="695"/>
      <c r="AG479" s="695"/>
      <c r="AH479" s="695"/>
      <c r="AI479" s="695"/>
      <c r="AJ479" s="695"/>
      <c r="AK479" s="695"/>
      <c r="AL479" s="695"/>
      <c r="AM479" s="695"/>
      <c r="AN479" s="695"/>
      <c r="AO479" s="695"/>
      <c r="AP479" s="695"/>
      <c r="AQ479" s="695"/>
      <c r="AR479" s="695"/>
      <c r="AS479" s="695"/>
      <c r="AT479" s="695"/>
      <c r="AU479" s="695"/>
      <c r="AV479" s="695"/>
      <c r="AW479" s="695"/>
      <c r="AX479" s="695"/>
      <c r="AY479" s="695"/>
      <c r="AZ479" s="695"/>
      <c r="BA479" s="695"/>
      <c r="BB479" s="695"/>
      <c r="BC479" s="695"/>
      <c r="BD479" s="695"/>
      <c r="BE479" s="695"/>
      <c r="BF479" s="695"/>
      <c r="BG479" s="695"/>
      <c r="BH479" s="695"/>
      <c r="BI479" s="695"/>
      <c r="BJ479" s="695"/>
      <c r="BK479" s="695"/>
      <c r="BL479" s="695"/>
      <c r="BM479" s="695"/>
      <c r="BN479" s="695"/>
      <c r="BO479" s="695"/>
      <c r="BP479" s="695"/>
      <c r="BQ479" s="695"/>
      <c r="BR479" s="695"/>
      <c r="BS479" s="695"/>
      <c r="BT479" s="695"/>
      <c r="BU479" s="695"/>
      <c r="BV479" s="695"/>
      <c r="BW479" s="695"/>
      <c r="BX479" s="695"/>
      <c r="BY479" s="695"/>
      <c r="BZ479" s="695"/>
      <c r="CA479" s="695"/>
      <c r="CB479" s="695"/>
      <c r="CC479" s="695"/>
      <c r="CD479" s="695"/>
      <c r="CE479" s="695"/>
      <c r="CF479" s="695"/>
      <c r="CG479" s="695"/>
      <c r="CH479" s="695"/>
      <c r="CI479" s="695"/>
      <c r="CJ479" s="695"/>
      <c r="CK479" s="695"/>
      <c r="CL479" s="695"/>
      <c r="CM479" s="695"/>
      <c r="CN479" s="695"/>
      <c r="CO479" s="695"/>
      <c r="CP479" s="695"/>
      <c r="CQ479" s="695"/>
      <c r="CR479" s="695"/>
      <c r="CS479" s="695"/>
      <c r="CT479" s="695"/>
      <c r="CU479" s="695"/>
      <c r="CV479" s="695"/>
      <c r="CW479" s="695"/>
      <c r="CX479" s="695"/>
      <c r="CY479" s="695"/>
      <c r="CZ479" s="695"/>
      <c r="DA479" s="695"/>
      <c r="DB479" s="695"/>
      <c r="DC479" s="695"/>
      <c r="DD479" s="695"/>
      <c r="DE479" s="695"/>
      <c r="DF479" s="695"/>
      <c r="DG479" s="695"/>
      <c r="DH479" s="695"/>
      <c r="DI479" s="695"/>
      <c r="DJ479" s="695"/>
      <c r="DK479" s="695"/>
      <c r="DL479" s="695"/>
      <c r="DM479" s="695"/>
      <c r="DN479" s="695"/>
      <c r="DO479" s="695"/>
      <c r="DP479" s="695"/>
      <c r="DQ479" s="695"/>
      <c r="DR479" s="695"/>
      <c r="DS479" s="695"/>
      <c r="DT479" s="695"/>
      <c r="DU479" s="695"/>
      <c r="DV479" s="695"/>
      <c r="DW479" s="695"/>
      <c r="DX479" s="695"/>
      <c r="DY479" s="695"/>
      <c r="DZ479" s="695"/>
      <c r="EA479" s="695"/>
      <c r="EB479" s="695"/>
      <c r="EC479" s="695"/>
      <c r="ED479" s="695"/>
      <c r="EE479" s="695"/>
      <c r="EF479" s="695"/>
      <c r="EG479" s="695"/>
      <c r="EH479" s="695"/>
      <c r="EI479" s="695"/>
      <c r="EJ479" s="695"/>
      <c r="EK479" s="695"/>
      <c r="EL479" s="695"/>
      <c r="EM479" s="695"/>
      <c r="EN479" s="695"/>
      <c r="EO479" s="695"/>
      <c r="EP479" s="695"/>
      <c r="EQ479" s="695"/>
      <c r="ER479" s="695"/>
      <c r="ES479" s="695"/>
      <c r="ET479" s="695"/>
      <c r="EU479" s="695"/>
      <c r="EV479" s="695"/>
      <c r="EW479" s="695"/>
      <c r="EX479" s="695"/>
      <c r="EY479" s="695"/>
      <c r="EZ479" s="695"/>
      <c r="FA479" s="695"/>
      <c r="FB479" s="695"/>
      <c r="FC479" s="695"/>
      <c r="FD479" s="695"/>
      <c r="FE479" s="695"/>
      <c r="FF479" s="695"/>
      <c r="FG479" s="695"/>
      <c r="FH479" s="695"/>
      <c r="FI479" s="695"/>
      <c r="FJ479" s="695"/>
      <c r="FK479" s="695"/>
      <c r="FL479" s="695"/>
      <c r="FM479" s="695"/>
      <c r="FN479" s="695"/>
      <c r="FO479" s="695"/>
      <c r="FP479" s="695"/>
      <c r="FQ479" s="695"/>
      <c r="FR479" s="695"/>
      <c r="FS479" s="695"/>
      <c r="FT479" s="695"/>
      <c r="FU479" s="695"/>
      <c r="FV479" s="695"/>
      <c r="FW479" s="695"/>
      <c r="FX479" s="695"/>
      <c r="FY479" s="695"/>
      <c r="FZ479" s="695"/>
      <c r="GA479" s="695"/>
      <c r="GB479" s="695"/>
      <c r="GC479" s="695"/>
      <c r="GD479" s="695"/>
      <c r="GE479" s="695"/>
      <c r="GF479" s="695"/>
      <c r="GG479" s="695"/>
      <c r="GH479" s="695"/>
      <c r="GI479" s="695"/>
      <c r="GJ479" s="695"/>
      <c r="GK479" s="695"/>
      <c r="GL479" s="695"/>
      <c r="GM479" s="695"/>
      <c r="GN479" s="695"/>
      <c r="GO479" s="695"/>
      <c r="GP479" s="695"/>
      <c r="GQ479" s="695"/>
      <c r="GR479" s="695"/>
      <c r="GS479" s="695"/>
      <c r="GT479" s="695"/>
      <c r="GU479" s="695"/>
      <c r="GV479" s="695"/>
      <c r="GW479" s="695"/>
      <c r="GX479" s="695"/>
      <c r="GY479" s="695"/>
      <c r="GZ479" s="695"/>
      <c r="HA479" s="695"/>
      <c r="HB479" s="695"/>
      <c r="HC479" s="695"/>
      <c r="HD479" s="695"/>
      <c r="HE479" s="695"/>
      <c r="HF479" s="695"/>
      <c r="HG479" s="695"/>
      <c r="HH479" s="695"/>
      <c r="HI479" s="695"/>
      <c r="HJ479" s="695"/>
      <c r="HK479" s="695"/>
      <c r="HL479" s="695"/>
      <c r="HM479" s="695"/>
      <c r="HN479" s="695"/>
      <c r="HO479" s="695"/>
      <c r="HP479" s="695"/>
      <c r="HQ479" s="695"/>
      <c r="HR479" s="695"/>
      <c r="HS479" s="695"/>
      <c r="HT479" s="695"/>
      <c r="HU479" s="695"/>
      <c r="HV479" s="695"/>
      <c r="HW479" s="695"/>
      <c r="HX479" s="695"/>
      <c r="HY479" s="695"/>
      <c r="HZ479" s="695"/>
      <c r="IA479" s="695"/>
      <c r="IB479" s="695"/>
      <c r="IC479" s="695"/>
      <c r="ID479" s="695"/>
      <c r="IE479" s="695"/>
      <c r="IF479" s="695"/>
      <c r="IG479" s="695"/>
      <c r="IH479" s="695"/>
      <c r="II479" s="695"/>
      <c r="IJ479" s="695"/>
      <c r="IK479" s="695"/>
      <c r="IL479" s="695"/>
      <c r="IM479" s="695"/>
      <c r="IN479" s="695"/>
    </row>
    <row r="480" spans="1:248" s="12" customFormat="1" x14ac:dyDescent="0.2">
      <c r="A480" s="929">
        <v>3722</v>
      </c>
      <c r="B480" s="918" t="s">
        <v>2156</v>
      </c>
      <c r="C480" s="920">
        <f t="shared" ref="C480:D480" si="154">SUM(C481:C481)</f>
        <v>4600000</v>
      </c>
      <c r="D480" s="920">
        <f t="shared" si="154"/>
        <v>4600000</v>
      </c>
      <c r="E480" s="845">
        <v>300080</v>
      </c>
      <c r="F480" s="744"/>
      <c r="G480" s="825">
        <f t="shared" si="150"/>
        <v>6.5234782608695658</v>
      </c>
      <c r="H480" s="1244">
        <f t="shared" si="151"/>
        <v>6.5234782608695658</v>
      </c>
      <c r="I480" s="1255">
        <v>0</v>
      </c>
      <c r="J480" s="1499">
        <v>0</v>
      </c>
      <c r="K480" s="695"/>
      <c r="L480" s="695"/>
      <c r="M480" s="695"/>
      <c r="N480" s="695"/>
      <c r="O480" s="695"/>
      <c r="P480" s="695"/>
      <c r="Q480" s="695"/>
      <c r="R480" s="695"/>
      <c r="S480" s="695"/>
      <c r="T480" s="695"/>
      <c r="U480" s="695"/>
      <c r="V480" s="695"/>
      <c r="W480" s="695"/>
      <c r="X480" s="695"/>
      <c r="Y480" s="695"/>
      <c r="Z480" s="695"/>
      <c r="AA480" s="695"/>
      <c r="AB480" s="695"/>
      <c r="AC480" s="695"/>
      <c r="AD480" s="695"/>
      <c r="AE480" s="695"/>
      <c r="AF480" s="695"/>
      <c r="AG480" s="695"/>
      <c r="AH480" s="695"/>
      <c r="AI480" s="695"/>
      <c r="AJ480" s="695"/>
      <c r="AK480" s="695"/>
      <c r="AL480" s="695"/>
      <c r="AM480" s="695"/>
      <c r="AN480" s="695"/>
      <c r="AO480" s="695"/>
      <c r="AP480" s="695"/>
      <c r="AQ480" s="695"/>
      <c r="AR480" s="695"/>
      <c r="AS480" s="695"/>
      <c r="AT480" s="695"/>
      <c r="AU480" s="695"/>
      <c r="AV480" s="695"/>
      <c r="AW480" s="695"/>
      <c r="AX480" s="695"/>
      <c r="AY480" s="695"/>
      <c r="AZ480" s="695"/>
      <c r="BA480" s="695"/>
      <c r="BB480" s="695"/>
      <c r="BC480" s="695"/>
      <c r="BD480" s="695"/>
      <c r="BE480" s="695"/>
      <c r="BF480" s="695"/>
      <c r="BG480" s="695"/>
      <c r="BH480" s="695"/>
      <c r="BI480" s="695"/>
      <c r="BJ480" s="695"/>
      <c r="BK480" s="695"/>
      <c r="BL480" s="695"/>
      <c r="BM480" s="695"/>
      <c r="BN480" s="695"/>
      <c r="BO480" s="695"/>
      <c r="BP480" s="695"/>
      <c r="BQ480" s="695"/>
      <c r="BR480" s="695"/>
      <c r="BS480" s="695"/>
      <c r="BT480" s="695"/>
      <c r="BU480" s="695"/>
      <c r="BV480" s="695"/>
      <c r="BW480" s="695"/>
      <c r="BX480" s="695"/>
      <c r="BY480" s="695"/>
      <c r="BZ480" s="695"/>
      <c r="CA480" s="695"/>
      <c r="CB480" s="695"/>
      <c r="CC480" s="695"/>
      <c r="CD480" s="695"/>
      <c r="CE480" s="695"/>
      <c r="CF480" s="695"/>
      <c r="CG480" s="695"/>
      <c r="CH480" s="695"/>
      <c r="CI480" s="695"/>
      <c r="CJ480" s="695"/>
      <c r="CK480" s="695"/>
      <c r="CL480" s="695"/>
      <c r="CM480" s="695"/>
      <c r="CN480" s="695"/>
      <c r="CO480" s="695"/>
      <c r="CP480" s="695"/>
      <c r="CQ480" s="695"/>
      <c r="CR480" s="695"/>
      <c r="CS480" s="695"/>
      <c r="CT480" s="695"/>
      <c r="CU480" s="695"/>
      <c r="CV480" s="695"/>
      <c r="CW480" s="695"/>
      <c r="CX480" s="695"/>
      <c r="CY480" s="695"/>
      <c r="CZ480" s="695"/>
      <c r="DA480" s="695"/>
      <c r="DB480" s="695"/>
      <c r="DC480" s="695"/>
      <c r="DD480" s="695"/>
      <c r="DE480" s="695"/>
      <c r="DF480" s="695"/>
      <c r="DG480" s="695"/>
      <c r="DH480" s="695"/>
      <c r="DI480" s="695"/>
      <c r="DJ480" s="695"/>
      <c r="DK480" s="695"/>
      <c r="DL480" s="695"/>
      <c r="DM480" s="695"/>
      <c r="DN480" s="695"/>
      <c r="DO480" s="695"/>
      <c r="DP480" s="695"/>
      <c r="DQ480" s="695"/>
      <c r="DR480" s="695"/>
      <c r="DS480" s="695"/>
      <c r="DT480" s="695"/>
      <c r="DU480" s="695"/>
      <c r="DV480" s="695"/>
      <c r="DW480" s="695"/>
      <c r="DX480" s="695"/>
      <c r="DY480" s="695"/>
      <c r="DZ480" s="695"/>
      <c r="EA480" s="695"/>
      <c r="EB480" s="695"/>
      <c r="EC480" s="695"/>
      <c r="ED480" s="695"/>
      <c r="EE480" s="695"/>
      <c r="EF480" s="695"/>
      <c r="EG480" s="695"/>
      <c r="EH480" s="695"/>
      <c r="EI480" s="695"/>
      <c r="EJ480" s="695"/>
      <c r="EK480" s="695"/>
      <c r="EL480" s="695"/>
      <c r="EM480" s="695"/>
      <c r="EN480" s="695"/>
      <c r="EO480" s="695"/>
      <c r="EP480" s="695"/>
      <c r="EQ480" s="695"/>
      <c r="ER480" s="695"/>
      <c r="ES480" s="695"/>
      <c r="ET480" s="695"/>
      <c r="EU480" s="695"/>
      <c r="EV480" s="695"/>
      <c r="EW480" s="695"/>
      <c r="EX480" s="695"/>
      <c r="EY480" s="695"/>
      <c r="EZ480" s="695"/>
      <c r="FA480" s="695"/>
      <c r="FB480" s="695"/>
      <c r="FC480" s="695"/>
      <c r="FD480" s="695"/>
      <c r="FE480" s="695"/>
      <c r="FF480" s="695"/>
      <c r="FG480" s="695"/>
      <c r="FH480" s="695"/>
      <c r="FI480" s="695"/>
      <c r="FJ480" s="695"/>
      <c r="FK480" s="695"/>
      <c r="FL480" s="695"/>
      <c r="FM480" s="695"/>
      <c r="FN480" s="695"/>
      <c r="FO480" s="695"/>
      <c r="FP480" s="695"/>
      <c r="FQ480" s="695"/>
      <c r="FR480" s="695"/>
      <c r="FS480" s="695"/>
      <c r="FT480" s="695"/>
      <c r="FU480" s="695"/>
      <c r="FV480" s="695"/>
      <c r="FW480" s="695"/>
      <c r="FX480" s="695"/>
      <c r="FY480" s="695"/>
      <c r="FZ480" s="695"/>
      <c r="GA480" s="695"/>
      <c r="GB480" s="695"/>
      <c r="GC480" s="695"/>
      <c r="GD480" s="695"/>
      <c r="GE480" s="695"/>
      <c r="GF480" s="695"/>
      <c r="GG480" s="695"/>
      <c r="GH480" s="695"/>
      <c r="GI480" s="695"/>
      <c r="GJ480" s="695"/>
      <c r="GK480" s="695"/>
      <c r="GL480" s="695"/>
      <c r="GM480" s="695"/>
      <c r="GN480" s="695"/>
      <c r="GO480" s="695"/>
      <c r="GP480" s="695"/>
      <c r="GQ480" s="695"/>
      <c r="GR480" s="695"/>
      <c r="GS480" s="695"/>
      <c r="GT480" s="695"/>
      <c r="GU480" s="695"/>
      <c r="GV480" s="695"/>
      <c r="GW480" s="695"/>
      <c r="GX480" s="695"/>
      <c r="GY480" s="695"/>
      <c r="GZ480" s="695"/>
      <c r="HA480" s="695"/>
      <c r="HB480" s="695"/>
      <c r="HC480" s="695"/>
      <c r="HD480" s="695"/>
      <c r="HE480" s="695"/>
      <c r="HF480" s="695"/>
      <c r="HG480" s="695"/>
      <c r="HH480" s="695"/>
      <c r="HI480" s="695"/>
      <c r="HJ480" s="695"/>
      <c r="HK480" s="695"/>
      <c r="HL480" s="695"/>
      <c r="HM480" s="695"/>
      <c r="HN480" s="695"/>
      <c r="HO480" s="695"/>
      <c r="HP480" s="695"/>
      <c r="HQ480" s="695"/>
      <c r="HR480" s="695"/>
      <c r="HS480" s="695"/>
      <c r="HT480" s="695"/>
      <c r="HU480" s="695"/>
      <c r="HV480" s="695"/>
      <c r="HW480" s="695"/>
      <c r="HX480" s="695"/>
      <c r="HY480" s="695"/>
      <c r="HZ480" s="695"/>
      <c r="IA480" s="695"/>
      <c r="IB480" s="695"/>
      <c r="IC480" s="695"/>
      <c r="ID480" s="695"/>
      <c r="IE480" s="695"/>
      <c r="IF480" s="695"/>
      <c r="IG480" s="695"/>
      <c r="IH480" s="695"/>
      <c r="II480" s="695"/>
      <c r="IJ480" s="695"/>
      <c r="IK480" s="695"/>
      <c r="IL480" s="695"/>
      <c r="IM480" s="695"/>
      <c r="IN480" s="695"/>
    </row>
    <row r="481" spans="1:10" s="695" customFormat="1" ht="13.5" thickBot="1" x14ac:dyDescent="0.25">
      <c r="A481" s="757" t="s">
        <v>1696</v>
      </c>
      <c r="B481" s="1141" t="s">
        <v>1823</v>
      </c>
      <c r="C481" s="709">
        <v>4600000</v>
      </c>
      <c r="D481" s="709">
        <v>4600000</v>
      </c>
      <c r="E481" s="1143">
        <v>300080</v>
      </c>
      <c r="F481" s="1143"/>
      <c r="G481" s="1243">
        <f t="shared" si="150"/>
        <v>6.5234782608695658</v>
      </c>
      <c r="H481" s="1248">
        <f t="shared" si="151"/>
        <v>6.5234782608695658</v>
      </c>
      <c r="I481" s="1249">
        <v>0</v>
      </c>
      <c r="J481" s="1499">
        <v>0</v>
      </c>
    </row>
    <row r="482" spans="1:10" s="12" customFormat="1" ht="16.5" thickBot="1" x14ac:dyDescent="0.3">
      <c r="A482" s="891"/>
      <c r="B482" s="793" t="s">
        <v>1189</v>
      </c>
      <c r="C482" s="950">
        <f>SUM(C488,C483,C502,C510,C516,C518)</f>
        <v>76802000</v>
      </c>
      <c r="D482" s="950">
        <f>SUM(D488,D483,D502,D510,D516,D518)</f>
        <v>73242000</v>
      </c>
      <c r="E482" s="907">
        <v>3570579.21</v>
      </c>
      <c r="F482" s="1309" t="e">
        <f>SUM(E483,#REF!,E492,E500,#REF!,E508)</f>
        <v>#REF!</v>
      </c>
      <c r="G482" s="1237">
        <f>E482/C482*100</f>
        <v>4.6490706101403605</v>
      </c>
      <c r="H482" s="1237">
        <f>E482/D482*100</f>
        <v>4.8750432948308342</v>
      </c>
      <c r="I482" s="1253">
        <f t="shared" ref="I482:I483" si="155">E482/J482*100</f>
        <v>84.825906380813308</v>
      </c>
      <c r="J482" s="1179">
        <v>4209302.75</v>
      </c>
    </row>
    <row r="483" spans="1:10" s="12" customFormat="1" x14ac:dyDescent="0.2">
      <c r="A483" s="1436">
        <v>3412</v>
      </c>
      <c r="B483" s="1437" t="s">
        <v>2157</v>
      </c>
      <c r="C483" s="1310">
        <f>SUM(C484:C487)</f>
        <v>22500000</v>
      </c>
      <c r="D483" s="1310">
        <f>SUM(D484:D487)</f>
        <v>22500000</v>
      </c>
      <c r="E483" s="1310">
        <v>350900</v>
      </c>
      <c r="F483" s="1311">
        <f>SUM(E484:E487)</f>
        <v>350900</v>
      </c>
      <c r="G483" s="825">
        <f t="shared" ref="G483:G484" si="156">E483/C483*100</f>
        <v>1.5595555555555556</v>
      </c>
      <c r="H483" s="1244">
        <f t="shared" ref="H483:H484" si="157">E483/D483*100</f>
        <v>1.5595555555555556</v>
      </c>
      <c r="I483" s="1257">
        <f t="shared" si="155"/>
        <v>7018.0000000000009</v>
      </c>
      <c r="J483" s="1179">
        <v>5000</v>
      </c>
    </row>
    <row r="484" spans="1:10" s="12" customFormat="1" x14ac:dyDescent="0.2">
      <c r="A484" s="926" t="s">
        <v>1283</v>
      </c>
      <c r="B484" s="946" t="s">
        <v>1824</v>
      </c>
      <c r="C484" s="849">
        <v>20000000</v>
      </c>
      <c r="D484" s="849">
        <v>20000000</v>
      </c>
      <c r="E484" s="849">
        <v>350900</v>
      </c>
      <c r="F484" s="849"/>
      <c r="G484" s="1243">
        <f t="shared" si="156"/>
        <v>1.7545000000000002</v>
      </c>
      <c r="H484" s="1248">
        <f t="shared" si="157"/>
        <v>1.7545000000000002</v>
      </c>
      <c r="I484" s="1249">
        <v>0</v>
      </c>
      <c r="J484" s="1179">
        <v>0</v>
      </c>
    </row>
    <row r="485" spans="1:10" s="12" customFormat="1" x14ac:dyDescent="0.2">
      <c r="A485" s="926" t="s">
        <v>1284</v>
      </c>
      <c r="B485" s="946" t="s">
        <v>1262</v>
      </c>
      <c r="C485" s="849">
        <v>700000</v>
      </c>
      <c r="D485" s="849">
        <v>700000</v>
      </c>
      <c r="E485" s="849">
        <v>0</v>
      </c>
      <c r="F485" s="849"/>
      <c r="G485" s="1243">
        <f t="shared" ref="G485:G514" si="158">E485/C485*100</f>
        <v>0</v>
      </c>
      <c r="H485" s="1248">
        <f t="shared" ref="H485:H514" si="159">E485/D485*100</f>
        <v>0</v>
      </c>
      <c r="I485" s="1249">
        <v>0</v>
      </c>
      <c r="J485" s="1179">
        <v>0</v>
      </c>
    </row>
    <row r="486" spans="1:10" s="12" customFormat="1" x14ac:dyDescent="0.2">
      <c r="A486" s="926" t="s">
        <v>1285</v>
      </c>
      <c r="B486" s="946" t="s">
        <v>1263</v>
      </c>
      <c r="C486" s="849">
        <v>500000</v>
      </c>
      <c r="D486" s="849">
        <v>500000</v>
      </c>
      <c r="E486" s="849">
        <v>0</v>
      </c>
      <c r="F486" s="849"/>
      <c r="G486" s="1243">
        <f t="shared" si="158"/>
        <v>0</v>
      </c>
      <c r="H486" s="1248">
        <f t="shared" si="159"/>
        <v>0</v>
      </c>
      <c r="I486" s="1249">
        <v>0</v>
      </c>
      <c r="J486" s="1179">
        <v>0</v>
      </c>
    </row>
    <row r="487" spans="1:10" s="12" customFormat="1" x14ac:dyDescent="0.2">
      <c r="A487" s="926" t="s">
        <v>1825</v>
      </c>
      <c r="B487" s="946" t="s">
        <v>1861</v>
      </c>
      <c r="C487" s="849">
        <v>1300000</v>
      </c>
      <c r="D487" s="849">
        <v>1300000</v>
      </c>
      <c r="E487" s="744">
        <v>0</v>
      </c>
      <c r="F487" s="744"/>
      <c r="G487" s="1243">
        <f t="shared" si="158"/>
        <v>0</v>
      </c>
      <c r="H487" s="1248">
        <f t="shared" si="159"/>
        <v>0</v>
      </c>
      <c r="I487" s="1249">
        <v>0</v>
      </c>
      <c r="J487" s="1179">
        <v>0</v>
      </c>
    </row>
    <row r="488" spans="1:10" s="12" customFormat="1" x14ac:dyDescent="0.2">
      <c r="A488" s="1407">
        <v>3612</v>
      </c>
      <c r="B488" s="1408" t="s">
        <v>1190</v>
      </c>
      <c r="C488" s="1439">
        <f>SUM(C489:C501)</f>
        <v>22660000</v>
      </c>
      <c r="D488" s="1439">
        <f>SUM(D489:D501)</f>
        <v>19600000</v>
      </c>
      <c r="E488" s="845">
        <v>2829526.21</v>
      </c>
      <c r="F488" s="744">
        <f>SUM(E489:E501)</f>
        <v>2829526.21</v>
      </c>
      <c r="G488" s="825">
        <f t="shared" si="158"/>
        <v>12.486876478375992</v>
      </c>
      <c r="H488" s="1244">
        <f t="shared" si="159"/>
        <v>14.436358214285713</v>
      </c>
      <c r="I488" s="1257">
        <f t="shared" ref="I488" si="160">E488/J488*100</f>
        <v>170.54068756630917</v>
      </c>
      <c r="J488" s="1179">
        <v>1659150.23</v>
      </c>
    </row>
    <row r="489" spans="1:10" s="12" customFormat="1" x14ac:dyDescent="0.2">
      <c r="A489" s="926" t="s">
        <v>1563</v>
      </c>
      <c r="B489" s="1405" t="s">
        <v>1681</v>
      </c>
      <c r="C489" s="744">
        <v>10000</v>
      </c>
      <c r="D489" s="744">
        <v>10000</v>
      </c>
      <c r="E489" s="744">
        <v>0</v>
      </c>
      <c r="F489" s="744"/>
      <c r="G489" s="1243">
        <f t="shared" si="158"/>
        <v>0</v>
      </c>
      <c r="H489" s="1248">
        <f t="shared" si="159"/>
        <v>0</v>
      </c>
      <c r="I489" s="1249">
        <v>0</v>
      </c>
      <c r="J489" s="1179">
        <v>260000</v>
      </c>
    </row>
    <row r="490" spans="1:10" s="12" customFormat="1" x14ac:dyDescent="0.2">
      <c r="A490" s="926" t="s">
        <v>1309</v>
      </c>
      <c r="B490" s="1405" t="s">
        <v>1682</v>
      </c>
      <c r="C490" s="744">
        <v>8800000</v>
      </c>
      <c r="D490" s="744">
        <f>8800000-1000000</f>
        <v>7800000</v>
      </c>
      <c r="E490" s="744">
        <v>899887.21</v>
      </c>
      <c r="F490" s="744"/>
      <c r="G490" s="1243">
        <f t="shared" si="158"/>
        <v>10.225991022727273</v>
      </c>
      <c r="H490" s="1248">
        <f t="shared" si="159"/>
        <v>11.537015512820513</v>
      </c>
      <c r="I490" s="1249">
        <v>0</v>
      </c>
      <c r="J490" s="1179">
        <v>0</v>
      </c>
    </row>
    <row r="491" spans="1:10" s="12" customFormat="1" x14ac:dyDescent="0.2">
      <c r="A491" s="926" t="s">
        <v>1286</v>
      </c>
      <c r="B491" s="1412" t="s">
        <v>1826</v>
      </c>
      <c r="C491" s="744">
        <v>400000</v>
      </c>
      <c r="D491" s="744">
        <v>400000</v>
      </c>
      <c r="E491" s="744">
        <v>393250</v>
      </c>
      <c r="F491" s="744"/>
      <c r="G491" s="1243">
        <f t="shared" si="158"/>
        <v>98.3125</v>
      </c>
      <c r="H491" s="1248">
        <f t="shared" si="159"/>
        <v>98.3125</v>
      </c>
      <c r="I491" s="1249">
        <v>0</v>
      </c>
      <c r="J491" s="1179">
        <v>0</v>
      </c>
    </row>
    <row r="492" spans="1:10" s="12" customFormat="1" x14ac:dyDescent="0.2">
      <c r="A492" s="926" t="s">
        <v>1601</v>
      </c>
      <c r="B492" s="1412" t="s">
        <v>1827</v>
      </c>
      <c r="C492" s="744">
        <v>500000</v>
      </c>
      <c r="D492" s="744">
        <v>500000</v>
      </c>
      <c r="E492" s="744">
        <v>0</v>
      </c>
      <c r="F492" s="1301"/>
      <c r="G492" s="1243">
        <f t="shared" si="158"/>
        <v>0</v>
      </c>
      <c r="H492" s="1248">
        <f t="shared" si="159"/>
        <v>0</v>
      </c>
      <c r="I492" s="1249">
        <v>0</v>
      </c>
      <c r="J492" s="1179">
        <v>0</v>
      </c>
    </row>
    <row r="493" spans="1:10" s="12" customFormat="1" x14ac:dyDescent="0.2">
      <c r="A493" s="926" t="s">
        <v>1602</v>
      </c>
      <c r="B493" s="1412" t="s">
        <v>1828</v>
      </c>
      <c r="C493" s="744">
        <v>550000</v>
      </c>
      <c r="D493" s="744">
        <f>550000-550000</f>
        <v>0</v>
      </c>
      <c r="E493" s="744">
        <v>0</v>
      </c>
      <c r="F493" s="744"/>
      <c r="G493" s="1243">
        <f t="shared" si="158"/>
        <v>0</v>
      </c>
      <c r="H493" s="1248">
        <v>0</v>
      </c>
      <c r="I493" s="1249">
        <v>0</v>
      </c>
      <c r="J493" s="1179">
        <v>0</v>
      </c>
    </row>
    <row r="494" spans="1:10" s="12" customFormat="1" x14ac:dyDescent="0.2">
      <c r="A494" s="926" t="s">
        <v>1603</v>
      </c>
      <c r="B494" s="1412" t="s">
        <v>1829</v>
      </c>
      <c r="C494" s="744">
        <v>450000</v>
      </c>
      <c r="D494" s="744">
        <v>450000</v>
      </c>
      <c r="E494" s="744">
        <v>0</v>
      </c>
      <c r="F494" s="744"/>
      <c r="G494" s="1243">
        <f t="shared" si="158"/>
        <v>0</v>
      </c>
      <c r="H494" s="1248">
        <f t="shared" si="159"/>
        <v>0</v>
      </c>
      <c r="I494" s="1249">
        <v>0</v>
      </c>
      <c r="J494" s="1179">
        <v>0</v>
      </c>
    </row>
    <row r="495" spans="1:10" s="12" customFormat="1" x14ac:dyDescent="0.2">
      <c r="A495" s="926" t="s">
        <v>1604</v>
      </c>
      <c r="B495" s="1412" t="s">
        <v>1687</v>
      </c>
      <c r="C495" s="744">
        <v>450000</v>
      </c>
      <c r="D495" s="744">
        <v>450000</v>
      </c>
      <c r="E495" s="744">
        <v>0</v>
      </c>
      <c r="F495" s="744"/>
      <c r="G495" s="1243">
        <f t="shared" si="158"/>
        <v>0</v>
      </c>
      <c r="H495" s="1248">
        <f t="shared" si="159"/>
        <v>0</v>
      </c>
      <c r="I495" s="1249">
        <v>0</v>
      </c>
      <c r="J495" s="1179">
        <v>0</v>
      </c>
    </row>
    <row r="496" spans="1:10" s="12" customFormat="1" x14ac:dyDescent="0.2">
      <c r="A496" s="926" t="s">
        <v>1605</v>
      </c>
      <c r="B496" s="819" t="s">
        <v>1830</v>
      </c>
      <c r="C496" s="744">
        <v>400000</v>
      </c>
      <c r="D496" s="744">
        <v>400000</v>
      </c>
      <c r="E496" s="744">
        <v>0</v>
      </c>
      <c r="F496" s="744"/>
      <c r="G496" s="1243">
        <f t="shared" si="158"/>
        <v>0</v>
      </c>
      <c r="H496" s="1248">
        <f t="shared" si="159"/>
        <v>0</v>
      </c>
      <c r="I496" s="1249">
        <v>0</v>
      </c>
      <c r="J496" s="1179">
        <v>0</v>
      </c>
    </row>
    <row r="497" spans="1:10" s="12" customFormat="1" x14ac:dyDescent="0.2">
      <c r="A497" s="926" t="s">
        <v>1606</v>
      </c>
      <c r="B497" s="819" t="s">
        <v>1831</v>
      </c>
      <c r="C497" s="744">
        <v>300000</v>
      </c>
      <c r="D497" s="744">
        <v>300000</v>
      </c>
      <c r="E497" s="744">
        <v>235000</v>
      </c>
      <c r="F497" s="744"/>
      <c r="G497" s="1243">
        <f t="shared" si="158"/>
        <v>78.333333333333329</v>
      </c>
      <c r="H497" s="1248">
        <f t="shared" si="159"/>
        <v>78.333333333333329</v>
      </c>
      <c r="I497" s="1249">
        <v>0</v>
      </c>
      <c r="J497" s="1179">
        <v>0</v>
      </c>
    </row>
    <row r="498" spans="1:10" s="12" customFormat="1" x14ac:dyDescent="0.2">
      <c r="A498" s="926" t="s">
        <v>1607</v>
      </c>
      <c r="B498" s="819" t="s">
        <v>1832</v>
      </c>
      <c r="C498" s="744">
        <v>300000</v>
      </c>
      <c r="D498" s="744">
        <v>300000</v>
      </c>
      <c r="E498" s="744">
        <v>0</v>
      </c>
      <c r="F498" s="744"/>
      <c r="G498" s="1243">
        <f t="shared" si="158"/>
        <v>0</v>
      </c>
      <c r="H498" s="1248">
        <f t="shared" si="159"/>
        <v>0</v>
      </c>
      <c r="I498" s="1249">
        <v>0</v>
      </c>
      <c r="J498" s="1179">
        <v>0</v>
      </c>
    </row>
    <row r="499" spans="1:10" s="12" customFormat="1" x14ac:dyDescent="0.2">
      <c r="A499" s="926" t="s">
        <v>2069</v>
      </c>
      <c r="B499" s="819" t="s">
        <v>2068</v>
      </c>
      <c r="C499" s="744">
        <v>0</v>
      </c>
      <c r="D499" s="744">
        <v>550000</v>
      </c>
      <c r="E499" s="744">
        <v>0</v>
      </c>
      <c r="F499" s="744"/>
      <c r="G499" s="1243">
        <v>0</v>
      </c>
      <c r="H499" s="1248">
        <f t="shared" si="159"/>
        <v>0</v>
      </c>
      <c r="I499" s="1249">
        <v>0</v>
      </c>
      <c r="J499" s="1179">
        <v>0</v>
      </c>
    </row>
    <row r="500" spans="1:10" s="12" customFormat="1" x14ac:dyDescent="0.2">
      <c r="A500" s="926" t="s">
        <v>1608</v>
      </c>
      <c r="B500" s="819" t="s">
        <v>1688</v>
      </c>
      <c r="C500" s="744">
        <v>6000000</v>
      </c>
      <c r="D500" s="744">
        <f>6000000-1900000</f>
        <v>4100000</v>
      </c>
      <c r="E500" s="744">
        <v>0</v>
      </c>
      <c r="F500" s="744"/>
      <c r="G500" s="1243">
        <f t="shared" si="158"/>
        <v>0</v>
      </c>
      <c r="H500" s="1248">
        <f t="shared" si="159"/>
        <v>0</v>
      </c>
      <c r="I500" s="1249">
        <v>0</v>
      </c>
      <c r="J500" s="1179">
        <v>0</v>
      </c>
    </row>
    <row r="501" spans="1:10" s="12" customFormat="1" x14ac:dyDescent="0.2">
      <c r="A501" s="926" t="s">
        <v>1609</v>
      </c>
      <c r="B501" s="1412" t="s">
        <v>1833</v>
      </c>
      <c r="C501" s="744">
        <v>4500000</v>
      </c>
      <c r="D501" s="744">
        <f>4500000-160000</f>
        <v>4340000</v>
      </c>
      <c r="E501" s="744">
        <v>1301389</v>
      </c>
      <c r="F501" s="744"/>
      <c r="G501" s="1243">
        <f t="shared" si="158"/>
        <v>28.919755555555554</v>
      </c>
      <c r="H501" s="1248">
        <f t="shared" si="159"/>
        <v>29.985921658986175</v>
      </c>
      <c r="I501" s="1249">
        <v>0</v>
      </c>
      <c r="J501" s="1179">
        <v>0</v>
      </c>
    </row>
    <row r="502" spans="1:10" s="12" customFormat="1" x14ac:dyDescent="0.2">
      <c r="A502" s="929">
        <v>3613</v>
      </c>
      <c r="B502" s="1408" t="s">
        <v>1364</v>
      </c>
      <c r="C502" s="920">
        <f>SUM(C503:C509)</f>
        <v>15837000</v>
      </c>
      <c r="D502" s="920">
        <f>SUM(D503:D509)</f>
        <v>14037000</v>
      </c>
      <c r="E502" s="845">
        <v>343205</v>
      </c>
      <c r="F502" s="744">
        <f>SUM(E503:E509)</f>
        <v>343205</v>
      </c>
      <c r="G502" s="825">
        <f t="shared" si="158"/>
        <v>2.1671086695712574</v>
      </c>
      <c r="H502" s="1244">
        <f t="shared" si="159"/>
        <v>2.4450024934102732</v>
      </c>
      <c r="I502" s="1257">
        <f t="shared" ref="I502" si="161">E502/J502*100</f>
        <v>47.236206079535968</v>
      </c>
      <c r="J502" s="1179">
        <v>726571.9</v>
      </c>
    </row>
    <row r="503" spans="1:10" s="12" customFormat="1" x14ac:dyDescent="0.2">
      <c r="A503" s="926" t="s">
        <v>1191</v>
      </c>
      <c r="B503" s="1412" t="s">
        <v>1834</v>
      </c>
      <c r="C503" s="744">
        <v>1000000</v>
      </c>
      <c r="D503" s="744">
        <v>1000000</v>
      </c>
      <c r="E503" s="744">
        <v>46500</v>
      </c>
      <c r="F503" s="744"/>
      <c r="G503" s="1243">
        <f t="shared" si="158"/>
        <v>4.6500000000000004</v>
      </c>
      <c r="H503" s="1248">
        <f t="shared" si="159"/>
        <v>4.6500000000000004</v>
      </c>
      <c r="I503" s="1249">
        <v>0</v>
      </c>
      <c r="J503" s="1179">
        <v>0</v>
      </c>
    </row>
    <row r="504" spans="1:10" s="12" customFormat="1" x14ac:dyDescent="0.2">
      <c r="A504" s="926" t="s">
        <v>1287</v>
      </c>
      <c r="B504" s="1412" t="s">
        <v>1308</v>
      </c>
      <c r="C504" s="744">
        <v>3500000</v>
      </c>
      <c r="D504" s="744">
        <f>3500000-3500000</f>
        <v>0</v>
      </c>
      <c r="E504" s="744">
        <v>0</v>
      </c>
      <c r="F504" s="744"/>
      <c r="G504" s="1243">
        <f t="shared" si="158"/>
        <v>0</v>
      </c>
      <c r="H504" s="1248">
        <v>0</v>
      </c>
      <c r="I504" s="1249">
        <v>0</v>
      </c>
      <c r="J504" s="1179">
        <v>0</v>
      </c>
    </row>
    <row r="505" spans="1:10" s="12" customFormat="1" x14ac:dyDescent="0.2">
      <c r="A505" s="926" t="s">
        <v>1288</v>
      </c>
      <c r="B505" s="1412" t="s">
        <v>1835</v>
      </c>
      <c r="C505" s="744">
        <v>6687000</v>
      </c>
      <c r="D505" s="744">
        <f>6687000+5600000</f>
        <v>12287000</v>
      </c>
      <c r="E505" s="744">
        <v>296705</v>
      </c>
      <c r="F505" s="744"/>
      <c r="G505" s="1243">
        <f t="shared" si="158"/>
        <v>4.4370420218334079</v>
      </c>
      <c r="H505" s="1248">
        <f t="shared" si="159"/>
        <v>2.4147879873036544</v>
      </c>
      <c r="I505" s="1249">
        <v>0</v>
      </c>
      <c r="J505" s="1179">
        <v>0</v>
      </c>
    </row>
    <row r="506" spans="1:10" s="12" customFormat="1" x14ac:dyDescent="0.2">
      <c r="A506" s="926" t="s">
        <v>1291</v>
      </c>
      <c r="B506" s="1412" t="s">
        <v>1319</v>
      </c>
      <c r="C506" s="744">
        <v>500000</v>
      </c>
      <c r="D506" s="744">
        <f>500000-500000</f>
        <v>0</v>
      </c>
      <c r="E506" s="744">
        <v>0</v>
      </c>
      <c r="F506" s="744"/>
      <c r="G506" s="1243">
        <f t="shared" si="158"/>
        <v>0</v>
      </c>
      <c r="H506" s="1248">
        <v>0</v>
      </c>
      <c r="I506" s="1249">
        <v>0</v>
      </c>
      <c r="J506" s="1179">
        <v>0</v>
      </c>
    </row>
    <row r="507" spans="1:10" s="12" customFormat="1" x14ac:dyDescent="0.2">
      <c r="A507" s="1440" t="s">
        <v>2112</v>
      </c>
      <c r="B507" s="1412" t="s">
        <v>1837</v>
      </c>
      <c r="C507" s="744">
        <v>3500000</v>
      </c>
      <c r="D507" s="744">
        <f>3500000+(-900000-200000)-2300000</f>
        <v>100000</v>
      </c>
      <c r="E507" s="751">
        <v>0</v>
      </c>
      <c r="F507" s="751"/>
      <c r="G507" s="1243">
        <f t="shared" si="158"/>
        <v>0</v>
      </c>
      <c r="H507" s="1248">
        <f t="shared" si="159"/>
        <v>0</v>
      </c>
      <c r="I507" s="1249">
        <v>0</v>
      </c>
      <c r="J507" s="1179">
        <v>0</v>
      </c>
    </row>
    <row r="508" spans="1:10" s="12" customFormat="1" x14ac:dyDescent="0.2">
      <c r="A508" s="926" t="s">
        <v>1838</v>
      </c>
      <c r="B508" s="1412" t="s">
        <v>1839</v>
      </c>
      <c r="C508" s="744">
        <v>250000</v>
      </c>
      <c r="D508" s="744">
        <v>250000</v>
      </c>
      <c r="E508" s="744">
        <v>0</v>
      </c>
      <c r="F508" s="1301"/>
      <c r="G508" s="1243">
        <f t="shared" si="158"/>
        <v>0</v>
      </c>
      <c r="H508" s="1248">
        <f t="shared" si="159"/>
        <v>0</v>
      </c>
      <c r="I508" s="1249">
        <v>0</v>
      </c>
      <c r="J508" s="1179">
        <v>0</v>
      </c>
    </row>
    <row r="509" spans="1:10" s="12" customFormat="1" x14ac:dyDescent="0.2">
      <c r="A509" s="926" t="s">
        <v>1610</v>
      </c>
      <c r="B509" s="1412" t="s">
        <v>1840</v>
      </c>
      <c r="C509" s="744">
        <v>400000</v>
      </c>
      <c r="D509" s="744">
        <v>400000</v>
      </c>
      <c r="E509" s="744">
        <v>0</v>
      </c>
      <c r="F509" s="744"/>
      <c r="G509" s="1243">
        <f t="shared" si="158"/>
        <v>0</v>
      </c>
      <c r="H509" s="1248">
        <f t="shared" si="159"/>
        <v>0</v>
      </c>
      <c r="I509" s="1398">
        <v>0</v>
      </c>
      <c r="J509" s="1179">
        <v>0</v>
      </c>
    </row>
    <row r="510" spans="1:10" s="12" customFormat="1" ht="12.75" customHeight="1" x14ac:dyDescent="0.2">
      <c r="A510" s="1655">
        <v>3634</v>
      </c>
      <c r="B510" s="1656" t="s">
        <v>2158</v>
      </c>
      <c r="C510" s="1657">
        <f>SUM(C511:C515)</f>
        <v>15805000</v>
      </c>
      <c r="D510" s="1657">
        <f>SUM(D511:D515)</f>
        <v>13105000</v>
      </c>
      <c r="E510" s="1658">
        <v>46948</v>
      </c>
      <c r="F510" s="1659">
        <f>SUM(E511:E515)</f>
        <v>46948</v>
      </c>
      <c r="G510" s="1660">
        <f t="shared" si="158"/>
        <v>0.29704523884846568</v>
      </c>
      <c r="H510" s="1325">
        <f t="shared" si="159"/>
        <v>0.35824494467760393</v>
      </c>
      <c r="I510" s="1661">
        <f t="shared" ref="I510" si="162">E510/J510*100</f>
        <v>2.6073811679701406</v>
      </c>
      <c r="J510" s="1179">
        <v>1800580.62</v>
      </c>
    </row>
    <row r="511" spans="1:10" s="12" customFormat="1" x14ac:dyDescent="0.2">
      <c r="A511" s="926" t="s">
        <v>1292</v>
      </c>
      <c r="B511" s="1412" t="s">
        <v>1841</v>
      </c>
      <c r="C511" s="744">
        <v>200000</v>
      </c>
      <c r="D511" s="744">
        <v>200000</v>
      </c>
      <c r="E511" s="744">
        <v>0</v>
      </c>
      <c r="F511" s="744"/>
      <c r="G511" s="1243">
        <f t="shared" si="158"/>
        <v>0</v>
      </c>
      <c r="H511" s="1248">
        <f t="shared" si="159"/>
        <v>0</v>
      </c>
      <c r="I511" s="1249">
        <v>0</v>
      </c>
      <c r="J511" s="1179">
        <v>0</v>
      </c>
    </row>
    <row r="512" spans="1:10" s="12" customFormat="1" x14ac:dyDescent="0.2">
      <c r="A512" s="926" t="s">
        <v>1842</v>
      </c>
      <c r="B512" s="1412" t="s">
        <v>1843</v>
      </c>
      <c r="C512" s="744">
        <v>800000</v>
      </c>
      <c r="D512" s="744">
        <v>800000</v>
      </c>
      <c r="E512" s="744">
        <v>0</v>
      </c>
      <c r="F512" s="744"/>
      <c r="G512" s="1243">
        <f t="shared" si="158"/>
        <v>0</v>
      </c>
      <c r="H512" s="1248">
        <f t="shared" si="159"/>
        <v>0</v>
      </c>
      <c r="I512" s="1249">
        <v>0</v>
      </c>
      <c r="J512" s="1179">
        <v>0</v>
      </c>
    </row>
    <row r="513" spans="1:10" s="12" customFormat="1" x14ac:dyDescent="0.2">
      <c r="A513" s="926" t="s">
        <v>1611</v>
      </c>
      <c r="B513" s="1412" t="s">
        <v>1844</v>
      </c>
      <c r="C513" s="744">
        <v>3300000</v>
      </c>
      <c r="D513" s="744">
        <v>3300000</v>
      </c>
      <c r="E513" s="744">
        <v>0</v>
      </c>
      <c r="F513" s="744"/>
      <c r="G513" s="1243">
        <f t="shared" si="158"/>
        <v>0</v>
      </c>
      <c r="H513" s="1248">
        <f t="shared" si="159"/>
        <v>0</v>
      </c>
      <c r="I513" s="1249">
        <v>0</v>
      </c>
      <c r="J513" s="1179">
        <v>0</v>
      </c>
    </row>
    <row r="514" spans="1:10" s="12" customFormat="1" x14ac:dyDescent="0.2">
      <c r="A514" s="926" t="s">
        <v>1293</v>
      </c>
      <c r="B514" s="1412" t="s">
        <v>1845</v>
      </c>
      <c r="C514" s="744">
        <v>5000</v>
      </c>
      <c r="D514" s="744">
        <v>5000</v>
      </c>
      <c r="E514" s="744">
        <v>0</v>
      </c>
      <c r="F514" s="744"/>
      <c r="G514" s="1243">
        <f t="shared" si="158"/>
        <v>0</v>
      </c>
      <c r="H514" s="1248">
        <f t="shared" si="159"/>
        <v>0</v>
      </c>
      <c r="I514" s="1249">
        <v>0</v>
      </c>
      <c r="J514" s="1179">
        <v>0</v>
      </c>
    </row>
    <row r="515" spans="1:10" s="12" customFormat="1" x14ac:dyDescent="0.2">
      <c r="A515" s="926" t="s">
        <v>1298</v>
      </c>
      <c r="B515" s="1412" t="s">
        <v>1846</v>
      </c>
      <c r="C515" s="744">
        <v>11500000</v>
      </c>
      <c r="D515" s="744">
        <f>11500000-2500000-200000</f>
        <v>8800000</v>
      </c>
      <c r="E515" s="744">
        <v>46948</v>
      </c>
      <c r="F515" s="744"/>
      <c r="G515" s="1243">
        <f t="shared" ref="G515" si="163">E515/C515*100</f>
        <v>0.4082434782608696</v>
      </c>
      <c r="H515" s="1248">
        <f t="shared" ref="H515:H519" si="164">E515/D515*100</f>
        <v>0.53350000000000009</v>
      </c>
      <c r="I515" s="1398">
        <v>0</v>
      </c>
      <c r="J515" s="1179">
        <v>239580</v>
      </c>
    </row>
    <row r="516" spans="1:10" s="12" customFormat="1" ht="12.75" customHeight="1" x14ac:dyDescent="0.2">
      <c r="A516" s="1407">
        <v>4351</v>
      </c>
      <c r="B516" s="1408" t="s">
        <v>778</v>
      </c>
      <c r="C516" s="920">
        <f>SUM(C517)</f>
        <v>0</v>
      </c>
      <c r="D516" s="920">
        <f>SUM(D517)</f>
        <v>3500000</v>
      </c>
      <c r="E516" s="1537">
        <v>0</v>
      </c>
      <c r="F516" s="1489">
        <f>SUM(E517,E524,E526,E543,E549)</f>
        <v>2395201.17</v>
      </c>
      <c r="G516" s="825">
        <v>0</v>
      </c>
      <c r="H516" s="1244">
        <f t="shared" si="164"/>
        <v>0</v>
      </c>
      <c r="I516" s="1538">
        <v>0</v>
      </c>
      <c r="J516" s="1179">
        <v>0</v>
      </c>
    </row>
    <row r="517" spans="1:10" s="12" customFormat="1" x14ac:dyDescent="0.2">
      <c r="A517" s="926" t="s">
        <v>1287</v>
      </c>
      <c r="B517" s="1412" t="s">
        <v>1308</v>
      </c>
      <c r="C517" s="744">
        <v>0</v>
      </c>
      <c r="D517" s="744">
        <v>3500000</v>
      </c>
      <c r="E517" s="744">
        <v>0</v>
      </c>
      <c r="F517" s="744"/>
      <c r="G517" s="1243">
        <v>0</v>
      </c>
      <c r="H517" s="1248">
        <f t="shared" si="164"/>
        <v>0</v>
      </c>
      <c r="I517" s="1399">
        <v>0</v>
      </c>
      <c r="J517" s="1179">
        <v>0</v>
      </c>
    </row>
    <row r="518" spans="1:10" s="12" customFormat="1" ht="12.75" customHeight="1" x14ac:dyDescent="0.2">
      <c r="A518" s="1407">
        <v>4374</v>
      </c>
      <c r="B518" s="1408" t="s">
        <v>759</v>
      </c>
      <c r="C518" s="920">
        <f>SUM(C519)</f>
        <v>0</v>
      </c>
      <c r="D518" s="920">
        <f>SUM(D519)</f>
        <v>500000</v>
      </c>
      <c r="E518" s="1537">
        <v>0</v>
      </c>
      <c r="F518" s="1489">
        <f>SUM(E519,E526,E528,E545,E551)</f>
        <v>12673996.48</v>
      </c>
      <c r="G518" s="825">
        <v>0</v>
      </c>
      <c r="H518" s="1244">
        <f t="shared" si="164"/>
        <v>0</v>
      </c>
      <c r="I518" s="1538">
        <v>0</v>
      </c>
      <c r="J518" s="1179">
        <v>18000</v>
      </c>
    </row>
    <row r="519" spans="1:10" s="12" customFormat="1" ht="13.5" thickBot="1" x14ac:dyDescent="0.25">
      <c r="A519" s="926" t="s">
        <v>1291</v>
      </c>
      <c r="B519" s="1412" t="s">
        <v>1319</v>
      </c>
      <c r="C519" s="744">
        <v>0</v>
      </c>
      <c r="D519" s="744">
        <v>500000</v>
      </c>
      <c r="E519" s="1560">
        <v>0</v>
      </c>
      <c r="F519" s="1560"/>
      <c r="G519" s="1243">
        <v>0</v>
      </c>
      <c r="H519" s="1248">
        <f t="shared" si="164"/>
        <v>0</v>
      </c>
      <c r="I519" s="1397">
        <v>0</v>
      </c>
      <c r="J519" s="1179">
        <v>18000</v>
      </c>
    </row>
    <row r="520" spans="1:10" s="12" customFormat="1" ht="16.5" thickBot="1" x14ac:dyDescent="0.3">
      <c r="A520" s="840"/>
      <c r="B520" s="908" t="s">
        <v>550</v>
      </c>
      <c r="C520" s="950">
        <f>SUM(C521,C527,C529,C532,C537)</f>
        <v>22807000</v>
      </c>
      <c r="D520" s="950">
        <f>SUM(D521,D527,D529,D532,D537)</f>
        <v>22807000</v>
      </c>
      <c r="E520" s="1170">
        <v>9856082</v>
      </c>
      <c r="F520" s="1307">
        <f>SUM(E521,E527,E529,E532,E537)</f>
        <v>9856082</v>
      </c>
      <c r="G520" s="1237">
        <f>E520/C520*100</f>
        <v>43.215162011663089</v>
      </c>
      <c r="H520" s="1237">
        <f>E520/D520*100</f>
        <v>43.215162011663089</v>
      </c>
      <c r="I520" s="1253">
        <f t="shared" ref="I520:I521" si="165">E520/J520*100</f>
        <v>1193.3378979096783</v>
      </c>
      <c r="J520" s="1179">
        <v>825925.5</v>
      </c>
    </row>
    <row r="521" spans="1:10" s="12" customFormat="1" x14ac:dyDescent="0.2">
      <c r="A521" s="1444">
        <v>3412</v>
      </c>
      <c r="B521" s="1429" t="s">
        <v>2159</v>
      </c>
      <c r="C521" s="1299">
        <f>SUM(C522:C526)</f>
        <v>13037000</v>
      </c>
      <c r="D521" s="1299">
        <f>SUM(D522:D526)</f>
        <v>13037000</v>
      </c>
      <c r="E521" s="1358">
        <v>1578235</v>
      </c>
      <c r="F521" s="864">
        <f>SUM(E522:E526)</f>
        <v>1578235</v>
      </c>
      <c r="G521" s="825">
        <f t="shared" ref="G521:G523" si="166">E521/C521*100</f>
        <v>12.105814221063129</v>
      </c>
      <c r="H521" s="1244">
        <f t="shared" ref="H521:H523" si="167">E521/D521*100</f>
        <v>12.105814221063129</v>
      </c>
      <c r="I521" s="1257">
        <f t="shared" si="165"/>
        <v>518.82259928236931</v>
      </c>
      <c r="J521" s="1179">
        <v>304195.5</v>
      </c>
    </row>
    <row r="522" spans="1:10" s="12" customFormat="1" x14ac:dyDescent="0.2">
      <c r="A522" s="926" t="s">
        <v>1196</v>
      </c>
      <c r="B522" s="1412" t="s">
        <v>1059</v>
      </c>
      <c r="C522" s="744">
        <v>650000</v>
      </c>
      <c r="D522" s="744">
        <f>650000+380000</f>
        <v>1030000</v>
      </c>
      <c r="E522" s="744">
        <v>31500</v>
      </c>
      <c r="F522" s="744"/>
      <c r="G522" s="1243">
        <f t="shared" si="166"/>
        <v>4.8461538461538458</v>
      </c>
      <c r="H522" s="1248">
        <f t="shared" si="167"/>
        <v>3.058252427184466</v>
      </c>
      <c r="I522" s="1249">
        <v>0</v>
      </c>
      <c r="J522" s="1179">
        <v>0</v>
      </c>
    </row>
    <row r="523" spans="1:10" s="12" customFormat="1" x14ac:dyDescent="0.2">
      <c r="A523" s="926" t="s">
        <v>1197</v>
      </c>
      <c r="B523" s="1412" t="s">
        <v>1060</v>
      </c>
      <c r="C523" s="744">
        <v>250000</v>
      </c>
      <c r="D523" s="744">
        <f>250000+100000</f>
        <v>350000</v>
      </c>
      <c r="E523" s="744">
        <v>20160</v>
      </c>
      <c r="F523" s="744"/>
      <c r="G523" s="1243">
        <f t="shared" si="166"/>
        <v>8.0640000000000001</v>
      </c>
      <c r="H523" s="1248">
        <f t="shared" si="167"/>
        <v>5.76</v>
      </c>
      <c r="I523" s="1249">
        <v>0</v>
      </c>
      <c r="J523" s="1179">
        <v>0</v>
      </c>
    </row>
    <row r="524" spans="1:10" s="12" customFormat="1" x14ac:dyDescent="0.2">
      <c r="A524" s="926" t="s">
        <v>1198</v>
      </c>
      <c r="B524" s="1405" t="s">
        <v>1612</v>
      </c>
      <c r="C524" s="744">
        <v>137000</v>
      </c>
      <c r="D524" s="744">
        <v>137000</v>
      </c>
      <c r="E524" s="744">
        <v>96800</v>
      </c>
      <c r="F524" s="744"/>
      <c r="G524" s="1243">
        <f t="shared" ref="G524:G538" si="168">E524/C524*100</f>
        <v>70.65693430656934</v>
      </c>
      <c r="H524" s="1248">
        <f t="shared" ref="H524:H538" si="169">E524/D524*100</f>
        <v>70.65693430656934</v>
      </c>
      <c r="I524" s="1249">
        <v>0</v>
      </c>
      <c r="J524" s="1179">
        <v>0</v>
      </c>
    </row>
    <row r="525" spans="1:10" s="12" customFormat="1" x14ac:dyDescent="0.2">
      <c r="A525" s="926" t="s">
        <v>1061</v>
      </c>
      <c r="B525" s="1412" t="s">
        <v>1572</v>
      </c>
      <c r="C525" s="744">
        <v>4000000</v>
      </c>
      <c r="D525" s="744">
        <f>4000000-480000</f>
        <v>3520000</v>
      </c>
      <c r="E525" s="744">
        <v>0</v>
      </c>
      <c r="F525" s="744"/>
      <c r="G525" s="1243">
        <f t="shared" si="168"/>
        <v>0</v>
      </c>
      <c r="H525" s="1248">
        <f t="shared" si="169"/>
        <v>0</v>
      </c>
      <c r="I525" s="1249">
        <v>0</v>
      </c>
      <c r="J525" s="1179">
        <v>148258.5</v>
      </c>
    </row>
    <row r="526" spans="1:10" s="12" customFormat="1" ht="12.75" customHeight="1" x14ac:dyDescent="0.2">
      <c r="A526" s="926" t="s">
        <v>1613</v>
      </c>
      <c r="B526" s="1412" t="s">
        <v>1573</v>
      </c>
      <c r="C526" s="744">
        <v>8000000</v>
      </c>
      <c r="D526" s="744">
        <v>8000000</v>
      </c>
      <c r="E526" s="744">
        <v>1429775</v>
      </c>
      <c r="F526" s="744"/>
      <c r="G526" s="1243">
        <f t="shared" si="168"/>
        <v>17.872187499999999</v>
      </c>
      <c r="H526" s="1248">
        <f t="shared" si="169"/>
        <v>17.872187499999999</v>
      </c>
      <c r="I526" s="1249">
        <v>0</v>
      </c>
      <c r="J526" s="1179">
        <v>0</v>
      </c>
    </row>
    <row r="527" spans="1:10" s="12" customFormat="1" x14ac:dyDescent="0.2">
      <c r="A527" s="1407">
        <v>3613</v>
      </c>
      <c r="B527" s="1408" t="s">
        <v>1364</v>
      </c>
      <c r="C527" s="920">
        <f t="shared" ref="C527:D527" si="170">SUM(C528:C528)</f>
        <v>300000</v>
      </c>
      <c r="D527" s="920">
        <f t="shared" si="170"/>
        <v>300000</v>
      </c>
      <c r="E527" s="845">
        <v>0</v>
      </c>
      <c r="F527" s="744"/>
      <c r="G527" s="825">
        <f t="shared" si="168"/>
        <v>0</v>
      </c>
      <c r="H527" s="1244">
        <f t="shared" si="169"/>
        <v>0</v>
      </c>
      <c r="I527" s="1255">
        <v>0</v>
      </c>
      <c r="J527" s="1179">
        <v>0</v>
      </c>
    </row>
    <row r="528" spans="1:10" s="12" customFormat="1" ht="12.75" customHeight="1" x14ac:dyDescent="0.2">
      <c r="A528" s="926" t="s">
        <v>558</v>
      </c>
      <c r="B528" s="1412" t="s">
        <v>1847</v>
      </c>
      <c r="C528" s="744">
        <v>300000</v>
      </c>
      <c r="D528" s="744">
        <v>300000</v>
      </c>
      <c r="E528" s="744">
        <v>0</v>
      </c>
      <c r="F528" s="744"/>
      <c r="G528" s="1243">
        <f t="shared" si="168"/>
        <v>0</v>
      </c>
      <c r="H528" s="1248">
        <f t="shared" si="169"/>
        <v>0</v>
      </c>
      <c r="I528" s="1249">
        <v>0</v>
      </c>
      <c r="J528" s="1179">
        <v>0</v>
      </c>
    </row>
    <row r="529" spans="1:10" s="12" customFormat="1" ht="12.75" customHeight="1" x14ac:dyDescent="0.2">
      <c r="A529" s="1407">
        <v>3631</v>
      </c>
      <c r="B529" s="1408" t="s">
        <v>2160</v>
      </c>
      <c r="C529" s="920">
        <f>SUM(C530:C531)</f>
        <v>7850000</v>
      </c>
      <c r="D529" s="920">
        <f>SUM(D530:D531)</f>
        <v>7850000</v>
      </c>
      <c r="E529" s="920">
        <v>7569917.4000000004</v>
      </c>
      <c r="F529" s="1301"/>
      <c r="G529" s="825">
        <f t="shared" si="168"/>
        <v>96.432068789808923</v>
      </c>
      <c r="H529" s="1244">
        <f t="shared" si="169"/>
        <v>96.432068789808923</v>
      </c>
      <c r="I529" s="1257">
        <f t="shared" ref="I529" si="171">E529/J529*100</f>
        <v>48124.077558804835</v>
      </c>
      <c r="J529" s="1179">
        <v>15730</v>
      </c>
    </row>
    <row r="530" spans="1:10" s="12" customFormat="1" ht="12.75" customHeight="1" x14ac:dyDescent="0.2">
      <c r="A530" s="926" t="s">
        <v>573</v>
      </c>
      <c r="B530" s="1412" t="s">
        <v>1848</v>
      </c>
      <c r="C530" s="744">
        <v>7600000</v>
      </c>
      <c r="D530" s="744">
        <f>7600000+110000</f>
        <v>7710000</v>
      </c>
      <c r="E530" s="744">
        <v>7569917.4000000004</v>
      </c>
      <c r="F530" s="744"/>
      <c r="G530" s="1243">
        <f t="shared" si="168"/>
        <v>99.604176315789488</v>
      </c>
      <c r="H530" s="1248">
        <f t="shared" si="169"/>
        <v>98.183105058365754</v>
      </c>
      <c r="I530" s="1249">
        <v>0</v>
      </c>
      <c r="J530" s="1179">
        <v>0</v>
      </c>
    </row>
    <row r="531" spans="1:10" s="12" customFormat="1" ht="12.75" customHeight="1" x14ac:dyDescent="0.2">
      <c r="A531" s="926" t="s">
        <v>1694</v>
      </c>
      <c r="B531" s="1412" t="s">
        <v>1650</v>
      </c>
      <c r="C531" s="744">
        <v>250000</v>
      </c>
      <c r="D531" s="744">
        <f>250000-110000</f>
        <v>140000</v>
      </c>
      <c r="E531" s="744">
        <v>0</v>
      </c>
      <c r="F531" s="744"/>
      <c r="G531" s="1243">
        <f t="shared" si="168"/>
        <v>0</v>
      </c>
      <c r="H531" s="1248">
        <f t="shared" si="169"/>
        <v>0</v>
      </c>
      <c r="I531" s="1249">
        <v>0</v>
      </c>
      <c r="J531" s="1179">
        <v>0</v>
      </c>
    </row>
    <row r="532" spans="1:10" s="12" customFormat="1" ht="12.75" customHeight="1" x14ac:dyDescent="0.2">
      <c r="A532" s="1407">
        <v>3632</v>
      </c>
      <c r="B532" s="1445" t="s">
        <v>1349</v>
      </c>
      <c r="C532" s="920">
        <f t="shared" ref="C532:D532" si="172">SUM(C533:C536)</f>
        <v>1220000</v>
      </c>
      <c r="D532" s="920">
        <f t="shared" si="172"/>
        <v>1220000</v>
      </c>
      <c r="E532" s="920">
        <v>707929.59999999998</v>
      </c>
      <c r="F532" s="1301">
        <f>SUM(E533:E536)</f>
        <v>707929.59999999998</v>
      </c>
      <c r="G532" s="825">
        <f t="shared" si="168"/>
        <v>58.027016393442622</v>
      </c>
      <c r="H532" s="1244">
        <f t="shared" si="169"/>
        <v>58.027016393442622</v>
      </c>
      <c r="I532" s="1257">
        <f t="shared" ref="I532" si="173">E532/J532*100</f>
        <v>139.90703557312253</v>
      </c>
      <c r="J532" s="1179">
        <v>506000</v>
      </c>
    </row>
    <row r="533" spans="1:10" s="12" customFormat="1" x14ac:dyDescent="0.2">
      <c r="A533" s="926" t="s">
        <v>1201</v>
      </c>
      <c r="B533" s="1412" t="s">
        <v>1849</v>
      </c>
      <c r="C533" s="744">
        <v>10000</v>
      </c>
      <c r="D533" s="744">
        <v>10000</v>
      </c>
      <c r="E533" s="744">
        <v>0</v>
      </c>
      <c r="F533" s="744"/>
      <c r="G533" s="1243">
        <f t="shared" si="168"/>
        <v>0</v>
      </c>
      <c r="H533" s="1248">
        <f t="shared" si="169"/>
        <v>0</v>
      </c>
      <c r="I533" s="1249">
        <v>0</v>
      </c>
      <c r="J533" s="1179">
        <v>498000</v>
      </c>
    </row>
    <row r="534" spans="1:10" s="12" customFormat="1" x14ac:dyDescent="0.2">
      <c r="A534" s="926" t="s">
        <v>1201</v>
      </c>
      <c r="B534" s="1405" t="s">
        <v>1850</v>
      </c>
      <c r="C534" s="744">
        <v>5000</v>
      </c>
      <c r="D534" s="744">
        <v>5000</v>
      </c>
      <c r="E534" s="744">
        <v>0</v>
      </c>
      <c r="F534" s="744"/>
      <c r="G534" s="1243">
        <f t="shared" si="168"/>
        <v>0</v>
      </c>
      <c r="H534" s="1248">
        <f t="shared" si="169"/>
        <v>0</v>
      </c>
      <c r="I534" s="1249">
        <v>0</v>
      </c>
      <c r="J534" s="1179">
        <v>0</v>
      </c>
    </row>
    <row r="535" spans="1:10" s="12" customFormat="1" ht="12.75" customHeight="1" x14ac:dyDescent="0.2">
      <c r="A535" s="926" t="s">
        <v>594</v>
      </c>
      <c r="B535" s="1405" t="s">
        <v>1851</v>
      </c>
      <c r="C535" s="744">
        <v>1200000</v>
      </c>
      <c r="D535" s="744">
        <v>1200000</v>
      </c>
      <c r="E535" s="744">
        <v>707929.59999999998</v>
      </c>
      <c r="F535" s="744"/>
      <c r="G535" s="1243">
        <f t="shared" si="168"/>
        <v>58.99413333333333</v>
      </c>
      <c r="H535" s="1248">
        <f t="shared" si="169"/>
        <v>58.99413333333333</v>
      </c>
      <c r="I535" s="1249">
        <v>0</v>
      </c>
      <c r="J535" s="1179">
        <v>0</v>
      </c>
    </row>
    <row r="536" spans="1:10" s="12" customFormat="1" x14ac:dyDescent="0.2">
      <c r="A536" s="926" t="s">
        <v>1299</v>
      </c>
      <c r="B536" s="1405" t="s">
        <v>1852</v>
      </c>
      <c r="C536" s="744">
        <v>5000</v>
      </c>
      <c r="D536" s="744">
        <v>5000</v>
      </c>
      <c r="E536" s="744">
        <v>0</v>
      </c>
      <c r="F536" s="744"/>
      <c r="G536" s="1243">
        <f t="shared" si="168"/>
        <v>0</v>
      </c>
      <c r="H536" s="1248">
        <f t="shared" si="169"/>
        <v>0</v>
      </c>
      <c r="I536" s="1249">
        <v>0</v>
      </c>
      <c r="J536" s="1179">
        <v>8000</v>
      </c>
    </row>
    <row r="537" spans="1:10" s="12" customFormat="1" ht="13.5" customHeight="1" x14ac:dyDescent="0.2">
      <c r="A537" s="1562">
        <v>3633</v>
      </c>
      <c r="B537" s="1563" t="s">
        <v>2161</v>
      </c>
      <c r="C537" s="1561">
        <f>SUM(C538:C538)</f>
        <v>400000</v>
      </c>
      <c r="D537" s="1561">
        <f>SUM(D538:D538)</f>
        <v>400000</v>
      </c>
      <c r="E537" s="1596">
        <v>0</v>
      </c>
      <c r="F537" s="1560"/>
      <c r="G537" s="825">
        <f t="shared" si="168"/>
        <v>0</v>
      </c>
      <c r="H537" s="1244">
        <f t="shared" si="169"/>
        <v>0</v>
      </c>
      <c r="I537" s="1597">
        <v>0</v>
      </c>
      <c r="J537" s="1179">
        <v>0</v>
      </c>
    </row>
    <row r="538" spans="1:10" s="695" customFormat="1" ht="12.75" customHeight="1" thickBot="1" x14ac:dyDescent="0.25">
      <c r="A538" s="1583" t="s">
        <v>2113</v>
      </c>
      <c r="B538" s="1584" t="s">
        <v>1649</v>
      </c>
      <c r="C538" s="1560">
        <v>400000</v>
      </c>
      <c r="D538" s="1560">
        <v>400000</v>
      </c>
      <c r="E538" s="1560">
        <v>0</v>
      </c>
      <c r="F538" s="1560"/>
      <c r="G538" s="1243">
        <f t="shared" si="168"/>
        <v>0</v>
      </c>
      <c r="H538" s="1248">
        <f t="shared" si="169"/>
        <v>0</v>
      </c>
      <c r="I538" s="1585">
        <v>0</v>
      </c>
      <c r="J538" s="1499">
        <v>0</v>
      </c>
    </row>
    <row r="539" spans="1:10" ht="15" customHeight="1" thickBot="1" x14ac:dyDescent="0.3">
      <c r="A539" s="908"/>
      <c r="B539" s="908" t="s">
        <v>1202</v>
      </c>
      <c r="C539" s="931">
        <f t="shared" ref="C539:D539" si="174">SUM(C540:C540)</f>
        <v>400000</v>
      </c>
      <c r="D539" s="931">
        <f t="shared" si="174"/>
        <v>400000</v>
      </c>
      <c r="E539" s="931">
        <v>34806</v>
      </c>
      <c r="F539" s="1586"/>
      <c r="G539" s="1237">
        <f>E539/C539*100</f>
        <v>8.7014999999999993</v>
      </c>
      <c r="H539" s="1237">
        <f>E539/D539*100</f>
        <v>8.7014999999999993</v>
      </c>
      <c r="I539" s="1253">
        <f t="shared" ref="I539:I540" si="175">E539/J539*100</f>
        <v>154.69333333333333</v>
      </c>
      <c r="J539" s="1520">
        <v>22500</v>
      </c>
    </row>
    <row r="540" spans="1:10" s="12" customFormat="1" ht="12.75" customHeight="1" x14ac:dyDescent="0.2">
      <c r="A540" s="1566" t="s">
        <v>609</v>
      </c>
      <c r="B540" s="1567" t="s">
        <v>1367</v>
      </c>
      <c r="C540" s="1568">
        <v>400000</v>
      </c>
      <c r="D540" s="1568">
        <v>400000</v>
      </c>
      <c r="E540" s="1568">
        <v>34806</v>
      </c>
      <c r="F540" s="1568"/>
      <c r="G540" s="1243">
        <f t="shared" ref="G540" si="176">E540/C540*100</f>
        <v>8.7014999999999993</v>
      </c>
      <c r="H540" s="1248">
        <f t="shared" ref="H540" si="177">E540/D540*100</f>
        <v>8.7014999999999993</v>
      </c>
      <c r="I540" s="1258">
        <f t="shared" si="175"/>
        <v>154.69333333333333</v>
      </c>
      <c r="J540" s="1179">
        <v>22500</v>
      </c>
    </row>
    <row r="541" spans="1:10" s="12" customFormat="1" ht="13.5" thickBot="1" x14ac:dyDescent="0.25">
      <c r="A541" s="965"/>
      <c r="B541" s="966"/>
      <c r="C541" s="885"/>
      <c r="D541" s="885"/>
      <c r="E541" s="1143"/>
      <c r="F541" s="1143"/>
      <c r="G541" s="1143"/>
      <c r="H541" s="1143"/>
      <c r="I541" s="1312"/>
      <c r="J541" s="1179"/>
    </row>
    <row r="542" spans="1:10" ht="21" thickBot="1" x14ac:dyDescent="0.35">
      <c r="A542" s="841"/>
      <c r="B542" s="796" t="s">
        <v>31</v>
      </c>
      <c r="C542" s="749">
        <f t="shared" ref="C542:D542" si="178">SUM(C543:C543)</f>
        <v>15000</v>
      </c>
      <c r="D542" s="749">
        <f t="shared" si="178"/>
        <v>15000</v>
      </c>
      <c r="E542" s="1313">
        <v>0</v>
      </c>
      <c r="F542" s="1314"/>
      <c r="G542" s="1349">
        <f>E542/C542*100</f>
        <v>0</v>
      </c>
      <c r="H542" s="1349">
        <f>E542/D542*100</f>
        <v>0</v>
      </c>
      <c r="I542" s="1297">
        <f>E542/J542*100</f>
        <v>0</v>
      </c>
      <c r="J542" s="1520">
        <v>7000</v>
      </c>
    </row>
    <row r="543" spans="1:10" x14ac:dyDescent="0.2">
      <c r="A543" s="1635">
        <v>2141</v>
      </c>
      <c r="B543" s="721" t="s">
        <v>1407</v>
      </c>
      <c r="C543" s="870">
        <v>15000</v>
      </c>
      <c r="D543" s="870">
        <v>15000</v>
      </c>
      <c r="E543" s="1218">
        <v>0</v>
      </c>
      <c r="F543" s="1163"/>
      <c r="G543" s="825">
        <f t="shared" ref="G543" si="179">E543/C543*100</f>
        <v>0</v>
      </c>
      <c r="H543" s="1244">
        <f t="shared" ref="H543" si="180">E543/D543*100</f>
        <v>0</v>
      </c>
      <c r="I543" s="1257">
        <f t="shared" ref="I543" si="181">E543/J543*100</f>
        <v>0</v>
      </c>
      <c r="J543" s="1520">
        <v>7000</v>
      </c>
    </row>
    <row r="544" spans="1:10" s="289" customFormat="1" ht="12.75" customHeight="1" thickBot="1" x14ac:dyDescent="0.3">
      <c r="A544" s="843"/>
      <c r="B544" s="789"/>
      <c r="C544" s="708"/>
      <c r="D544" s="708"/>
      <c r="E544" s="708"/>
      <c r="F544" s="708"/>
      <c r="G544" s="708"/>
      <c r="H544" s="708"/>
      <c r="I544" s="1315"/>
      <c r="J544" s="1492"/>
    </row>
    <row r="545" spans="1:11" s="107" customFormat="1" ht="21" thickBot="1" x14ac:dyDescent="0.35">
      <c r="A545" s="772"/>
      <c r="B545" s="783" t="s">
        <v>614</v>
      </c>
      <c r="C545" s="945">
        <f t="shared" ref="C545:D545" si="182">SUM(C546:C549)</f>
        <v>15625044</v>
      </c>
      <c r="D545" s="945">
        <f t="shared" si="182"/>
        <v>16236396.609999999</v>
      </c>
      <c r="E545" s="1316">
        <v>5723771.7400000002</v>
      </c>
      <c r="F545" s="1287">
        <f>SUM(E546:E549)</f>
        <v>5723771.7399999993</v>
      </c>
      <c r="G545" s="1349">
        <f>E545/C545*100</f>
        <v>36.632035980186686</v>
      </c>
      <c r="H545" s="1349">
        <f>E545/D545*100</f>
        <v>35.252721878416843</v>
      </c>
      <c r="I545" s="1297">
        <f>E545/J545*100</f>
        <v>113.60996025769472</v>
      </c>
      <c r="J545" s="1179">
        <v>5038089.7300000004</v>
      </c>
    </row>
    <row r="546" spans="1:11" s="107" customFormat="1" ht="29.25" customHeight="1" x14ac:dyDescent="0.2">
      <c r="A546" s="872">
        <v>2141</v>
      </c>
      <c r="B546" s="873" t="s">
        <v>1417</v>
      </c>
      <c r="C546" s="870">
        <v>871332</v>
      </c>
      <c r="D546" s="870">
        <v>871332</v>
      </c>
      <c r="E546" s="1218">
        <v>158688.87</v>
      </c>
      <c r="F546" s="1163"/>
      <c r="G546" s="825">
        <f t="shared" ref="G546:G549" si="183">E546/C546*100</f>
        <v>18.21221646857914</v>
      </c>
      <c r="H546" s="1244">
        <f t="shared" ref="H546:H549" si="184">E546/D546*100</f>
        <v>18.21221646857914</v>
      </c>
      <c r="I546" s="1257">
        <f t="shared" ref="I546:I549" si="185">E546/J546*100</f>
        <v>41.289929049455559</v>
      </c>
      <c r="J546" s="1179">
        <v>384328.27</v>
      </c>
    </row>
    <row r="547" spans="1:11" s="107" customFormat="1" ht="79.5" customHeight="1" x14ac:dyDescent="0.2">
      <c r="A547" s="713">
        <v>2143</v>
      </c>
      <c r="B547" s="722" t="s">
        <v>1717</v>
      </c>
      <c r="C547" s="870">
        <v>13609712</v>
      </c>
      <c r="D547" s="870">
        <f>13609712+(34702.89+196649.72)-535000+80000+300000</f>
        <v>13686064.609999999</v>
      </c>
      <c r="E547" s="1218">
        <v>4668119.6399999997</v>
      </c>
      <c r="F547" s="1163"/>
      <c r="G547" s="825">
        <f t="shared" si="183"/>
        <v>34.299914943093576</v>
      </c>
      <c r="H547" s="1244">
        <f t="shared" si="184"/>
        <v>34.108560590815443</v>
      </c>
      <c r="I547" s="1257">
        <f t="shared" si="185"/>
        <v>104.68477031239685</v>
      </c>
      <c r="J547" s="1612">
        <v>4459215.63</v>
      </c>
    </row>
    <row r="548" spans="1:11" s="107" customFormat="1" ht="27.75" customHeight="1" x14ac:dyDescent="0.2">
      <c r="A548" s="713">
        <v>3399</v>
      </c>
      <c r="B548" s="723" t="s">
        <v>1304</v>
      </c>
      <c r="C548" s="870">
        <v>70000</v>
      </c>
      <c r="D548" s="870">
        <v>70000</v>
      </c>
      <c r="E548" s="1218">
        <v>28337.06</v>
      </c>
      <c r="F548" s="1163"/>
      <c r="G548" s="825">
        <f t="shared" si="183"/>
        <v>40.48151428571429</v>
      </c>
      <c r="H548" s="1244">
        <f t="shared" si="184"/>
        <v>40.48151428571429</v>
      </c>
      <c r="I548" s="1257">
        <f t="shared" si="185"/>
        <v>346.84114153663876</v>
      </c>
      <c r="J548" s="1612">
        <v>8170.04</v>
      </c>
    </row>
    <row r="549" spans="1:11" s="107" customFormat="1" ht="29.25" customHeight="1" x14ac:dyDescent="0.2">
      <c r="A549" s="713">
        <v>6223</v>
      </c>
      <c r="B549" s="723" t="s">
        <v>1418</v>
      </c>
      <c r="C549" s="870">
        <v>1074000</v>
      </c>
      <c r="D549" s="870">
        <f>1074000+535000</f>
        <v>1609000</v>
      </c>
      <c r="E549" s="1218">
        <v>868626.17</v>
      </c>
      <c r="F549" s="1163"/>
      <c r="G549" s="825">
        <f t="shared" si="183"/>
        <v>80.87766945996276</v>
      </c>
      <c r="H549" s="1244">
        <f t="shared" si="184"/>
        <v>53.985467371037913</v>
      </c>
      <c r="I549" s="1257">
        <f t="shared" si="185"/>
        <v>466.05419532984411</v>
      </c>
      <c r="J549" s="1612">
        <v>186378.79</v>
      </c>
    </row>
    <row r="550" spans="1:11" s="107" customFormat="1" ht="13.5" thickBot="1" x14ac:dyDescent="0.25">
      <c r="A550" s="730"/>
      <c r="B550" s="769"/>
      <c r="C550" s="708"/>
      <c r="D550" s="708"/>
      <c r="E550" s="708"/>
      <c r="F550" s="708"/>
      <c r="G550" s="708"/>
      <c r="H550" s="708"/>
      <c r="I550" s="1317"/>
      <c r="J550" s="1179"/>
    </row>
    <row r="551" spans="1:11" s="116" customFormat="1" ht="21" thickBot="1" x14ac:dyDescent="0.35">
      <c r="A551" s="836"/>
      <c r="B551" s="797" t="s">
        <v>33</v>
      </c>
      <c r="C551" s="952">
        <f t="shared" ref="C551:D551" si="186">SUM(C552,C553)</f>
        <v>11266280</v>
      </c>
      <c r="D551" s="952">
        <f t="shared" si="186"/>
        <v>11266280</v>
      </c>
      <c r="E551" s="1318">
        <v>5520449.7400000002</v>
      </c>
      <c r="F551" s="1319">
        <f>SUM(E552:E553)</f>
        <v>5520449.7400000002</v>
      </c>
      <c r="G551" s="1349">
        <f>E551/C551*100</f>
        <v>48.999756263824437</v>
      </c>
      <c r="H551" s="1349">
        <f>E551/D551*100</f>
        <v>48.999756263824437</v>
      </c>
      <c r="I551" s="1297">
        <f>E551/J551*100</f>
        <v>105.66471240070632</v>
      </c>
      <c r="J551" s="1520">
        <v>5224497.01</v>
      </c>
      <c r="K551" s="107"/>
    </row>
    <row r="552" spans="1:11" s="116" customFormat="1" ht="24.75" x14ac:dyDescent="0.2">
      <c r="A552" s="713">
        <v>2223</v>
      </c>
      <c r="B552" s="723" t="s">
        <v>1303</v>
      </c>
      <c r="C552" s="706">
        <v>87000</v>
      </c>
      <c r="D552" s="706">
        <v>87000</v>
      </c>
      <c r="E552" s="706">
        <v>84307.3</v>
      </c>
      <c r="F552" s="1294"/>
      <c r="G552" s="825">
        <f t="shared" ref="G552:G554" si="187">E552/C552*100</f>
        <v>96.904942528735631</v>
      </c>
      <c r="H552" s="1244">
        <f t="shared" ref="H552:H554" si="188">E552/D552*100</f>
        <v>96.904942528735631</v>
      </c>
      <c r="I552" s="1257">
        <f t="shared" ref="I552:I557" si="189">E552/J552*100</f>
        <v>105.59331856323861</v>
      </c>
      <c r="J552" s="1520">
        <v>79841.509999999995</v>
      </c>
    </row>
    <row r="553" spans="1:11" s="116" customFormat="1" x14ac:dyDescent="0.2">
      <c r="A553" s="713">
        <v>2292</v>
      </c>
      <c r="B553" s="760" t="s">
        <v>2162</v>
      </c>
      <c r="C553" s="870">
        <f t="shared" ref="C553:D553" si="190">SUM(C554:C558)</f>
        <v>11179280</v>
      </c>
      <c r="D553" s="870">
        <f t="shared" si="190"/>
        <v>11179280</v>
      </c>
      <c r="E553" s="1218">
        <v>5436142.4400000004</v>
      </c>
      <c r="F553" s="1163">
        <f>SUM(E554:E558)</f>
        <v>5436142.4400000004</v>
      </c>
      <c r="G553" s="825">
        <f t="shared" si="187"/>
        <v>48.626945921383133</v>
      </c>
      <c r="H553" s="1244">
        <f t="shared" si="188"/>
        <v>48.626945921383133</v>
      </c>
      <c r="I553" s="1257">
        <f t="shared" si="189"/>
        <v>105.6658203838916</v>
      </c>
      <c r="J553" s="1520">
        <v>5144655.5</v>
      </c>
    </row>
    <row r="554" spans="1:11" s="116" customFormat="1" x14ac:dyDescent="0.2">
      <c r="A554" s="713"/>
      <c r="B554" s="761" t="s">
        <v>623</v>
      </c>
      <c r="C554" s="871">
        <v>1917280</v>
      </c>
      <c r="D554" s="871">
        <v>1917280</v>
      </c>
      <c r="E554" s="1163">
        <v>695003</v>
      </c>
      <c r="F554" s="1163"/>
      <c r="G554" s="1243">
        <f t="shared" si="187"/>
        <v>36.249426270549947</v>
      </c>
      <c r="H554" s="1248">
        <f t="shared" si="188"/>
        <v>36.249426270549947</v>
      </c>
      <c r="I554" s="1258">
        <f t="shared" si="189"/>
        <v>66.885382527400026</v>
      </c>
      <c r="J554" s="1520">
        <v>1039095.5</v>
      </c>
    </row>
    <row r="555" spans="1:11" s="116" customFormat="1" x14ac:dyDescent="0.2">
      <c r="A555" s="713"/>
      <c r="B555" s="761" t="s">
        <v>1370</v>
      </c>
      <c r="C555" s="871">
        <v>8500000</v>
      </c>
      <c r="D555" s="871">
        <v>8500000</v>
      </c>
      <c r="E555" s="1163">
        <v>4175323</v>
      </c>
      <c r="F555" s="1163"/>
      <c r="G555" s="1243">
        <f t="shared" ref="G555:G558" si="191">E555/C555*100</f>
        <v>49.121447058823534</v>
      </c>
      <c r="H555" s="1248">
        <f t="shared" ref="H555:H558" si="192">E555/D555*100</f>
        <v>49.121447058823534</v>
      </c>
      <c r="I555" s="1258">
        <f t="shared" si="189"/>
        <v>112.73992169569327</v>
      </c>
      <c r="J555" s="1520">
        <v>3703500</v>
      </c>
    </row>
    <row r="556" spans="1:11" s="426" customFormat="1" x14ac:dyDescent="0.2">
      <c r="A556" s="713"/>
      <c r="B556" s="763" t="s">
        <v>1424</v>
      </c>
      <c r="C556" s="871">
        <v>350000</v>
      </c>
      <c r="D556" s="871">
        <v>350000</v>
      </c>
      <c r="E556" s="1163">
        <v>298897</v>
      </c>
      <c r="F556" s="1163"/>
      <c r="G556" s="1243">
        <f t="shared" si="191"/>
        <v>85.399142857142863</v>
      </c>
      <c r="H556" s="1248">
        <f t="shared" si="192"/>
        <v>85.399142857142863</v>
      </c>
      <c r="I556" s="1258">
        <f t="shared" si="189"/>
        <v>344.91564541069494</v>
      </c>
      <c r="J556" s="96">
        <v>86658</v>
      </c>
    </row>
    <row r="557" spans="1:11" s="116" customFormat="1" x14ac:dyDescent="0.2">
      <c r="A557" s="700"/>
      <c r="B557" s="798" t="s">
        <v>1062</v>
      </c>
      <c r="C557" s="707">
        <v>400000</v>
      </c>
      <c r="D557" s="707">
        <v>400000</v>
      </c>
      <c r="E557" s="707">
        <v>263637</v>
      </c>
      <c r="F557" s="707"/>
      <c r="G557" s="1243">
        <f t="shared" si="191"/>
        <v>65.90925</v>
      </c>
      <c r="H557" s="1248">
        <f t="shared" si="192"/>
        <v>65.90925</v>
      </c>
      <c r="I557" s="1258">
        <f t="shared" si="189"/>
        <v>83.587611999923908</v>
      </c>
      <c r="J557" s="1520">
        <v>315402</v>
      </c>
    </row>
    <row r="558" spans="1:11" s="116" customFormat="1" x14ac:dyDescent="0.2">
      <c r="A558" s="1598"/>
      <c r="B558" s="799" t="s">
        <v>1063</v>
      </c>
      <c r="C558" s="735">
        <v>12000</v>
      </c>
      <c r="D558" s="735">
        <v>12000</v>
      </c>
      <c r="E558" s="735">
        <v>3282.44</v>
      </c>
      <c r="F558" s="735"/>
      <c r="G558" s="1243">
        <f t="shared" si="191"/>
        <v>27.353666666666665</v>
      </c>
      <c r="H558" s="1248">
        <f t="shared" si="192"/>
        <v>27.353666666666665</v>
      </c>
      <c r="I558" s="1258">
        <v>0</v>
      </c>
      <c r="J558" s="1520">
        <v>0</v>
      </c>
    </row>
    <row r="559" spans="1:11" s="116" customFormat="1" ht="13.5" thickBot="1" x14ac:dyDescent="0.25">
      <c r="A559" s="1317"/>
      <c r="B559" s="799"/>
      <c r="C559" s="711"/>
      <c r="D559" s="711"/>
      <c r="E559" s="711"/>
      <c r="F559" s="711"/>
      <c r="G559" s="711"/>
      <c r="H559" s="711"/>
      <c r="I559" s="1320"/>
      <c r="J559" s="1520"/>
    </row>
    <row r="560" spans="1:11" s="116" customFormat="1" ht="21" thickBot="1" x14ac:dyDescent="0.35">
      <c r="A560" s="772"/>
      <c r="B560" s="783" t="s">
        <v>34</v>
      </c>
      <c r="C560" s="703">
        <f t="shared" ref="C560:D560" si="193">SUM(C561:C562)</f>
        <v>162000</v>
      </c>
      <c r="D560" s="703">
        <f t="shared" si="193"/>
        <v>162000</v>
      </c>
      <c r="E560" s="1321">
        <v>6830.06</v>
      </c>
      <c r="F560" s="1322">
        <f>SUM(E561:E562)</f>
        <v>6830.06</v>
      </c>
      <c r="G560" s="1349">
        <f>E560/C560*100</f>
        <v>4.2160864197530863</v>
      </c>
      <c r="H560" s="1349">
        <f>E560/D560*100</f>
        <v>4.2160864197530863</v>
      </c>
      <c r="I560" s="1297">
        <f>E560/J560*100</f>
        <v>13.849582285667939</v>
      </c>
      <c r="J560" s="1520">
        <v>49316</v>
      </c>
    </row>
    <row r="561" spans="1:49" s="116" customFormat="1" ht="12.75" customHeight="1" x14ac:dyDescent="0.2">
      <c r="A561" s="713">
        <v>2223</v>
      </c>
      <c r="B561" s="760" t="s">
        <v>1371</v>
      </c>
      <c r="C561" s="870">
        <v>150000</v>
      </c>
      <c r="D561" s="870">
        <v>150000</v>
      </c>
      <c r="E561" s="1218">
        <v>6396.06</v>
      </c>
      <c r="F561" s="1163"/>
      <c r="G561" s="825">
        <f>E561/D488*100</f>
        <v>3.2632959183673468E-2</v>
      </c>
      <c r="H561" s="1244">
        <f t="shared" ref="H561:H562" si="194">E561/D561*100</f>
        <v>4.2640400000000005</v>
      </c>
      <c r="I561" s="1257">
        <f t="shared" ref="I561:I562" si="195">E561/J561*100</f>
        <v>13.515753439131078</v>
      </c>
      <c r="J561" s="1520">
        <v>47323</v>
      </c>
    </row>
    <row r="562" spans="1:49" s="116" customFormat="1" x14ac:dyDescent="0.2">
      <c r="A562" s="713">
        <v>6171</v>
      </c>
      <c r="B562" s="768" t="s">
        <v>1372</v>
      </c>
      <c r="C562" s="870">
        <v>12000</v>
      </c>
      <c r="D562" s="870">
        <v>12000</v>
      </c>
      <c r="E562" s="1218">
        <v>434</v>
      </c>
      <c r="F562" s="1163"/>
      <c r="G562" s="825">
        <f>E562/D489*100</f>
        <v>4.34</v>
      </c>
      <c r="H562" s="1244">
        <f t="shared" si="194"/>
        <v>3.6166666666666667</v>
      </c>
      <c r="I562" s="1257">
        <f t="shared" si="195"/>
        <v>20.825335892514396</v>
      </c>
      <c r="J562" s="1520">
        <v>2084</v>
      </c>
    </row>
    <row r="563" spans="1:49" s="116" customFormat="1" ht="13.5" thickBot="1" x14ac:dyDescent="0.25">
      <c r="A563" s="781"/>
      <c r="B563" s="815"/>
      <c r="C563" s="708"/>
      <c r="D563" s="708"/>
      <c r="E563" s="876"/>
      <c r="F563" s="876"/>
      <c r="G563" s="876"/>
      <c r="H563" s="876"/>
      <c r="I563" s="1265"/>
      <c r="J563" s="1520"/>
    </row>
    <row r="564" spans="1:49" s="116" customFormat="1" ht="21" thickBot="1" x14ac:dyDescent="0.35">
      <c r="A564" s="836"/>
      <c r="B564" s="1190" t="s">
        <v>630</v>
      </c>
      <c r="C564" s="953">
        <f>SUM(C565:C566)</f>
        <v>1000000</v>
      </c>
      <c r="D564" s="953">
        <f>SUM(D565:D566)</f>
        <v>1224000</v>
      </c>
      <c r="E564" s="1321">
        <v>355497.35</v>
      </c>
      <c r="F564" s="1323"/>
      <c r="G564" s="1349">
        <f>E564/C564*100</f>
        <v>35.549734999999998</v>
      </c>
      <c r="H564" s="1349">
        <f>E564/D564*100</f>
        <v>29.043901143790844</v>
      </c>
      <c r="I564" s="1297">
        <f>E564/J564*100</f>
        <v>35.951942321449287</v>
      </c>
      <c r="J564" s="1179">
        <v>988812.64</v>
      </c>
      <c r="K564" s="107"/>
      <c r="L564" s="107"/>
      <c r="M564" s="107"/>
      <c r="N564" s="107"/>
      <c r="O564" s="107"/>
      <c r="P564" s="107"/>
      <c r="Q564" s="107"/>
      <c r="R564" s="107"/>
      <c r="S564" s="107"/>
      <c r="T564" s="107"/>
      <c r="U564" s="107"/>
      <c r="V564" s="107"/>
      <c r="W564" s="107"/>
      <c r="X564" s="107"/>
      <c r="Y564" s="107"/>
      <c r="Z564" s="107"/>
      <c r="AA564" s="107"/>
      <c r="AB564" s="107"/>
      <c r="AC564" s="107"/>
      <c r="AD564" s="107"/>
      <c r="AE564" s="107"/>
      <c r="AF564" s="107"/>
      <c r="AG564" s="107"/>
      <c r="AH564" s="107"/>
      <c r="AI564" s="107"/>
      <c r="AJ564" s="107"/>
      <c r="AK564" s="107"/>
      <c r="AL564" s="107"/>
      <c r="AM564" s="107"/>
      <c r="AN564" s="107"/>
      <c r="AO564" s="107"/>
      <c r="AP564" s="107"/>
      <c r="AQ564" s="107"/>
      <c r="AR564" s="107"/>
      <c r="AS564" s="107"/>
      <c r="AT564" s="107"/>
      <c r="AU564" s="107"/>
      <c r="AV564" s="107"/>
      <c r="AW564" s="107"/>
    </row>
    <row r="565" spans="1:49" s="116" customFormat="1" x14ac:dyDescent="0.2">
      <c r="A565" s="910">
        <v>6115</v>
      </c>
      <c r="B565" s="833" t="s">
        <v>631</v>
      </c>
      <c r="C565" s="701">
        <v>500000</v>
      </c>
      <c r="D565" s="701">
        <v>500000</v>
      </c>
      <c r="E565" s="1218">
        <v>355497.35</v>
      </c>
      <c r="F565" s="1163"/>
      <c r="G565" s="825">
        <f t="shared" ref="G565" si="196">E565/D492*100</f>
        <v>71.099469999999997</v>
      </c>
      <c r="H565" s="1244">
        <f t="shared" ref="H565:H566" si="197">E565/D565*100</f>
        <v>71.099469999999997</v>
      </c>
      <c r="I565" s="1257">
        <v>0</v>
      </c>
      <c r="J565" s="1179">
        <v>0</v>
      </c>
      <c r="K565" s="107"/>
      <c r="L565" s="107"/>
      <c r="M565" s="107"/>
      <c r="N565" s="107"/>
      <c r="O565" s="107"/>
      <c r="P565" s="107"/>
      <c r="Q565" s="107"/>
      <c r="R565" s="107"/>
      <c r="S565" s="107"/>
      <c r="T565" s="107"/>
      <c r="U565" s="107"/>
      <c r="V565" s="107"/>
      <c r="W565" s="107"/>
      <c r="X565" s="107"/>
      <c r="Y565" s="107"/>
      <c r="Z565" s="107"/>
      <c r="AA565" s="107"/>
      <c r="AB565" s="107"/>
      <c r="AC565" s="107"/>
      <c r="AD565" s="107"/>
      <c r="AE565" s="107"/>
      <c r="AF565" s="107"/>
      <c r="AG565" s="107"/>
      <c r="AH565" s="107"/>
      <c r="AI565" s="107"/>
      <c r="AJ565" s="107"/>
      <c r="AK565" s="107"/>
      <c r="AL565" s="107"/>
      <c r="AM565" s="107"/>
      <c r="AN565" s="107"/>
      <c r="AO565" s="107"/>
      <c r="AP565" s="107"/>
      <c r="AQ565" s="107"/>
      <c r="AR565" s="107"/>
      <c r="AS565" s="107"/>
      <c r="AT565" s="107"/>
      <c r="AU565" s="107"/>
      <c r="AV565" s="107"/>
      <c r="AW565" s="107"/>
    </row>
    <row r="566" spans="1:49" s="116" customFormat="1" x14ac:dyDescent="0.2">
      <c r="A566" s="1599">
        <v>6117</v>
      </c>
      <c r="B566" s="713" t="s">
        <v>1427</v>
      </c>
      <c r="C566" s="701">
        <v>500000</v>
      </c>
      <c r="D566" s="701">
        <f>500000+(724000-500000)</f>
        <v>724000</v>
      </c>
      <c r="E566" s="1218">
        <v>0</v>
      </c>
      <c r="F566" s="1163"/>
      <c r="G566" s="825">
        <v>0</v>
      </c>
      <c r="H566" s="1244">
        <f t="shared" si="197"/>
        <v>0</v>
      </c>
      <c r="I566" s="1257">
        <v>0</v>
      </c>
      <c r="J566" s="1179">
        <v>0</v>
      </c>
      <c r="K566" s="107"/>
      <c r="L566" s="107"/>
      <c r="M566" s="107"/>
      <c r="N566" s="107"/>
      <c r="O566" s="107"/>
      <c r="P566" s="107"/>
      <c r="Q566" s="107"/>
      <c r="R566" s="107"/>
      <c r="S566" s="107"/>
      <c r="T566" s="107"/>
      <c r="U566" s="107"/>
      <c r="V566" s="107"/>
      <c r="W566" s="107"/>
      <c r="X566" s="107"/>
      <c r="Y566" s="107"/>
      <c r="Z566" s="107"/>
      <c r="AA566" s="107"/>
      <c r="AB566" s="107"/>
      <c r="AC566" s="107"/>
      <c r="AD566" s="107"/>
      <c r="AE566" s="107"/>
      <c r="AF566" s="107"/>
      <c r="AG566" s="107"/>
      <c r="AH566" s="107"/>
      <c r="AI566" s="107"/>
      <c r="AJ566" s="107"/>
      <c r="AK566" s="107"/>
      <c r="AL566" s="107"/>
      <c r="AM566" s="107"/>
      <c r="AN566" s="107"/>
      <c r="AO566" s="107"/>
      <c r="AP566" s="107"/>
      <c r="AQ566" s="107"/>
      <c r="AR566" s="107"/>
      <c r="AS566" s="107"/>
      <c r="AT566" s="107"/>
      <c r="AU566" s="107"/>
      <c r="AV566" s="107"/>
      <c r="AW566" s="107"/>
    </row>
    <row r="567" spans="1:49" s="116" customFormat="1" ht="13.5" thickBot="1" x14ac:dyDescent="0.25">
      <c r="A567" s="911"/>
      <c r="B567" s="912"/>
      <c r="C567" s="718"/>
      <c r="D567" s="718"/>
      <c r="E567" s="1326"/>
      <c r="F567" s="1274"/>
      <c r="G567" s="1326"/>
      <c r="H567" s="1326"/>
      <c r="I567" s="1327"/>
      <c r="J567" s="1179"/>
      <c r="K567" s="107"/>
      <c r="L567" s="107"/>
      <c r="M567" s="107"/>
      <c r="N567" s="107"/>
      <c r="O567" s="107"/>
      <c r="P567" s="107"/>
      <c r="Q567" s="107"/>
      <c r="R567" s="107"/>
      <c r="S567" s="107"/>
      <c r="T567" s="107"/>
      <c r="U567" s="107"/>
      <c r="V567" s="107"/>
      <c r="W567" s="107"/>
      <c r="X567" s="107"/>
      <c r="Y567" s="107"/>
      <c r="Z567" s="107"/>
      <c r="AA567" s="107"/>
      <c r="AB567" s="107"/>
      <c r="AC567" s="107"/>
      <c r="AD567" s="107"/>
      <c r="AE567" s="107"/>
      <c r="AF567" s="107"/>
      <c r="AG567" s="107"/>
      <c r="AH567" s="107"/>
      <c r="AI567" s="107"/>
      <c r="AJ567" s="107"/>
      <c r="AK567" s="107"/>
      <c r="AL567" s="107"/>
      <c r="AM567" s="107"/>
      <c r="AN567" s="107"/>
      <c r="AO567" s="107"/>
      <c r="AP567" s="107"/>
      <c r="AQ567" s="107"/>
      <c r="AR567" s="107"/>
      <c r="AS567" s="107"/>
      <c r="AT567" s="107"/>
      <c r="AU567" s="107"/>
      <c r="AV567" s="107"/>
      <c r="AW567" s="107"/>
    </row>
    <row r="568" spans="1:49" customFormat="1" ht="21" thickBot="1" x14ac:dyDescent="0.35">
      <c r="A568" s="1125"/>
      <c r="B568" s="1126" t="s">
        <v>36</v>
      </c>
      <c r="C568" s="1137">
        <f t="shared" ref="C568:D568" si="198">C569+C613+C640</f>
        <v>112714300</v>
      </c>
      <c r="D568" s="1137">
        <f t="shared" si="198"/>
        <v>131296914.09999999</v>
      </c>
      <c r="E568" s="1321">
        <v>73172442.230000004</v>
      </c>
      <c r="F568" s="1322">
        <f>SUM(E569,E613,E640)</f>
        <v>73172442.229999989</v>
      </c>
      <c r="G568" s="1349">
        <f>E568/C568*100</f>
        <v>64.918508325917827</v>
      </c>
      <c r="H568" s="1349">
        <f>E568/D568*100</f>
        <v>55.730511818632309</v>
      </c>
      <c r="I568" s="1297">
        <f>E568/J568*100</f>
        <v>105.29251333453517</v>
      </c>
      <c r="J568" s="96">
        <v>69494439.739999995</v>
      </c>
    </row>
    <row r="569" spans="1:49" customFormat="1" ht="16.5" thickBot="1" x14ac:dyDescent="0.3">
      <c r="A569" s="1127"/>
      <c r="B569" s="1128" t="s">
        <v>633</v>
      </c>
      <c r="C569" s="1129">
        <f t="shared" ref="C569:D569" si="199">SUM(C570,C586,C611,C606)</f>
        <v>44001000</v>
      </c>
      <c r="D569" s="1129">
        <f t="shared" si="199"/>
        <v>56830062.099999994</v>
      </c>
      <c r="E569" s="1328">
        <v>31311825.129999999</v>
      </c>
      <c r="F569" s="1329">
        <f>SUM(E570,E586,E606,E611)</f>
        <v>31311825.129999999</v>
      </c>
      <c r="G569" s="1237">
        <f>E569/C569*100</f>
        <v>71.161621622235856</v>
      </c>
      <c r="H569" s="1237">
        <f>E569/D569*100</f>
        <v>55.097291772975211</v>
      </c>
      <c r="I569" s="1253">
        <f t="shared" ref="I569:I611" si="200">E569/J569*100</f>
        <v>105.3557120272405</v>
      </c>
      <c r="J569" s="96">
        <v>29720102.050000001</v>
      </c>
    </row>
    <row r="570" spans="1:49" customFormat="1" x14ac:dyDescent="0.2">
      <c r="A570" s="1130">
        <v>3111</v>
      </c>
      <c r="B570" s="1131" t="s">
        <v>2163</v>
      </c>
      <c r="C570" s="844">
        <f t="shared" ref="C570:D570" si="201">SUM(C571:C573)</f>
        <v>9931000</v>
      </c>
      <c r="D570" s="844">
        <f t="shared" si="201"/>
        <v>10154944</v>
      </c>
      <c r="E570" s="844">
        <v>4411813</v>
      </c>
      <c r="F570" s="1330">
        <f>SUM(E571:E573)</f>
        <v>4411813</v>
      </c>
      <c r="G570" s="825">
        <f t="shared" ref="G570:G581" si="202">E570/C570*100</f>
        <v>44.424660155069986</v>
      </c>
      <c r="H570" s="1244">
        <f t="shared" ref="H570:H581" si="203">E570/D570*100</f>
        <v>43.444976161365339</v>
      </c>
      <c r="I570" s="1257">
        <f t="shared" si="200"/>
        <v>88.250304506460381</v>
      </c>
      <c r="J570" s="96">
        <v>4999204.28</v>
      </c>
      <c r="K570" s="588"/>
    </row>
    <row r="571" spans="1:49" customFormat="1" x14ac:dyDescent="0.2">
      <c r="A571" s="753"/>
      <c r="B571" s="930" t="s">
        <v>635</v>
      </c>
      <c r="C571" s="848">
        <f t="shared" ref="C571:D571" si="204">+C575+C579+C583</f>
        <v>8544000</v>
      </c>
      <c r="D571" s="848">
        <f t="shared" si="204"/>
        <v>8767944</v>
      </c>
      <c r="E571" s="744">
        <v>4387070</v>
      </c>
      <c r="F571" s="744">
        <f>SUM(E575,E579,E583)</f>
        <v>4387070</v>
      </c>
      <c r="G571" s="1243">
        <f t="shared" si="202"/>
        <v>51.346793071161045</v>
      </c>
      <c r="H571" s="1248">
        <f t="shared" si="203"/>
        <v>50.035333254865677</v>
      </c>
      <c r="I571" s="1258">
        <f t="shared" si="200"/>
        <v>102.14365541327123</v>
      </c>
      <c r="J571" s="96">
        <v>4295000</v>
      </c>
    </row>
    <row r="572" spans="1:49" customFormat="1" x14ac:dyDescent="0.2">
      <c r="A572" s="753"/>
      <c r="B572" s="930" t="s">
        <v>1064</v>
      </c>
      <c r="C572" s="848">
        <f>+C576+C580+C584</f>
        <v>937000</v>
      </c>
      <c r="D572" s="848">
        <f>+D576+D580+D584</f>
        <v>937000</v>
      </c>
      <c r="E572" s="744">
        <v>24743</v>
      </c>
      <c r="F572" s="744">
        <f>SUM(E576,E580,E584)</f>
        <v>24743</v>
      </c>
      <c r="G572" s="1243">
        <f t="shared" si="202"/>
        <v>2.6406616862326575</v>
      </c>
      <c r="H572" s="1248">
        <f t="shared" si="203"/>
        <v>2.6406616862326575</v>
      </c>
      <c r="I572" s="1258">
        <f t="shared" si="200"/>
        <v>3.5136111356778459</v>
      </c>
      <c r="J572" s="96">
        <v>704204.28</v>
      </c>
    </row>
    <row r="573" spans="1:49" customFormat="1" x14ac:dyDescent="0.2">
      <c r="A573" s="753"/>
      <c r="B573" s="930" t="s">
        <v>1065</v>
      </c>
      <c r="C573" s="848">
        <f t="shared" ref="C573:D573" si="205">+C577+C581+C585</f>
        <v>450000</v>
      </c>
      <c r="D573" s="848">
        <f t="shared" si="205"/>
        <v>450000</v>
      </c>
      <c r="E573" s="744">
        <v>0</v>
      </c>
      <c r="F573" s="744">
        <f>SUM(E577,E581,E584:E585)</f>
        <v>6600</v>
      </c>
      <c r="G573" s="1243">
        <f t="shared" si="202"/>
        <v>0</v>
      </c>
      <c r="H573" s="1248">
        <f t="shared" si="203"/>
        <v>0</v>
      </c>
      <c r="I573" s="1258">
        <v>0</v>
      </c>
      <c r="J573" s="96">
        <v>0</v>
      </c>
    </row>
    <row r="574" spans="1:49" customFormat="1" x14ac:dyDescent="0.2">
      <c r="A574" s="753"/>
      <c r="B574" s="819" t="s">
        <v>1373</v>
      </c>
      <c r="C574" s="845">
        <f t="shared" ref="C574:D574" si="206">C575+C576+C577</f>
        <v>2687000</v>
      </c>
      <c r="D574" s="845">
        <f t="shared" si="206"/>
        <v>2687000</v>
      </c>
      <c r="E574" s="845">
        <v>1323000</v>
      </c>
      <c r="F574" s="744">
        <f>SUM(E575:E577)</f>
        <v>1323000</v>
      </c>
      <c r="G574" s="825">
        <f t="shared" si="202"/>
        <v>49.237067361369554</v>
      </c>
      <c r="H574" s="1244">
        <f t="shared" si="203"/>
        <v>49.237067361369554</v>
      </c>
      <c r="I574" s="1257">
        <f t="shared" si="200"/>
        <v>63.325545168804652</v>
      </c>
      <c r="J574" s="96">
        <v>2089204.28</v>
      </c>
    </row>
    <row r="575" spans="1:49" customFormat="1" x14ac:dyDescent="0.2">
      <c r="A575" s="753"/>
      <c r="B575" s="819" t="s">
        <v>1866</v>
      </c>
      <c r="C575" s="902">
        <v>2673000</v>
      </c>
      <c r="D575" s="902">
        <v>2673000</v>
      </c>
      <c r="E575" s="744">
        <v>1323000</v>
      </c>
      <c r="F575" s="744"/>
      <c r="G575" s="1243">
        <f t="shared" si="202"/>
        <v>49.494949494949495</v>
      </c>
      <c r="H575" s="1248">
        <f t="shared" si="203"/>
        <v>49.494949494949495</v>
      </c>
      <c r="I575" s="1258">
        <f t="shared" si="200"/>
        <v>78.656361474435201</v>
      </c>
      <c r="J575" s="96">
        <v>1682000</v>
      </c>
    </row>
    <row r="576" spans="1:49" customFormat="1" ht="24.75" x14ac:dyDescent="0.2">
      <c r="A576" s="753" t="s">
        <v>640</v>
      </c>
      <c r="B576" s="819" t="s">
        <v>1538</v>
      </c>
      <c r="C576" s="902">
        <v>14000</v>
      </c>
      <c r="D576" s="902">
        <v>14000</v>
      </c>
      <c r="E576" s="1331">
        <v>0</v>
      </c>
      <c r="F576" s="1331"/>
      <c r="G576" s="1243">
        <f t="shared" si="202"/>
        <v>0</v>
      </c>
      <c r="H576" s="1248">
        <f t="shared" si="203"/>
        <v>0</v>
      </c>
      <c r="I576" s="1258">
        <f t="shared" si="200"/>
        <v>0</v>
      </c>
      <c r="J576" s="118">
        <v>704204.28</v>
      </c>
    </row>
    <row r="577" spans="1:10" customFormat="1" x14ac:dyDescent="0.2">
      <c r="A577" s="753"/>
      <c r="B577" s="819" t="s">
        <v>1539</v>
      </c>
      <c r="C577" s="902">
        <v>0</v>
      </c>
      <c r="D577" s="902">
        <v>0</v>
      </c>
      <c r="E577" s="1331">
        <v>0</v>
      </c>
      <c r="F577" s="1331"/>
      <c r="G577" s="1243">
        <v>0</v>
      </c>
      <c r="H577" s="1248">
        <v>0</v>
      </c>
      <c r="I577" s="1258">
        <v>0</v>
      </c>
      <c r="J577" s="96">
        <v>0</v>
      </c>
    </row>
    <row r="578" spans="1:10" customFormat="1" ht="15" x14ac:dyDescent="0.2">
      <c r="A578" s="753"/>
      <c r="B578" s="846" t="s">
        <v>1540</v>
      </c>
      <c r="C578" s="854">
        <f t="shared" ref="C578:D578" si="207">SUM(C579:C581)</f>
        <v>4000000</v>
      </c>
      <c r="D578" s="854">
        <f t="shared" si="207"/>
        <v>4000000</v>
      </c>
      <c r="E578" s="1334">
        <v>1590143</v>
      </c>
      <c r="F578" s="1331">
        <f>SUM(E579:E581)</f>
        <v>1590143</v>
      </c>
      <c r="G578" s="825">
        <f t="shared" si="202"/>
        <v>39.753575000000005</v>
      </c>
      <c r="H578" s="1244">
        <f t="shared" si="203"/>
        <v>39.753575000000005</v>
      </c>
      <c r="I578" s="1257">
        <f t="shared" si="200"/>
        <v>100.00899371069183</v>
      </c>
      <c r="J578" s="96">
        <v>1590000</v>
      </c>
    </row>
    <row r="579" spans="1:10" customFormat="1" x14ac:dyDescent="0.2">
      <c r="A579" s="753"/>
      <c r="B579" s="819" t="s">
        <v>1867</v>
      </c>
      <c r="C579" s="902">
        <f>70000+3075000</f>
        <v>3145000</v>
      </c>
      <c r="D579" s="902">
        <f>70000+3075000</f>
        <v>3145000</v>
      </c>
      <c r="E579" s="744">
        <v>1572000</v>
      </c>
      <c r="F579" s="744"/>
      <c r="G579" s="1243">
        <f t="shared" si="202"/>
        <v>49.984101748807632</v>
      </c>
      <c r="H579" s="1248">
        <f t="shared" si="203"/>
        <v>49.984101748807632</v>
      </c>
      <c r="I579" s="1258">
        <f t="shared" si="200"/>
        <v>98.867924528301884</v>
      </c>
      <c r="J579" s="96">
        <v>1590000</v>
      </c>
    </row>
    <row r="580" spans="1:10" customFormat="1" ht="26.25" customHeight="1" x14ac:dyDescent="0.2">
      <c r="A580" s="753"/>
      <c r="B580" s="819" t="s">
        <v>1423</v>
      </c>
      <c r="C580" s="902">
        <v>455000</v>
      </c>
      <c r="D580" s="902">
        <v>455000</v>
      </c>
      <c r="E580" s="744">
        <v>18143</v>
      </c>
      <c r="F580" s="744"/>
      <c r="G580" s="1243">
        <f t="shared" si="202"/>
        <v>3.9874725274725278</v>
      </c>
      <c r="H580" s="1248">
        <f t="shared" si="203"/>
        <v>3.9874725274725278</v>
      </c>
      <c r="I580" s="1258">
        <v>0</v>
      </c>
      <c r="J580" s="118">
        <v>0</v>
      </c>
    </row>
    <row r="581" spans="1:10" customFormat="1" x14ac:dyDescent="0.2">
      <c r="A581" s="753"/>
      <c r="B581" s="819" t="s">
        <v>1541</v>
      </c>
      <c r="C581" s="902">
        <v>400000</v>
      </c>
      <c r="D581" s="902">
        <v>400000</v>
      </c>
      <c r="E581" s="1331">
        <v>0</v>
      </c>
      <c r="F581" s="1331"/>
      <c r="G581" s="1243">
        <f t="shared" si="202"/>
        <v>0</v>
      </c>
      <c r="H581" s="1248">
        <f t="shared" si="203"/>
        <v>0</v>
      </c>
      <c r="I581" s="1258">
        <v>0</v>
      </c>
      <c r="J581" s="96">
        <v>0</v>
      </c>
    </row>
    <row r="582" spans="1:10" customFormat="1" x14ac:dyDescent="0.2">
      <c r="A582" s="753"/>
      <c r="B582" s="819" t="s">
        <v>1374</v>
      </c>
      <c r="C582" s="854">
        <f>SUM(C583:C585)</f>
        <v>3244000</v>
      </c>
      <c r="D582" s="854">
        <f>SUM(D583:D585)</f>
        <v>3467944</v>
      </c>
      <c r="E582" s="1334">
        <v>1498670</v>
      </c>
      <c r="F582" s="1331">
        <f>SUM(E583:E585)</f>
        <v>1498670</v>
      </c>
      <c r="G582" s="825">
        <f t="shared" ref="G582" si="208">E582/C582*100</f>
        <v>46.198212083847103</v>
      </c>
      <c r="H582" s="1244">
        <f t="shared" ref="H582" si="209">E582/D582*100</f>
        <v>43.214942340476085</v>
      </c>
      <c r="I582" s="1257">
        <f t="shared" si="200"/>
        <v>113.53560606060607</v>
      </c>
      <c r="J582" s="96">
        <v>1320000</v>
      </c>
    </row>
    <row r="583" spans="1:10" customFormat="1" x14ac:dyDescent="0.2">
      <c r="A583" s="753"/>
      <c r="B583" s="819" t="s">
        <v>1868</v>
      </c>
      <c r="C583" s="902">
        <v>2726000</v>
      </c>
      <c r="D583" s="902">
        <f>2726000+192228+(3419.6+30776.4)-1284-1196</f>
        <v>2949944</v>
      </c>
      <c r="E583" s="1331">
        <v>1492070</v>
      </c>
      <c r="F583" s="1331"/>
      <c r="G583" s="1243">
        <f t="shared" ref="G583:G611" si="210">E583/C583*100</f>
        <v>54.734776228906824</v>
      </c>
      <c r="H583" s="1248">
        <f t="shared" ref="H583:H611" si="211">E583/D583*100</f>
        <v>50.579604222995421</v>
      </c>
      <c r="I583" s="1258">
        <f t="shared" si="200"/>
        <v>113.03560606060606</v>
      </c>
      <c r="J583" s="96">
        <v>1320000</v>
      </c>
    </row>
    <row r="584" spans="1:10" customFormat="1" ht="24.75" x14ac:dyDescent="0.2">
      <c r="A584" s="753"/>
      <c r="B584" s="819" t="s">
        <v>1542</v>
      </c>
      <c r="C584" s="902">
        <v>468000</v>
      </c>
      <c r="D584" s="902">
        <v>468000</v>
      </c>
      <c r="E584" s="1331">
        <v>6600</v>
      </c>
      <c r="F584" s="1331"/>
      <c r="G584" s="1243">
        <f t="shared" si="210"/>
        <v>1.4102564102564104</v>
      </c>
      <c r="H584" s="1248">
        <f t="shared" si="211"/>
        <v>1.4102564102564104</v>
      </c>
      <c r="I584" s="1258">
        <v>0</v>
      </c>
      <c r="J584" s="118">
        <v>0</v>
      </c>
    </row>
    <row r="585" spans="1:10" customFormat="1" x14ac:dyDescent="0.2">
      <c r="A585" s="753"/>
      <c r="B585" s="819" t="s">
        <v>1543</v>
      </c>
      <c r="C585" s="902">
        <v>50000</v>
      </c>
      <c r="D585" s="902">
        <v>50000</v>
      </c>
      <c r="E585" s="744">
        <v>0</v>
      </c>
      <c r="F585" s="744"/>
      <c r="G585" s="1243">
        <f t="shared" si="210"/>
        <v>0</v>
      </c>
      <c r="H585" s="1248">
        <f t="shared" si="211"/>
        <v>0</v>
      </c>
      <c r="I585" s="1258">
        <v>0</v>
      </c>
      <c r="J585" s="96">
        <v>0</v>
      </c>
    </row>
    <row r="586" spans="1:10" customFormat="1" x14ac:dyDescent="0.2">
      <c r="A586" s="834">
        <v>3113</v>
      </c>
      <c r="B586" s="847" t="s">
        <v>650</v>
      </c>
      <c r="C586" s="854">
        <f>SUM(C587:C590)</f>
        <v>31532000</v>
      </c>
      <c r="D586" s="854">
        <f>SUM(D587:D590)</f>
        <v>43792608.099999994</v>
      </c>
      <c r="E586" s="1334">
        <v>25258954.129999999</v>
      </c>
      <c r="F586" s="1331">
        <f>SUM(E587:E590)</f>
        <v>25258954.129999999</v>
      </c>
      <c r="G586" s="825">
        <f t="shared" si="210"/>
        <v>80.105778669288341</v>
      </c>
      <c r="H586" s="1244">
        <f t="shared" si="211"/>
        <v>57.678579161856312</v>
      </c>
      <c r="I586" s="1257">
        <f t="shared" si="200"/>
        <v>121.79982267477885</v>
      </c>
      <c r="J586" s="96">
        <v>20738087.77</v>
      </c>
    </row>
    <row r="587" spans="1:10" customFormat="1" x14ac:dyDescent="0.2">
      <c r="A587" s="834"/>
      <c r="B587" s="819" t="s">
        <v>651</v>
      </c>
      <c r="C587" s="902">
        <v>548000</v>
      </c>
      <c r="D587" s="902">
        <f>548000</f>
        <v>548000</v>
      </c>
      <c r="E587" s="1331">
        <v>187729</v>
      </c>
      <c r="F587" s="1331"/>
      <c r="G587" s="1243">
        <f t="shared" si="210"/>
        <v>34.25711678832117</v>
      </c>
      <c r="H587" s="1248">
        <f t="shared" si="211"/>
        <v>34.25711678832117</v>
      </c>
      <c r="I587" s="1258">
        <f t="shared" si="200"/>
        <v>603.96036418621111</v>
      </c>
      <c r="J587" s="96">
        <v>31083</v>
      </c>
    </row>
    <row r="588" spans="1:10" customFormat="1" x14ac:dyDescent="0.2">
      <c r="A588" s="753"/>
      <c r="B588" s="819" t="s">
        <v>652</v>
      </c>
      <c r="C588" s="848">
        <f t="shared" ref="C588:D588" si="212">+C592+C596+C599+C603</f>
        <v>26899000</v>
      </c>
      <c r="D588" s="848">
        <f t="shared" si="212"/>
        <v>32178301.050000001</v>
      </c>
      <c r="E588" s="1331">
        <v>18711464.079999998</v>
      </c>
      <c r="F588" s="1331">
        <f>SUM(E592,E596,E599,E603)</f>
        <v>18711464.079999998</v>
      </c>
      <c r="G588" s="1243">
        <f t="shared" si="210"/>
        <v>69.561931967731141</v>
      </c>
      <c r="H588" s="1248">
        <f t="shared" si="211"/>
        <v>58.149322585195961</v>
      </c>
      <c r="I588" s="1258">
        <f t="shared" si="200"/>
        <v>94.514027442878273</v>
      </c>
      <c r="J588" s="96">
        <v>19797552.370000001</v>
      </c>
    </row>
    <row r="589" spans="1:10" customFormat="1" x14ac:dyDescent="0.2">
      <c r="A589" s="753"/>
      <c r="B589" s="819" t="s">
        <v>1577</v>
      </c>
      <c r="C589" s="848">
        <f t="shared" ref="C589:D589" si="213">+C593+C597+C600+C604</f>
        <v>2123000</v>
      </c>
      <c r="D589" s="848">
        <f t="shared" si="213"/>
        <v>3045208</v>
      </c>
      <c r="E589" s="1331">
        <v>113354</v>
      </c>
      <c r="F589" s="1331">
        <f>SUM(E593,E597,E600,E604)</f>
        <v>113354</v>
      </c>
      <c r="G589" s="1243">
        <f t="shared" si="210"/>
        <v>5.3393311351860575</v>
      </c>
      <c r="H589" s="1248">
        <f t="shared" si="211"/>
        <v>3.7223729873296008</v>
      </c>
      <c r="I589" s="1258">
        <f t="shared" si="200"/>
        <v>21.904687920903967</v>
      </c>
      <c r="J589" s="96">
        <v>517487.4</v>
      </c>
    </row>
    <row r="590" spans="1:10" customFormat="1" x14ac:dyDescent="0.2">
      <c r="A590" s="753"/>
      <c r="B590" s="819" t="s">
        <v>1578</v>
      </c>
      <c r="C590" s="848">
        <f t="shared" ref="C590:D590" si="214">+C594+C601+C605</f>
        <v>1962000</v>
      </c>
      <c r="D590" s="848">
        <f t="shared" si="214"/>
        <v>8021099.0500000007</v>
      </c>
      <c r="E590" s="744">
        <v>6246407.0499999998</v>
      </c>
      <c r="F590" s="744">
        <f>SUM(E594,E601,E605)</f>
        <v>6246407.0499999998</v>
      </c>
      <c r="G590" s="1243">
        <f t="shared" si="210"/>
        <v>318.36937054026504</v>
      </c>
      <c r="H590" s="1248">
        <f t="shared" si="211"/>
        <v>77.874702843870253</v>
      </c>
      <c r="I590" s="1258">
        <f t="shared" si="200"/>
        <v>1593.6134731417346</v>
      </c>
      <c r="J590" s="96">
        <v>391965</v>
      </c>
    </row>
    <row r="591" spans="1:10" customFormat="1" x14ac:dyDescent="0.2">
      <c r="A591" s="753"/>
      <c r="B591" s="819" t="s">
        <v>1375</v>
      </c>
      <c r="C591" s="854">
        <f>SUM(C592:C594)</f>
        <v>10921000</v>
      </c>
      <c r="D591" s="854">
        <f>SUM(D592:D594)</f>
        <v>11132596</v>
      </c>
      <c r="E591" s="1334">
        <v>4873108</v>
      </c>
      <c r="F591" s="1331">
        <f>SUM(E592:E594)</f>
        <v>4873108</v>
      </c>
      <c r="G591" s="825">
        <f t="shared" si="210"/>
        <v>44.621444922626132</v>
      </c>
      <c r="H591" s="1244">
        <f t="shared" si="211"/>
        <v>43.773330137912126</v>
      </c>
      <c r="I591" s="1257">
        <f t="shared" si="200"/>
        <v>100.29037154433573</v>
      </c>
      <c r="J591" s="96">
        <v>4858998.8499999996</v>
      </c>
    </row>
    <row r="592" spans="1:10" customFormat="1" x14ac:dyDescent="0.2">
      <c r="A592" s="753"/>
      <c r="B592" s="819" t="s">
        <v>1869</v>
      </c>
      <c r="C592" s="902">
        <v>9498000</v>
      </c>
      <c r="D592" s="902">
        <f>9498000+90488+(4890+44010)</f>
        <v>9637388</v>
      </c>
      <c r="E592" s="744">
        <v>4873108</v>
      </c>
      <c r="F592" s="744"/>
      <c r="G592" s="1243">
        <f t="shared" si="210"/>
        <v>51.306675089492529</v>
      </c>
      <c r="H592" s="1248">
        <f t="shared" si="211"/>
        <v>50.564613565418348</v>
      </c>
      <c r="I592" s="1258">
        <f t="shared" si="200"/>
        <v>102.51220113756571</v>
      </c>
      <c r="J592" s="96">
        <v>4753685.8499999996</v>
      </c>
    </row>
    <row r="593" spans="1:10" customFormat="1" ht="27.75" customHeight="1" x14ac:dyDescent="0.2">
      <c r="A593" s="753"/>
      <c r="B593" s="819" t="s">
        <v>1544</v>
      </c>
      <c r="C593" s="902">
        <v>1131000</v>
      </c>
      <c r="D593" s="902">
        <f>1131000+72208</f>
        <v>1203208</v>
      </c>
      <c r="E593" s="744">
        <v>0</v>
      </c>
      <c r="F593" s="744"/>
      <c r="G593" s="1243">
        <f t="shared" si="210"/>
        <v>0</v>
      </c>
      <c r="H593" s="1248">
        <f t="shared" si="211"/>
        <v>0</v>
      </c>
      <c r="I593" s="1258">
        <f t="shared" si="200"/>
        <v>0</v>
      </c>
      <c r="J593" s="118">
        <v>105313</v>
      </c>
    </row>
    <row r="594" spans="1:10" customFormat="1" x14ac:dyDescent="0.2">
      <c r="A594" s="753"/>
      <c r="B594" s="819" t="s">
        <v>1545</v>
      </c>
      <c r="C594" s="902">
        <v>292000</v>
      </c>
      <c r="D594" s="902">
        <v>292000</v>
      </c>
      <c r="E594" s="848">
        <v>0</v>
      </c>
      <c r="F594" s="848"/>
      <c r="G594" s="1243">
        <f t="shared" si="210"/>
        <v>0</v>
      </c>
      <c r="H594" s="1248">
        <f t="shared" si="211"/>
        <v>0</v>
      </c>
      <c r="I594" s="1258">
        <v>0</v>
      </c>
      <c r="J594" s="96">
        <v>0</v>
      </c>
    </row>
    <row r="595" spans="1:10" customFormat="1" x14ac:dyDescent="0.2">
      <c r="A595" s="753"/>
      <c r="B595" s="819" t="s">
        <v>1376</v>
      </c>
      <c r="C595" s="854">
        <f t="shared" ref="C595:D595" si="215">SUM(C596:C597)</f>
        <v>5733000</v>
      </c>
      <c r="D595" s="854">
        <f t="shared" si="215"/>
        <v>5808190</v>
      </c>
      <c r="E595" s="854">
        <v>2778190</v>
      </c>
      <c r="F595" s="848">
        <f>SUM(E596:E597)</f>
        <v>2778190</v>
      </c>
      <c r="G595" s="825">
        <f t="shared" si="210"/>
        <v>48.459619745334031</v>
      </c>
      <c r="H595" s="1244">
        <f t="shared" si="211"/>
        <v>47.832285100866187</v>
      </c>
      <c r="I595" s="1257">
        <f t="shared" si="200"/>
        <v>39.266624527423758</v>
      </c>
      <c r="J595" s="96">
        <v>7075194.3499999996</v>
      </c>
    </row>
    <row r="596" spans="1:10" customFormat="1" x14ac:dyDescent="0.2">
      <c r="A596" s="753"/>
      <c r="B596" s="819" t="s">
        <v>1870</v>
      </c>
      <c r="C596" s="902">
        <v>5433000</v>
      </c>
      <c r="D596" s="902">
        <f>5433000+(7519+67671)</f>
        <v>5508190</v>
      </c>
      <c r="E596" s="744">
        <v>2778190</v>
      </c>
      <c r="F596" s="1333"/>
      <c r="G596" s="1243">
        <f t="shared" si="210"/>
        <v>51.135468433646238</v>
      </c>
      <c r="H596" s="1248">
        <f t="shared" si="211"/>
        <v>50.437439521875604</v>
      </c>
      <c r="I596" s="1258">
        <f t="shared" si="200"/>
        <v>39.266624527423758</v>
      </c>
      <c r="J596" s="96">
        <v>7075194.3499999996</v>
      </c>
    </row>
    <row r="597" spans="1:10" customFormat="1" ht="24.75" x14ac:dyDescent="0.2">
      <c r="A597" s="753"/>
      <c r="B597" s="819" t="s">
        <v>1546</v>
      </c>
      <c r="C597" s="902">
        <v>300000</v>
      </c>
      <c r="D597" s="902">
        <v>300000</v>
      </c>
      <c r="E597" s="1331">
        <v>0</v>
      </c>
      <c r="F597" s="1331"/>
      <c r="G597" s="1243">
        <f t="shared" si="210"/>
        <v>0</v>
      </c>
      <c r="H597" s="1248">
        <f t="shared" si="211"/>
        <v>0</v>
      </c>
      <c r="I597" s="1258">
        <v>0</v>
      </c>
      <c r="J597" s="118">
        <v>0</v>
      </c>
    </row>
    <row r="598" spans="1:10" customFormat="1" x14ac:dyDescent="0.2">
      <c r="A598" s="753"/>
      <c r="B598" s="819" t="s">
        <v>1377</v>
      </c>
      <c r="C598" s="854">
        <f t="shared" ref="C598:D598" si="216">SUM(C599:C601)</f>
        <v>5192000</v>
      </c>
      <c r="D598" s="854">
        <f t="shared" si="216"/>
        <v>16315822.100000001</v>
      </c>
      <c r="E598" s="1334">
        <v>13670619.130000001</v>
      </c>
      <c r="F598" s="1331">
        <f>SUM(E599:E601)</f>
        <v>13670619.129999999</v>
      </c>
      <c r="G598" s="825">
        <f t="shared" si="210"/>
        <v>263.30160111710325</v>
      </c>
      <c r="H598" s="1244">
        <f t="shared" si="211"/>
        <v>83.787498087515928</v>
      </c>
      <c r="I598" s="1257">
        <f t="shared" si="200"/>
        <v>455.46404041536215</v>
      </c>
      <c r="J598" s="96">
        <v>3001470.57</v>
      </c>
    </row>
    <row r="599" spans="1:10" customFormat="1" x14ac:dyDescent="0.2">
      <c r="A599" s="753"/>
      <c r="B599" s="819" t="s">
        <v>1871</v>
      </c>
      <c r="C599" s="902">
        <v>4927000</v>
      </c>
      <c r="D599" s="902">
        <f>4927000+(6180+55620)+313948+(261245.45+4441172.63)-13443.03</f>
        <v>9991723.0500000007</v>
      </c>
      <c r="E599" s="1331">
        <v>7538166.0800000001</v>
      </c>
      <c r="F599" s="1331"/>
      <c r="G599" s="1243">
        <f t="shared" si="210"/>
        <v>152.99707895270956</v>
      </c>
      <c r="H599" s="1248">
        <f t="shared" si="211"/>
        <v>75.444105508909189</v>
      </c>
      <c r="I599" s="1258">
        <f t="shared" si="200"/>
        <v>324.07066154790749</v>
      </c>
      <c r="J599" s="96">
        <v>2326087.17</v>
      </c>
    </row>
    <row r="600" spans="1:10" customFormat="1" ht="24.75" x14ac:dyDescent="0.2">
      <c r="A600" s="753"/>
      <c r="B600" s="819" t="s">
        <v>1547</v>
      </c>
      <c r="C600" s="902">
        <v>265000</v>
      </c>
      <c r="D600" s="902">
        <v>265000</v>
      </c>
      <c r="E600" s="744">
        <v>73354</v>
      </c>
      <c r="F600" s="744"/>
      <c r="G600" s="1243">
        <f t="shared" si="210"/>
        <v>27.680754716981131</v>
      </c>
      <c r="H600" s="1248">
        <f t="shared" si="211"/>
        <v>27.680754716981131</v>
      </c>
      <c r="I600" s="1258">
        <f t="shared" si="200"/>
        <v>21.003028165142656</v>
      </c>
      <c r="J600" s="118">
        <v>349254.40000000002</v>
      </c>
    </row>
    <row r="601" spans="1:10" customFormat="1" ht="24.75" x14ac:dyDescent="0.2">
      <c r="A601" s="753"/>
      <c r="B601" s="819" t="s">
        <v>1548</v>
      </c>
      <c r="C601" s="902">
        <v>0</v>
      </c>
      <c r="D601" s="902">
        <f>(336616.61+5722482.44)</f>
        <v>6059099.0500000007</v>
      </c>
      <c r="E601" s="744">
        <v>6059099.0499999998</v>
      </c>
      <c r="F601" s="744"/>
      <c r="G601" s="1243">
        <v>0</v>
      </c>
      <c r="H601" s="1248">
        <f t="shared" si="211"/>
        <v>99.999999999999986</v>
      </c>
      <c r="I601" s="1258">
        <f t="shared" si="200"/>
        <v>1857.8841654682656</v>
      </c>
      <c r="J601" s="118">
        <v>326129</v>
      </c>
    </row>
    <row r="602" spans="1:10" customFormat="1" x14ac:dyDescent="0.2">
      <c r="A602" s="753"/>
      <c r="B602" s="819" t="s">
        <v>1378</v>
      </c>
      <c r="C602" s="854">
        <f t="shared" ref="C602:D602" si="217">SUM(C603:C605)</f>
        <v>9138000</v>
      </c>
      <c r="D602" s="854">
        <f t="shared" si="217"/>
        <v>9988000</v>
      </c>
      <c r="E602" s="1334">
        <v>3749308</v>
      </c>
      <c r="F602" s="1331">
        <f>SUM(E603:E605)</f>
        <v>3749308</v>
      </c>
      <c r="G602" s="825">
        <f t="shared" si="210"/>
        <v>41.029853359597283</v>
      </c>
      <c r="H602" s="1244">
        <f t="shared" si="211"/>
        <v>37.538125750901081</v>
      </c>
      <c r="I602" s="1257">
        <f t="shared" si="200"/>
        <v>64.964243145570492</v>
      </c>
      <c r="J602" s="96">
        <v>5771341</v>
      </c>
    </row>
    <row r="603" spans="1:10" customFormat="1" x14ac:dyDescent="0.2">
      <c r="A603" s="753"/>
      <c r="B603" s="819" t="s">
        <v>1872</v>
      </c>
      <c r="C603" s="902">
        <v>7041000</v>
      </c>
      <c r="D603" s="902">
        <v>7041000</v>
      </c>
      <c r="E603" s="1331">
        <v>3522000</v>
      </c>
      <c r="F603" s="1331"/>
      <c r="G603" s="1243">
        <f t="shared" si="210"/>
        <v>50.021303792074988</v>
      </c>
      <c r="H603" s="1248">
        <f t="shared" si="211"/>
        <v>50.021303792074988</v>
      </c>
      <c r="I603" s="1258">
        <f t="shared" si="200"/>
        <v>62.418200168894224</v>
      </c>
      <c r="J603" s="96">
        <v>5642585</v>
      </c>
    </row>
    <row r="604" spans="1:10" customFormat="1" ht="24.75" x14ac:dyDescent="0.2">
      <c r="A604" s="753"/>
      <c r="B604" s="819" t="s">
        <v>1549</v>
      </c>
      <c r="C604" s="902">
        <v>427000</v>
      </c>
      <c r="D604" s="902">
        <f>427000+850000</f>
        <v>1277000</v>
      </c>
      <c r="E604" s="1331">
        <v>40000</v>
      </c>
      <c r="F604" s="1331"/>
      <c r="G604" s="1243">
        <f t="shared" si="210"/>
        <v>9.3676814988290413</v>
      </c>
      <c r="H604" s="1248">
        <f t="shared" si="211"/>
        <v>3.1323414252153485</v>
      </c>
      <c r="I604" s="1258">
        <f t="shared" si="200"/>
        <v>63.572790845518121</v>
      </c>
      <c r="J604" s="118">
        <v>62920</v>
      </c>
    </row>
    <row r="605" spans="1:10" customFormat="1" ht="25.5" x14ac:dyDescent="0.2">
      <c r="A605" s="753"/>
      <c r="B605" s="819" t="s">
        <v>1550</v>
      </c>
      <c r="C605" s="902">
        <v>1670000</v>
      </c>
      <c r="D605" s="902">
        <v>1670000</v>
      </c>
      <c r="E605" s="744">
        <v>187308</v>
      </c>
      <c r="F605" s="744"/>
      <c r="G605" s="1243">
        <f t="shared" si="210"/>
        <v>11.216047904191617</v>
      </c>
      <c r="H605" s="1248">
        <f t="shared" si="211"/>
        <v>11.216047904191617</v>
      </c>
      <c r="I605" s="1258">
        <f t="shared" si="200"/>
        <v>284.50695668023576</v>
      </c>
      <c r="J605" s="118">
        <v>65836</v>
      </c>
    </row>
    <row r="606" spans="1:10" customFormat="1" x14ac:dyDescent="0.2">
      <c r="A606" s="834">
        <v>3233</v>
      </c>
      <c r="B606" s="847" t="s">
        <v>671</v>
      </c>
      <c r="C606" s="854">
        <f>C607</f>
        <v>2458000</v>
      </c>
      <c r="D606" s="854">
        <f>D607</f>
        <v>2668200</v>
      </c>
      <c r="E606" s="845">
        <v>1440200</v>
      </c>
      <c r="F606" s="744"/>
      <c r="G606" s="825">
        <f t="shared" si="210"/>
        <v>58.592351505288853</v>
      </c>
      <c r="H606" s="1244">
        <f t="shared" si="211"/>
        <v>53.976463533468255</v>
      </c>
      <c r="I606" s="1257">
        <f t="shared" si="200"/>
        <v>36.714479786004702</v>
      </c>
      <c r="J606" s="96">
        <v>3922703</v>
      </c>
    </row>
    <row r="607" spans="1:10" customFormat="1" x14ac:dyDescent="0.2">
      <c r="A607" s="834"/>
      <c r="B607" s="819" t="s">
        <v>1379</v>
      </c>
      <c r="C607" s="848">
        <f>SUM(C608:C610)</f>
        <v>2458000</v>
      </c>
      <c r="D607" s="848">
        <f>SUM(D608:D610)</f>
        <v>2668200</v>
      </c>
      <c r="E607" s="1331">
        <v>1440200</v>
      </c>
      <c r="F607" s="1331">
        <f>SUM(E608:E610)</f>
        <v>1440200</v>
      </c>
      <c r="G607" s="1243">
        <f t="shared" si="210"/>
        <v>58.592351505288853</v>
      </c>
      <c r="H607" s="1248">
        <f t="shared" si="211"/>
        <v>53.976463533468255</v>
      </c>
      <c r="I607" s="1258">
        <f t="shared" si="200"/>
        <v>36.714479786004702</v>
      </c>
      <c r="J607" s="96">
        <v>3922703</v>
      </c>
    </row>
    <row r="608" spans="1:10" customFormat="1" x14ac:dyDescent="0.2">
      <c r="A608" s="834"/>
      <c r="B608" s="819" t="s">
        <v>1873</v>
      </c>
      <c r="C608" s="902">
        <v>2458000</v>
      </c>
      <c r="D608" s="902">
        <f>2458000+210200</f>
        <v>2668200</v>
      </c>
      <c r="E608" s="1331">
        <v>1440200</v>
      </c>
      <c r="F608" s="1331"/>
      <c r="G608" s="1243">
        <f t="shared" si="210"/>
        <v>58.592351505288853</v>
      </c>
      <c r="H608" s="1248">
        <f t="shared" si="211"/>
        <v>53.976463533468255</v>
      </c>
      <c r="I608" s="1258">
        <f t="shared" si="200"/>
        <v>38.752942056521391</v>
      </c>
      <c r="J608" s="96">
        <v>3716363</v>
      </c>
    </row>
    <row r="609" spans="1:10" customFormat="1" ht="25.5" x14ac:dyDescent="0.2">
      <c r="A609" s="834"/>
      <c r="B609" s="819" t="s">
        <v>1551</v>
      </c>
      <c r="C609" s="902">
        <v>0</v>
      </c>
      <c r="D609" s="902">
        <v>0</v>
      </c>
      <c r="E609" s="1331">
        <v>0</v>
      </c>
      <c r="F609" s="1331"/>
      <c r="G609" s="1243">
        <v>0</v>
      </c>
      <c r="H609" s="1248">
        <v>0</v>
      </c>
      <c r="I609" s="1258">
        <f t="shared" si="200"/>
        <v>0</v>
      </c>
      <c r="J609" s="96">
        <v>78340</v>
      </c>
    </row>
    <row r="610" spans="1:10" customFormat="1" x14ac:dyDescent="0.2">
      <c r="A610" s="834"/>
      <c r="B610" s="819" t="s">
        <v>1752</v>
      </c>
      <c r="C610" s="902">
        <v>0</v>
      </c>
      <c r="D610" s="902">
        <v>0</v>
      </c>
      <c r="E610" s="1331">
        <v>0</v>
      </c>
      <c r="F610" s="1331"/>
      <c r="G610" s="1243">
        <v>0</v>
      </c>
      <c r="H610" s="1248">
        <v>0</v>
      </c>
      <c r="I610" s="1258">
        <f t="shared" si="200"/>
        <v>0</v>
      </c>
      <c r="J610" s="96">
        <v>128000</v>
      </c>
    </row>
    <row r="611" spans="1:10" customFormat="1" x14ac:dyDescent="0.2">
      <c r="A611" s="834">
        <v>3419</v>
      </c>
      <c r="B611" s="847" t="s">
        <v>2164</v>
      </c>
      <c r="C611" s="934">
        <v>80000</v>
      </c>
      <c r="D611" s="934">
        <f>80000+134310</f>
        <v>214310</v>
      </c>
      <c r="E611" s="1334">
        <v>200858</v>
      </c>
      <c r="F611" s="1331"/>
      <c r="G611" s="825">
        <f t="shared" si="210"/>
        <v>251.07249999999999</v>
      </c>
      <c r="H611" s="1244">
        <f t="shared" si="211"/>
        <v>93.723111380710193</v>
      </c>
      <c r="I611" s="1257">
        <f t="shared" si="200"/>
        <v>334.16740146738317</v>
      </c>
      <c r="J611" s="96">
        <v>60107</v>
      </c>
    </row>
    <row r="612" spans="1:10" customFormat="1" ht="13.5" thickBot="1" x14ac:dyDescent="0.25">
      <c r="A612" s="833"/>
      <c r="B612" s="888"/>
      <c r="C612" s="896"/>
      <c r="D612" s="896"/>
      <c r="E612" s="1334"/>
      <c r="F612" s="1331"/>
      <c r="G612" s="825"/>
      <c r="H612" s="1244"/>
      <c r="I612" s="1255"/>
      <c r="J612" s="96"/>
    </row>
    <row r="613" spans="1:10" customFormat="1" ht="16.5" thickBot="1" x14ac:dyDescent="0.3">
      <c r="A613" s="1127"/>
      <c r="B613" s="1128" t="s">
        <v>677</v>
      </c>
      <c r="C613" s="1132">
        <f t="shared" ref="C613:D613" si="218">SUM(C614,C618,C621,C627,C630,C637)</f>
        <v>43723000</v>
      </c>
      <c r="D613" s="1132">
        <f t="shared" si="218"/>
        <v>48632652</v>
      </c>
      <c r="E613" s="1328">
        <v>20770727.359999999</v>
      </c>
      <c r="F613" s="1329">
        <f>SUM(E614,E618,E621,E627,E630,E637)</f>
        <v>20770727.359999999</v>
      </c>
      <c r="G613" s="1237">
        <f>E613/C613*100</f>
        <v>47.505265786885623</v>
      </c>
      <c r="H613" s="1237">
        <f>E613/D613*100</f>
        <v>42.709427731804553</v>
      </c>
      <c r="I613" s="1253">
        <f t="shared" ref="I613:I638" si="219">E613/J613*100</f>
        <v>99.844569369250365</v>
      </c>
      <c r="J613" s="96">
        <v>20803061.690000001</v>
      </c>
    </row>
    <row r="614" spans="1:10" customFormat="1" x14ac:dyDescent="0.2">
      <c r="A614" s="1133">
        <v>3311</v>
      </c>
      <c r="B614" s="1134" t="s">
        <v>1380</v>
      </c>
      <c r="C614" s="934">
        <f>SUM(C615:C617)</f>
        <v>14219000</v>
      </c>
      <c r="D614" s="934">
        <f>SUM(D615:D617)</f>
        <v>14217452</v>
      </c>
      <c r="E614" s="1334">
        <v>7000000</v>
      </c>
      <c r="F614" s="1331">
        <f>SUM(E615:E616)</f>
        <v>7000000</v>
      </c>
      <c r="G614" s="825">
        <f t="shared" ref="G614:G615" si="220">E614/C614*100</f>
        <v>49.229903650045713</v>
      </c>
      <c r="H614" s="1244">
        <f t="shared" ref="H614:H615" si="221">E614/D614*100</f>
        <v>49.235263815204014</v>
      </c>
      <c r="I614" s="1257">
        <f t="shared" si="219"/>
        <v>98.591549295774655</v>
      </c>
      <c r="J614" s="96">
        <v>7100000</v>
      </c>
    </row>
    <row r="615" spans="1:10" customFormat="1" x14ac:dyDescent="0.2">
      <c r="A615" s="850"/>
      <c r="B615" s="851" t="s">
        <v>1874</v>
      </c>
      <c r="C615" s="902">
        <v>14219000</v>
      </c>
      <c r="D615" s="902">
        <f>14219000-1548</f>
        <v>14217452</v>
      </c>
      <c r="E615" s="1331">
        <v>7000000</v>
      </c>
      <c r="F615" s="1331"/>
      <c r="G615" s="1243">
        <f t="shared" si="220"/>
        <v>49.229903650045713</v>
      </c>
      <c r="H615" s="1248">
        <f t="shared" si="221"/>
        <v>49.235263815204014</v>
      </c>
      <c r="I615" s="1258">
        <f t="shared" si="219"/>
        <v>98.591549295774655</v>
      </c>
      <c r="J615" s="96">
        <v>7100000</v>
      </c>
    </row>
    <row r="616" spans="1:10" customFormat="1" x14ac:dyDescent="0.2">
      <c r="A616" s="850"/>
      <c r="B616" s="851" t="s">
        <v>1553</v>
      </c>
      <c r="C616" s="902">
        <v>0</v>
      </c>
      <c r="D616" s="902">
        <v>0</v>
      </c>
      <c r="E616" s="1331">
        <v>0</v>
      </c>
      <c r="F616" s="1331"/>
      <c r="G616" s="1243">
        <v>0</v>
      </c>
      <c r="H616" s="1248">
        <v>0</v>
      </c>
      <c r="I616" s="1258">
        <v>0</v>
      </c>
      <c r="J616" s="96">
        <v>0</v>
      </c>
    </row>
    <row r="617" spans="1:10" customFormat="1" x14ac:dyDescent="0.2">
      <c r="A617" s="850"/>
      <c r="B617" s="819" t="s">
        <v>1422</v>
      </c>
      <c r="C617" s="902">
        <v>0</v>
      </c>
      <c r="D617" s="902">
        <v>0</v>
      </c>
      <c r="E617" s="744">
        <v>0</v>
      </c>
      <c r="F617" s="744"/>
      <c r="G617" s="1243">
        <v>0</v>
      </c>
      <c r="H617" s="1248">
        <v>0</v>
      </c>
      <c r="I617" s="1258">
        <v>0</v>
      </c>
      <c r="J617" s="96">
        <v>0</v>
      </c>
    </row>
    <row r="618" spans="1:10" customFormat="1" x14ac:dyDescent="0.2">
      <c r="A618" s="852">
        <v>3319</v>
      </c>
      <c r="B618" s="853" t="s">
        <v>682</v>
      </c>
      <c r="C618" s="854">
        <f t="shared" ref="C618:D618" si="222">SUM(C619:C620)</f>
        <v>1120000</v>
      </c>
      <c r="D618" s="854">
        <f t="shared" si="222"/>
        <v>1120000</v>
      </c>
      <c r="E618" s="1334">
        <v>582539.65</v>
      </c>
      <c r="F618" s="1331">
        <f>SUM(E619:E620)</f>
        <v>582539.65</v>
      </c>
      <c r="G618" s="825">
        <f t="shared" ref="G618:G638" si="223">E618/C618*100</f>
        <v>52.012468750000011</v>
      </c>
      <c r="H618" s="1244">
        <f t="shared" ref="H618:H638" si="224">E618/D618*100</f>
        <v>52.012468750000011</v>
      </c>
      <c r="I618" s="1257">
        <f t="shared" si="219"/>
        <v>122.74844369254699</v>
      </c>
      <c r="J618" s="96">
        <v>474580.07</v>
      </c>
    </row>
    <row r="619" spans="1:10" customFormat="1" x14ac:dyDescent="0.2">
      <c r="A619" s="852"/>
      <c r="B619" s="851" t="s">
        <v>1381</v>
      </c>
      <c r="C619" s="902">
        <v>470000</v>
      </c>
      <c r="D619" s="902">
        <v>470000</v>
      </c>
      <c r="E619" s="1331">
        <v>246962</v>
      </c>
      <c r="F619" s="1331"/>
      <c r="G619" s="1243">
        <f t="shared" si="223"/>
        <v>52.545106382978723</v>
      </c>
      <c r="H619" s="1248">
        <f t="shared" si="224"/>
        <v>52.545106382978723</v>
      </c>
      <c r="I619" s="1258">
        <f t="shared" si="219"/>
        <v>105.29040791516874</v>
      </c>
      <c r="J619" s="96">
        <v>234553.18</v>
      </c>
    </row>
    <row r="620" spans="1:10" customFormat="1" x14ac:dyDescent="0.2">
      <c r="A620" s="852"/>
      <c r="B620" s="855" t="s">
        <v>684</v>
      </c>
      <c r="C620" s="902">
        <v>650000</v>
      </c>
      <c r="D620" s="902">
        <v>650000</v>
      </c>
      <c r="E620" s="744">
        <v>335577.65</v>
      </c>
      <c r="F620" s="744"/>
      <c r="G620" s="1243">
        <f t="shared" si="223"/>
        <v>51.627330769230774</v>
      </c>
      <c r="H620" s="1248">
        <f t="shared" si="224"/>
        <v>51.627330769230774</v>
      </c>
      <c r="I620" s="1258">
        <f t="shared" si="219"/>
        <v>139.80835647206027</v>
      </c>
      <c r="J620" s="96">
        <v>240026.89</v>
      </c>
    </row>
    <row r="621" spans="1:10" customFormat="1" x14ac:dyDescent="0.2">
      <c r="A621" s="852" t="s">
        <v>1089</v>
      </c>
      <c r="B621" s="853" t="s">
        <v>685</v>
      </c>
      <c r="C621" s="854">
        <f t="shared" ref="C621:D621" si="225">C622+C624+C625+C626+C623</f>
        <v>593000</v>
      </c>
      <c r="D621" s="854">
        <f t="shared" si="225"/>
        <v>398000</v>
      </c>
      <c r="E621" s="1334">
        <v>26828</v>
      </c>
      <c r="F621" s="1331">
        <f>SUM(E622:E626)</f>
        <v>26828</v>
      </c>
      <c r="G621" s="825">
        <f t="shared" si="223"/>
        <v>4.5241146711635754</v>
      </c>
      <c r="H621" s="1244">
        <f t="shared" si="224"/>
        <v>6.7407035175879395</v>
      </c>
      <c r="I621" s="1257">
        <f t="shared" si="219"/>
        <v>18.227103678711629</v>
      </c>
      <c r="J621" s="96">
        <v>147187.4</v>
      </c>
    </row>
    <row r="622" spans="1:10" customFormat="1" x14ac:dyDescent="0.2">
      <c r="A622" s="850"/>
      <c r="B622" s="851" t="s">
        <v>1554</v>
      </c>
      <c r="C622" s="902">
        <v>120000</v>
      </c>
      <c r="D622" s="902">
        <v>120000</v>
      </c>
      <c r="E622" s="1331">
        <v>0</v>
      </c>
      <c r="F622" s="1331"/>
      <c r="G622" s="1243">
        <f t="shared" si="223"/>
        <v>0</v>
      </c>
      <c r="H622" s="1248">
        <f t="shared" si="224"/>
        <v>0</v>
      </c>
      <c r="I622" s="1258">
        <v>0</v>
      </c>
      <c r="J622" s="96">
        <v>0</v>
      </c>
    </row>
    <row r="623" spans="1:10" customFormat="1" x14ac:dyDescent="0.2">
      <c r="A623" s="850"/>
      <c r="B623" s="851" t="s">
        <v>1555</v>
      </c>
      <c r="C623" s="902">
        <v>5000</v>
      </c>
      <c r="D623" s="902">
        <v>5000</v>
      </c>
      <c r="E623" s="1331">
        <v>0</v>
      </c>
      <c r="F623" s="1331"/>
      <c r="G623" s="1243">
        <f t="shared" si="223"/>
        <v>0</v>
      </c>
      <c r="H623" s="1248">
        <f t="shared" si="224"/>
        <v>0</v>
      </c>
      <c r="I623" s="1258">
        <v>0</v>
      </c>
      <c r="J623" s="96">
        <v>0</v>
      </c>
    </row>
    <row r="624" spans="1:10" customFormat="1" x14ac:dyDescent="0.2">
      <c r="A624" s="850"/>
      <c r="B624" s="851" t="s">
        <v>1066</v>
      </c>
      <c r="C624" s="902">
        <v>100000</v>
      </c>
      <c r="D624" s="902">
        <v>100000</v>
      </c>
      <c r="E624" s="1331">
        <v>13068</v>
      </c>
      <c r="F624" s="1331"/>
      <c r="G624" s="1243">
        <f t="shared" si="223"/>
        <v>13.068</v>
      </c>
      <c r="H624" s="1248">
        <f t="shared" si="224"/>
        <v>13.068</v>
      </c>
      <c r="I624" s="1258">
        <f t="shared" si="219"/>
        <v>64.285714285714292</v>
      </c>
      <c r="J624" s="96">
        <v>20328</v>
      </c>
    </row>
    <row r="625" spans="1:10" customFormat="1" ht="25.5" x14ac:dyDescent="0.2">
      <c r="A625" s="850"/>
      <c r="B625" s="851" t="s">
        <v>1556</v>
      </c>
      <c r="C625" s="902">
        <v>168000</v>
      </c>
      <c r="D625" s="902">
        <f>168000-25000</f>
        <v>143000</v>
      </c>
      <c r="E625" s="744">
        <v>450</v>
      </c>
      <c r="F625" s="744"/>
      <c r="G625" s="1243">
        <f t="shared" si="223"/>
        <v>0.26785714285714285</v>
      </c>
      <c r="H625" s="1248">
        <f t="shared" si="224"/>
        <v>0.31468531468531469</v>
      </c>
      <c r="I625" s="1258">
        <v>0</v>
      </c>
      <c r="J625" s="118">
        <v>0</v>
      </c>
    </row>
    <row r="626" spans="1:10" customFormat="1" x14ac:dyDescent="0.2">
      <c r="A626" s="850"/>
      <c r="B626" s="851" t="s">
        <v>1557</v>
      </c>
      <c r="C626" s="902">
        <v>200000</v>
      </c>
      <c r="D626" s="902">
        <f>200000-170000</f>
        <v>30000</v>
      </c>
      <c r="E626" s="1331">
        <v>13310</v>
      </c>
      <c r="F626" s="1331"/>
      <c r="G626" s="1243">
        <f t="shared" si="223"/>
        <v>6.6549999999999994</v>
      </c>
      <c r="H626" s="1248">
        <f t="shared" si="224"/>
        <v>44.366666666666667</v>
      </c>
      <c r="I626" s="1258">
        <f t="shared" si="219"/>
        <v>10.491930436372867</v>
      </c>
      <c r="J626" s="96">
        <v>126859.4</v>
      </c>
    </row>
    <row r="627" spans="1:10" customFormat="1" x14ac:dyDescent="0.2">
      <c r="A627" s="852" t="s">
        <v>1090</v>
      </c>
      <c r="B627" s="853" t="s">
        <v>2165</v>
      </c>
      <c r="C627" s="854">
        <f t="shared" ref="C627:D627" si="226">C628+C629</f>
        <v>555000</v>
      </c>
      <c r="D627" s="854">
        <f t="shared" si="226"/>
        <v>750000</v>
      </c>
      <c r="E627" s="1334">
        <v>7155.71</v>
      </c>
      <c r="F627" s="1331">
        <f>SUM(E628:E629)</f>
        <v>7155.71</v>
      </c>
      <c r="G627" s="825">
        <f t="shared" si="223"/>
        <v>1.2893171171171172</v>
      </c>
      <c r="H627" s="1244">
        <f t="shared" si="224"/>
        <v>0.95409466666666665</v>
      </c>
      <c r="I627" s="1257">
        <f t="shared" si="219"/>
        <v>384.19506904623842</v>
      </c>
      <c r="J627" s="96">
        <v>1862.52</v>
      </c>
    </row>
    <row r="628" spans="1:10" customFormat="1" ht="25.5" x14ac:dyDescent="0.2">
      <c r="A628" s="850"/>
      <c r="B628" s="851" t="s">
        <v>1558</v>
      </c>
      <c r="C628" s="902">
        <v>540000</v>
      </c>
      <c r="D628" s="902">
        <f>540000+195000</f>
        <v>735000</v>
      </c>
      <c r="E628" s="1331">
        <v>0</v>
      </c>
      <c r="F628" s="1331"/>
      <c r="G628" s="1243">
        <f t="shared" si="223"/>
        <v>0</v>
      </c>
      <c r="H628" s="1248">
        <f t="shared" si="224"/>
        <v>0</v>
      </c>
      <c r="I628" s="1258">
        <v>0</v>
      </c>
      <c r="J628" s="118">
        <v>0</v>
      </c>
    </row>
    <row r="629" spans="1:10" customFormat="1" x14ac:dyDescent="0.2">
      <c r="A629" s="850"/>
      <c r="B629" s="851" t="s">
        <v>1094</v>
      </c>
      <c r="C629" s="902">
        <v>15000</v>
      </c>
      <c r="D629" s="902">
        <v>15000</v>
      </c>
      <c r="E629" s="744">
        <v>7155.71</v>
      </c>
      <c r="F629" s="744"/>
      <c r="G629" s="1243">
        <f t="shared" si="223"/>
        <v>47.70473333333333</v>
      </c>
      <c r="H629" s="1248">
        <f t="shared" si="224"/>
        <v>47.70473333333333</v>
      </c>
      <c r="I629" s="1258">
        <v>0</v>
      </c>
      <c r="J629" s="96">
        <v>0</v>
      </c>
    </row>
    <row r="630" spans="1:10" customFormat="1" x14ac:dyDescent="0.2">
      <c r="A630" s="852">
        <v>3392</v>
      </c>
      <c r="B630" s="853" t="s">
        <v>693</v>
      </c>
      <c r="C630" s="854">
        <f t="shared" ref="C630:D630" si="227">C632+C631</f>
        <v>26946000</v>
      </c>
      <c r="D630" s="854">
        <f t="shared" si="227"/>
        <v>31857200</v>
      </c>
      <c r="E630" s="1334">
        <v>13074679</v>
      </c>
      <c r="F630" s="1331"/>
      <c r="G630" s="825">
        <f t="shared" si="223"/>
        <v>48.521780598233505</v>
      </c>
      <c r="H630" s="1244">
        <f t="shared" si="224"/>
        <v>41.041519656466988</v>
      </c>
      <c r="I630" s="1257">
        <f t="shared" si="219"/>
        <v>100.76435590150668</v>
      </c>
      <c r="J630" s="96">
        <v>12975500</v>
      </c>
    </row>
    <row r="631" spans="1:10" customFormat="1" x14ac:dyDescent="0.2">
      <c r="A631" s="852"/>
      <c r="B631" s="851" t="s">
        <v>2066</v>
      </c>
      <c r="C631" s="902">
        <v>26000</v>
      </c>
      <c r="D631" s="902">
        <v>26000</v>
      </c>
      <c r="E631" s="744">
        <v>3179</v>
      </c>
      <c r="F631" s="744"/>
      <c r="G631" s="1243">
        <f t="shared" si="223"/>
        <v>12.226923076923077</v>
      </c>
      <c r="H631" s="1248">
        <f t="shared" si="224"/>
        <v>12.226923076923077</v>
      </c>
      <c r="I631" s="1258">
        <v>0</v>
      </c>
      <c r="J631" s="96">
        <v>0</v>
      </c>
    </row>
    <row r="632" spans="1:10" customFormat="1" x14ac:dyDescent="0.2">
      <c r="A632" s="850"/>
      <c r="B632" s="851" t="s">
        <v>1382</v>
      </c>
      <c r="C632" s="854">
        <f t="shared" ref="C632:D632" si="228">SUM(C633+C636+C635)</f>
        <v>26920000</v>
      </c>
      <c r="D632" s="854">
        <f t="shared" si="228"/>
        <v>31831200</v>
      </c>
      <c r="E632" s="1334">
        <v>13071500</v>
      </c>
      <c r="F632" s="1331">
        <f>SUM(E633:E636)</f>
        <v>13071500</v>
      </c>
      <c r="G632" s="825">
        <f t="shared" si="223"/>
        <v>48.556835066864785</v>
      </c>
      <c r="H632" s="1244">
        <f t="shared" si="224"/>
        <v>41.065055668652143</v>
      </c>
      <c r="I632" s="1257">
        <f t="shared" si="219"/>
        <v>100.73985588223961</v>
      </c>
      <c r="J632" s="96">
        <v>12975500</v>
      </c>
    </row>
    <row r="633" spans="1:10" customFormat="1" x14ac:dyDescent="0.2">
      <c r="A633" s="850"/>
      <c r="B633" s="851" t="s">
        <v>1875</v>
      </c>
      <c r="C633" s="902">
        <v>26920000</v>
      </c>
      <c r="D633" s="902">
        <f>26920000+4743000+18200+150000</f>
        <v>31831200</v>
      </c>
      <c r="E633" s="1331">
        <v>13071500</v>
      </c>
      <c r="F633" s="1331"/>
      <c r="G633" s="1243">
        <f t="shared" si="223"/>
        <v>48.556835066864785</v>
      </c>
      <c r="H633" s="1248">
        <f t="shared" si="224"/>
        <v>41.065055668652143</v>
      </c>
      <c r="I633" s="1258">
        <f t="shared" si="219"/>
        <v>100.73985588223961</v>
      </c>
      <c r="J633" s="96">
        <v>12975500</v>
      </c>
    </row>
    <row r="634" spans="1:10" customFormat="1" x14ac:dyDescent="0.2">
      <c r="A634" s="850"/>
      <c r="B634" s="851" t="s">
        <v>697</v>
      </c>
      <c r="C634" s="902"/>
      <c r="D634" s="902"/>
      <c r="E634" s="1331"/>
      <c r="F634" s="1331"/>
      <c r="G634" s="1243"/>
      <c r="H634" s="1248"/>
      <c r="I634" s="1258"/>
      <c r="J634" s="96"/>
    </row>
    <row r="635" spans="1:10" customFormat="1" ht="25.5" x14ac:dyDescent="0.2">
      <c r="A635" s="850"/>
      <c r="B635" s="851" t="s">
        <v>1712</v>
      </c>
      <c r="C635" s="902">
        <v>0</v>
      </c>
      <c r="D635" s="902">
        <v>0</v>
      </c>
      <c r="E635" s="1331">
        <v>0</v>
      </c>
      <c r="F635" s="1331"/>
      <c r="G635" s="1243">
        <v>0</v>
      </c>
      <c r="H635" s="1248">
        <v>0</v>
      </c>
      <c r="I635" s="1258">
        <v>0</v>
      </c>
      <c r="J635" s="118">
        <v>0</v>
      </c>
    </row>
    <row r="636" spans="1:10" customFormat="1" ht="36.75" x14ac:dyDescent="0.2">
      <c r="A636" s="850"/>
      <c r="B636" s="851" t="s">
        <v>1559</v>
      </c>
      <c r="C636" s="902">
        <v>0</v>
      </c>
      <c r="D636" s="902">
        <v>0</v>
      </c>
      <c r="E636" s="1331">
        <v>0</v>
      </c>
      <c r="F636" s="1331"/>
      <c r="G636" s="1243">
        <v>0</v>
      </c>
      <c r="H636" s="1248">
        <v>0</v>
      </c>
      <c r="I636" s="1258">
        <v>0</v>
      </c>
      <c r="J636" s="118">
        <v>0</v>
      </c>
    </row>
    <row r="637" spans="1:10" customFormat="1" x14ac:dyDescent="0.2">
      <c r="A637" s="852">
        <v>3399</v>
      </c>
      <c r="B637" s="853" t="s">
        <v>700</v>
      </c>
      <c r="C637" s="854">
        <f t="shared" ref="C637:D637" si="229">C638</f>
        <v>290000</v>
      </c>
      <c r="D637" s="854">
        <f t="shared" si="229"/>
        <v>290000</v>
      </c>
      <c r="E637" s="1334">
        <v>79525</v>
      </c>
      <c r="F637" s="1331"/>
      <c r="G637" s="825">
        <f t="shared" si="223"/>
        <v>27.422413793103452</v>
      </c>
      <c r="H637" s="1244">
        <f t="shared" si="224"/>
        <v>27.422413793103452</v>
      </c>
      <c r="I637" s="1257">
        <f t="shared" si="219"/>
        <v>77.941234122628202</v>
      </c>
      <c r="J637" s="96">
        <v>102032</v>
      </c>
    </row>
    <row r="638" spans="1:10" customFormat="1" x14ac:dyDescent="0.2">
      <c r="A638" s="850"/>
      <c r="B638" s="851" t="s">
        <v>701</v>
      </c>
      <c r="C638" s="902">
        <v>290000</v>
      </c>
      <c r="D638" s="902">
        <v>290000</v>
      </c>
      <c r="E638" s="744">
        <v>79525</v>
      </c>
      <c r="F638" s="744"/>
      <c r="G638" s="1243">
        <f t="shared" si="223"/>
        <v>27.422413793103452</v>
      </c>
      <c r="H638" s="1248">
        <f t="shared" si="224"/>
        <v>27.422413793103452</v>
      </c>
      <c r="I638" s="1258">
        <f t="shared" si="219"/>
        <v>77.941234122628202</v>
      </c>
      <c r="J638" s="96">
        <v>102032</v>
      </c>
    </row>
    <row r="639" spans="1:10" customFormat="1" ht="13.5" thickBot="1" x14ac:dyDescent="0.25">
      <c r="A639" s="889"/>
      <c r="B639" s="890"/>
      <c r="C639" s="897"/>
      <c r="D639" s="897"/>
      <c r="E639" s="1331"/>
      <c r="F639" s="1331"/>
      <c r="G639" s="1243"/>
      <c r="H639" s="1248"/>
      <c r="I639" s="1249"/>
      <c r="J639" s="96"/>
    </row>
    <row r="640" spans="1:10" customFormat="1" ht="21" thickBot="1" x14ac:dyDescent="0.35">
      <c r="A640" s="1127"/>
      <c r="B640" s="1135" t="s">
        <v>702</v>
      </c>
      <c r="C640" s="1136">
        <f t="shared" ref="C640:D640" si="230">C641</f>
        <v>24990300</v>
      </c>
      <c r="D640" s="1136">
        <f t="shared" si="230"/>
        <v>25834200</v>
      </c>
      <c r="E640" s="1336">
        <v>21089889.739999998</v>
      </c>
      <c r="F640" s="1337"/>
      <c r="G640" s="1349">
        <f>E640/C640*100</f>
        <v>84.392303173631362</v>
      </c>
      <c r="H640" s="1349">
        <f>E640/D640*100</f>
        <v>81.635544123681001</v>
      </c>
      <c r="I640" s="1253">
        <f t="shared" ref="I640" si="231">E640/J640*100</f>
        <v>111.16748151257723</v>
      </c>
      <c r="J640" s="96">
        <v>18971276</v>
      </c>
    </row>
    <row r="641" spans="1:10" customFormat="1" x14ac:dyDescent="0.2">
      <c r="A641" s="834"/>
      <c r="B641" s="1131" t="s">
        <v>703</v>
      </c>
      <c r="C641" s="935">
        <f t="shared" ref="C641:D641" si="232">SUM(C642:C651)</f>
        <v>24990300</v>
      </c>
      <c r="D641" s="935">
        <f t="shared" si="232"/>
        <v>25834200</v>
      </c>
      <c r="E641" s="1338">
        <v>21089889.739999998</v>
      </c>
      <c r="F641" s="1339">
        <f>SUM(E642:E651)</f>
        <v>21089889.740000002</v>
      </c>
      <c r="G641" s="825">
        <f t="shared" ref="G641:G642" si="233">E641/C641*100</f>
        <v>84.392303173631362</v>
      </c>
      <c r="H641" s="1244">
        <f t="shared" ref="H641:H642" si="234">E641/D641*100</f>
        <v>81.635544123681001</v>
      </c>
      <c r="I641" s="1255">
        <f>E641/J641*100</f>
        <v>111.16748151257723</v>
      </c>
      <c r="J641" s="96">
        <v>18971276</v>
      </c>
    </row>
    <row r="642" spans="1:10" customFormat="1" x14ac:dyDescent="0.2">
      <c r="A642" s="753"/>
      <c r="B642" s="819" t="s">
        <v>704</v>
      </c>
      <c r="C642" s="902">
        <v>1070000</v>
      </c>
      <c r="D642" s="902">
        <v>1070000</v>
      </c>
      <c r="E642" s="1331">
        <v>1040000</v>
      </c>
      <c r="F642" s="1331"/>
      <c r="G642" s="1243">
        <f t="shared" si="233"/>
        <v>97.196261682242991</v>
      </c>
      <c r="H642" s="1248">
        <f t="shared" si="234"/>
        <v>97.196261682242991</v>
      </c>
      <c r="I642" s="1249">
        <f>E642/J642*100</f>
        <v>107.21649484536083</v>
      </c>
      <c r="J642" s="96">
        <v>970000</v>
      </c>
    </row>
    <row r="643" spans="1:10" customFormat="1" x14ac:dyDescent="0.2">
      <c r="A643" s="753"/>
      <c r="B643" s="819" t="s">
        <v>705</v>
      </c>
      <c r="C643" s="902">
        <v>193100</v>
      </c>
      <c r="D643" s="902">
        <v>193100</v>
      </c>
      <c r="E643" s="1331">
        <v>192675</v>
      </c>
      <c r="F643" s="1331"/>
      <c r="G643" s="1243">
        <f t="shared" ref="G643:G651" si="235">E643/C643*100</f>
        <v>99.779906784049714</v>
      </c>
      <c r="H643" s="1248">
        <f t="shared" ref="H643:H651" si="236">E643/D643*100</f>
        <v>99.779906784049714</v>
      </c>
      <c r="I643" s="1249">
        <f t="shared" ref="I643:I651" si="237">E643/J643*100</f>
        <v>147.64367816091954</v>
      </c>
      <c r="J643" s="96">
        <v>130500</v>
      </c>
    </row>
    <row r="644" spans="1:10" customFormat="1" x14ac:dyDescent="0.2">
      <c r="A644" s="753"/>
      <c r="B644" s="819" t="s">
        <v>706</v>
      </c>
      <c r="C644" s="902">
        <f>5000000-10000</f>
        <v>4990000</v>
      </c>
      <c r="D644" s="902">
        <f>5000000-10000</f>
        <v>4990000</v>
      </c>
      <c r="E644" s="1331">
        <v>4990000</v>
      </c>
      <c r="F644" s="1331"/>
      <c r="G644" s="1243">
        <f t="shared" si="235"/>
        <v>100</v>
      </c>
      <c r="H644" s="1248">
        <f t="shared" si="236"/>
        <v>100</v>
      </c>
      <c r="I644" s="1249">
        <f t="shared" si="237"/>
        <v>134.86486486486487</v>
      </c>
      <c r="J644" s="96">
        <v>3700000</v>
      </c>
    </row>
    <row r="645" spans="1:10" customFormat="1" x14ac:dyDescent="0.2">
      <c r="A645" s="753"/>
      <c r="B645" s="819" t="s">
        <v>707</v>
      </c>
      <c r="C645" s="902">
        <v>7250000</v>
      </c>
      <c r="D645" s="902">
        <v>7250000</v>
      </c>
      <c r="E645" s="1331">
        <v>7250000</v>
      </c>
      <c r="F645" s="1331"/>
      <c r="G645" s="1243">
        <f t="shared" si="235"/>
        <v>100</v>
      </c>
      <c r="H645" s="1248">
        <f t="shared" si="236"/>
        <v>100</v>
      </c>
      <c r="I645" s="1249">
        <f t="shared" si="237"/>
        <v>122.28031708551188</v>
      </c>
      <c r="J645" s="96">
        <v>5929000</v>
      </c>
    </row>
    <row r="646" spans="1:10" customFormat="1" x14ac:dyDescent="0.2">
      <c r="A646" s="753"/>
      <c r="B646" s="819" t="s">
        <v>708</v>
      </c>
      <c r="C646" s="902">
        <v>50000</v>
      </c>
      <c r="D646" s="902">
        <v>50000</v>
      </c>
      <c r="E646" s="1331">
        <v>41000</v>
      </c>
      <c r="F646" s="1331"/>
      <c r="G646" s="1243">
        <f t="shared" si="235"/>
        <v>82</v>
      </c>
      <c r="H646" s="1248">
        <f t="shared" si="236"/>
        <v>82</v>
      </c>
      <c r="I646" s="1249">
        <f t="shared" si="237"/>
        <v>100</v>
      </c>
      <c r="J646" s="96">
        <v>41000</v>
      </c>
    </row>
    <row r="647" spans="1:10" customFormat="1" x14ac:dyDescent="0.2">
      <c r="A647" s="753"/>
      <c r="B647" s="819" t="s">
        <v>709</v>
      </c>
      <c r="C647" s="902">
        <f>8500000-15000</f>
        <v>8485000</v>
      </c>
      <c r="D647" s="902">
        <f>8500000-15000</f>
        <v>8485000</v>
      </c>
      <c r="E647" s="1331">
        <v>4292114.74</v>
      </c>
      <c r="F647" s="1331"/>
      <c r="G647" s="1243">
        <f t="shared" si="235"/>
        <v>50.584734708308787</v>
      </c>
      <c r="H647" s="1248">
        <f t="shared" si="236"/>
        <v>50.584734708308787</v>
      </c>
      <c r="I647" s="1249">
        <f t="shared" si="237"/>
        <v>70.362536721311471</v>
      </c>
      <c r="J647" s="96">
        <v>6100000</v>
      </c>
    </row>
    <row r="648" spans="1:10" customFormat="1" x14ac:dyDescent="0.2">
      <c r="A648" s="753"/>
      <c r="B648" s="819" t="s">
        <v>712</v>
      </c>
      <c r="C648" s="902">
        <v>963000</v>
      </c>
      <c r="D648" s="902">
        <f>963000-30000+30000</f>
        <v>963000</v>
      </c>
      <c r="E648" s="1331">
        <v>963000</v>
      </c>
      <c r="F648" s="1331"/>
      <c r="G648" s="1243">
        <f t="shared" si="235"/>
        <v>100</v>
      </c>
      <c r="H648" s="1248">
        <f t="shared" si="236"/>
        <v>100</v>
      </c>
      <c r="I648" s="1249">
        <f t="shared" si="237"/>
        <v>112.43432574430823</v>
      </c>
      <c r="J648" s="96">
        <v>856500</v>
      </c>
    </row>
    <row r="649" spans="1:10" customFormat="1" x14ac:dyDescent="0.2">
      <c r="A649" s="753"/>
      <c r="B649" s="819" t="s">
        <v>713</v>
      </c>
      <c r="C649" s="902">
        <v>143000</v>
      </c>
      <c r="D649" s="902">
        <v>143000</v>
      </c>
      <c r="E649" s="1331">
        <v>143000</v>
      </c>
      <c r="F649" s="1331"/>
      <c r="G649" s="1243">
        <f t="shared" si="235"/>
        <v>100</v>
      </c>
      <c r="H649" s="1248">
        <f t="shared" si="236"/>
        <v>100</v>
      </c>
      <c r="I649" s="1249">
        <f t="shared" si="237"/>
        <v>280.39215686274508</v>
      </c>
      <c r="J649" s="96">
        <v>51000</v>
      </c>
    </row>
    <row r="650" spans="1:10" customFormat="1" x14ac:dyDescent="0.2">
      <c r="A650" s="753"/>
      <c r="B650" s="819" t="s">
        <v>714</v>
      </c>
      <c r="C650" s="902">
        <v>966500</v>
      </c>
      <c r="D650" s="902">
        <v>966500</v>
      </c>
      <c r="E650" s="1331">
        <v>966500</v>
      </c>
      <c r="F650" s="1331"/>
      <c r="G650" s="1243">
        <f t="shared" si="235"/>
        <v>100</v>
      </c>
      <c r="H650" s="1248">
        <f t="shared" si="236"/>
        <v>100</v>
      </c>
      <c r="I650" s="1249">
        <f t="shared" si="237"/>
        <v>494.62640736949845</v>
      </c>
      <c r="J650" s="96">
        <v>195400</v>
      </c>
    </row>
    <row r="651" spans="1:10" customFormat="1" ht="36.75" x14ac:dyDescent="0.2">
      <c r="A651" s="834"/>
      <c r="B651" s="819" t="s">
        <v>1935</v>
      </c>
      <c r="C651" s="902">
        <f>909700-30000</f>
        <v>879700</v>
      </c>
      <c r="D651" s="902">
        <f>(909700-30000)+30000+10000+15000+70000+80000+10000+150000+36900+5000+40000+250000+147000</f>
        <v>1723600</v>
      </c>
      <c r="E651" s="1331">
        <v>1211600</v>
      </c>
      <c r="F651" s="1331"/>
      <c r="G651" s="1243">
        <f t="shared" si="235"/>
        <v>137.72877117199045</v>
      </c>
      <c r="H651" s="1248">
        <f t="shared" si="236"/>
        <v>70.294731956370384</v>
      </c>
      <c r="I651" s="1258">
        <f t="shared" si="237"/>
        <v>121.41789160176215</v>
      </c>
      <c r="J651" s="118">
        <v>997876</v>
      </c>
    </row>
    <row r="652" spans="1:10" ht="13.5" thickBot="1" x14ac:dyDescent="0.25">
      <c r="A652" s="713"/>
      <c r="B652" s="856"/>
      <c r="C652" s="897"/>
      <c r="D652" s="897"/>
      <c r="E652" s="709"/>
      <c r="F652" s="709"/>
      <c r="G652" s="709"/>
      <c r="H652" s="709"/>
      <c r="I652" s="1340"/>
      <c r="J652" s="1520"/>
    </row>
    <row r="653" spans="1:10" ht="21" customHeight="1" thickBot="1" x14ac:dyDescent="0.35">
      <c r="A653" s="772"/>
      <c r="B653" s="783" t="s">
        <v>716</v>
      </c>
      <c r="C653" s="936">
        <f>C654</f>
        <v>27924400</v>
      </c>
      <c r="D653" s="936">
        <f>D654</f>
        <v>27924400</v>
      </c>
      <c r="E653" s="1341">
        <v>12791948.49</v>
      </c>
      <c r="F653" s="1342"/>
      <c r="G653" s="1349">
        <f>E653/C653*100</f>
        <v>45.809215202475258</v>
      </c>
      <c r="H653" s="1349">
        <f>E653/D653*100</f>
        <v>45.809215202475258</v>
      </c>
      <c r="I653" s="1297">
        <f>E653/J653*100</f>
        <v>96.257871315575358</v>
      </c>
      <c r="J653" s="1520">
        <v>13289249.300000001</v>
      </c>
    </row>
    <row r="654" spans="1:10" x14ac:dyDescent="0.2">
      <c r="A654" s="713">
        <v>5311</v>
      </c>
      <c r="B654" s="760" t="s">
        <v>717</v>
      </c>
      <c r="C654" s="937">
        <f t="shared" ref="C654:D654" si="238">SUM(C655)</f>
        <v>27924400</v>
      </c>
      <c r="D654" s="937">
        <f t="shared" si="238"/>
        <v>27924400</v>
      </c>
      <c r="E654" s="1218">
        <v>12791948.49</v>
      </c>
      <c r="F654" s="1163"/>
      <c r="G654" s="825">
        <f t="shared" ref="G654:G655" si="239">E654/C654*100</f>
        <v>45.809215202475258</v>
      </c>
      <c r="H654" s="1244">
        <f t="shared" ref="H654:H655" si="240">E654/D654*100</f>
        <v>45.809215202475258</v>
      </c>
      <c r="I654" s="1255">
        <f>E654/J654*100</f>
        <v>96.257871315575358</v>
      </c>
      <c r="J654" s="1520">
        <v>13289249.300000001</v>
      </c>
    </row>
    <row r="655" spans="1:10" ht="74.25" customHeight="1" x14ac:dyDescent="0.2">
      <c r="A655" s="713"/>
      <c r="B655" s="763" t="s">
        <v>1701</v>
      </c>
      <c r="C655" s="938">
        <f>(18400+4538.4+1647+0+5+350+2+163+143+35+264+1+245+30+3+77+3+1490-750+275+200+17+50+10+150+6+170+150+250)*1000</f>
        <v>27924400</v>
      </c>
      <c r="D655" s="938">
        <f>(18400+4538.4+1647+0+5+350+2+163+143+35+264+1+245+30+3+77+3+1490-750+275+200+17+50+10+150+6+170+150+250)*1000</f>
        <v>27924400</v>
      </c>
      <c r="E655" s="1343" t="s">
        <v>2114</v>
      </c>
      <c r="F655" s="1343"/>
      <c r="G655" s="1243">
        <f t="shared" si="239"/>
        <v>45.809215202475258</v>
      </c>
      <c r="H655" s="1248">
        <f t="shared" si="240"/>
        <v>45.809215202475258</v>
      </c>
      <c r="I655" s="1258">
        <f>E655/J655*100</f>
        <v>96.257871315575358</v>
      </c>
      <c r="J655" s="1617">
        <v>13289249.300000001</v>
      </c>
    </row>
    <row r="656" spans="1:10" ht="13.5" thickBot="1" x14ac:dyDescent="0.25">
      <c r="A656" s="781"/>
      <c r="B656" s="800"/>
      <c r="C656" s="898"/>
      <c r="D656" s="898"/>
      <c r="E656" s="711"/>
      <c r="F656" s="711"/>
      <c r="G656" s="711"/>
      <c r="H656" s="711"/>
      <c r="I656" s="1340"/>
      <c r="J656" s="1520"/>
    </row>
    <row r="657" spans="1:11" ht="21" thickBot="1" x14ac:dyDescent="0.35">
      <c r="A657" s="772"/>
      <c r="B657" s="783" t="s">
        <v>41</v>
      </c>
      <c r="C657" s="899">
        <f>SUM(C658:C664)+C672</f>
        <v>35630624</v>
      </c>
      <c r="D657" s="899">
        <f>SUM(D658:D664)+D672</f>
        <v>35630624</v>
      </c>
      <c r="E657" s="1344">
        <v>16644897.779999999</v>
      </c>
      <c r="F657" s="1267">
        <f>SUM(E658:E664,E672:E672)</f>
        <v>16644897.780000001</v>
      </c>
      <c r="G657" s="1349">
        <f>E657/C657*100</f>
        <v>46.71514531993602</v>
      </c>
      <c r="H657" s="1349">
        <f>E657/D657*100</f>
        <v>46.71514531993602</v>
      </c>
      <c r="I657" s="1297">
        <f>E657/J657*100</f>
        <v>99.786153213539365</v>
      </c>
      <c r="J657" s="1520">
        <v>16680568.640000001</v>
      </c>
    </row>
    <row r="658" spans="1:11" ht="36.75" x14ac:dyDescent="0.2">
      <c r="A658" s="1600">
        <v>3429</v>
      </c>
      <c r="B658" s="763" t="s">
        <v>1470</v>
      </c>
      <c r="C658" s="900">
        <v>982000</v>
      </c>
      <c r="D658" s="900">
        <v>982000</v>
      </c>
      <c r="E658" s="706">
        <v>500817.21</v>
      </c>
      <c r="F658" s="1294"/>
      <c r="G658" s="825">
        <f t="shared" ref="G658" si="241">E658/C658*100</f>
        <v>50.999715885947047</v>
      </c>
      <c r="H658" s="1244">
        <f t="shared" ref="H658" si="242">E658/D658*100</f>
        <v>50.999715885947047</v>
      </c>
      <c r="I658" s="1257">
        <f>E658/J658*100</f>
        <v>86.117780175893657</v>
      </c>
      <c r="J658" s="1617">
        <v>581549.14</v>
      </c>
      <c r="K658" s="12"/>
    </row>
    <row r="659" spans="1:11" s="116" customFormat="1" ht="36.75" x14ac:dyDescent="0.2">
      <c r="A659" s="1601">
        <v>5212</v>
      </c>
      <c r="B659" s="721" t="s">
        <v>1158</v>
      </c>
      <c r="C659" s="937">
        <v>110000</v>
      </c>
      <c r="D659" s="937">
        <v>110000</v>
      </c>
      <c r="E659" s="1218">
        <v>64154.2</v>
      </c>
      <c r="F659" s="1163"/>
      <c r="G659" s="825">
        <f t="shared" ref="G659:G665" si="243">E659/C659*100</f>
        <v>58.321999999999996</v>
      </c>
      <c r="H659" s="1244">
        <f t="shared" ref="H659:H665" si="244">E659/D659*100</f>
        <v>58.321999999999996</v>
      </c>
      <c r="I659" s="1257">
        <f t="shared" ref="I659:I672" si="245">E659/J659*100</f>
        <v>210.98288897731794</v>
      </c>
      <c r="J659" s="1617">
        <v>30407.3</v>
      </c>
    </row>
    <row r="660" spans="1:11" s="289" customFormat="1" ht="24.75" x14ac:dyDescent="0.25">
      <c r="A660" s="713">
        <v>5213</v>
      </c>
      <c r="B660" s="723" t="s">
        <v>2166</v>
      </c>
      <c r="C660" s="937">
        <v>200000</v>
      </c>
      <c r="D660" s="937">
        <v>200000</v>
      </c>
      <c r="E660" s="1218">
        <v>0</v>
      </c>
      <c r="F660" s="1163"/>
      <c r="G660" s="825">
        <f t="shared" si="243"/>
        <v>0</v>
      </c>
      <c r="H660" s="1244">
        <f t="shared" si="244"/>
        <v>0</v>
      </c>
      <c r="I660" s="1257">
        <f t="shared" si="245"/>
        <v>0</v>
      </c>
      <c r="J660" s="1617">
        <v>5760</v>
      </c>
    </row>
    <row r="661" spans="1:11" s="116" customFormat="1" ht="24.75" x14ac:dyDescent="0.2">
      <c r="A661" s="713">
        <v>5273</v>
      </c>
      <c r="B661" s="723" t="s">
        <v>1384</v>
      </c>
      <c r="C661" s="937">
        <v>5000</v>
      </c>
      <c r="D661" s="937">
        <v>5000</v>
      </c>
      <c r="E661" s="1218">
        <v>0</v>
      </c>
      <c r="F661" s="1163"/>
      <c r="G661" s="825">
        <f t="shared" si="243"/>
        <v>0</v>
      </c>
      <c r="H661" s="1244">
        <f t="shared" si="244"/>
        <v>0</v>
      </c>
      <c r="I661" s="1257">
        <v>0</v>
      </c>
      <c r="J661" s="1617">
        <v>0</v>
      </c>
    </row>
    <row r="662" spans="1:11" s="289" customFormat="1" ht="22.5" customHeight="1" x14ac:dyDescent="0.25">
      <c r="A662" s="713">
        <v>5511</v>
      </c>
      <c r="B662" s="723" t="s">
        <v>1471</v>
      </c>
      <c r="C662" s="937">
        <v>2300000</v>
      </c>
      <c r="D662" s="937">
        <v>2300000</v>
      </c>
      <c r="E662" s="1218">
        <v>2246586</v>
      </c>
      <c r="F662" s="1163"/>
      <c r="G662" s="825">
        <f t="shared" si="243"/>
        <v>97.677652173913046</v>
      </c>
      <c r="H662" s="1244">
        <f t="shared" si="244"/>
        <v>97.677652173913046</v>
      </c>
      <c r="I662" s="1257">
        <f t="shared" si="245"/>
        <v>110.7000171476213</v>
      </c>
      <c r="J662" s="1520">
        <v>2029436</v>
      </c>
    </row>
    <row r="663" spans="1:11" s="289" customFormat="1" ht="36.75" x14ac:dyDescent="0.25">
      <c r="A663" s="713">
        <v>5512</v>
      </c>
      <c r="B663" s="723" t="s">
        <v>1472</v>
      </c>
      <c r="C663" s="937">
        <v>125000</v>
      </c>
      <c r="D663" s="937">
        <v>125000</v>
      </c>
      <c r="E663" s="1218">
        <v>21463.8</v>
      </c>
      <c r="F663" s="1163"/>
      <c r="G663" s="825">
        <f t="shared" si="243"/>
        <v>17.171039999999998</v>
      </c>
      <c r="H663" s="1244">
        <f t="shared" si="244"/>
        <v>17.171039999999998</v>
      </c>
      <c r="I663" s="1257">
        <f t="shared" si="245"/>
        <v>83.95775474281244</v>
      </c>
      <c r="J663" s="1617">
        <v>25565</v>
      </c>
    </row>
    <row r="664" spans="1:11" s="289" customFormat="1" ht="12.75" customHeight="1" x14ac:dyDescent="0.25">
      <c r="A664" s="713">
        <v>6171</v>
      </c>
      <c r="B664" s="760" t="s">
        <v>725</v>
      </c>
      <c r="C664" s="901">
        <f t="shared" ref="C664:D664" si="246">SUM(C665+C666+C667+C668+C669+C670+C671)</f>
        <v>30358624</v>
      </c>
      <c r="D664" s="901">
        <f t="shared" si="246"/>
        <v>30358624</v>
      </c>
      <c r="E664" s="1218">
        <v>13158760.57</v>
      </c>
      <c r="F664" s="1163">
        <f>SUM(E665:E671)</f>
        <v>13158760.569999998</v>
      </c>
      <c r="G664" s="825">
        <f t="shared" si="243"/>
        <v>43.34439060874432</v>
      </c>
      <c r="H664" s="1244">
        <f t="shared" si="244"/>
        <v>43.34439060874432</v>
      </c>
      <c r="I664" s="1257">
        <f t="shared" si="245"/>
        <v>110.07630487088691</v>
      </c>
      <c r="J664" s="96">
        <v>11954217.199999999</v>
      </c>
    </row>
    <row r="665" spans="1:11" s="289" customFormat="1" ht="132" x14ac:dyDescent="0.25">
      <c r="A665" s="713"/>
      <c r="B665" s="801" t="s">
        <v>1473</v>
      </c>
      <c r="C665" s="939">
        <v>21262500</v>
      </c>
      <c r="D665" s="939">
        <v>21262500</v>
      </c>
      <c r="E665" s="1163">
        <v>8734137.7799999993</v>
      </c>
      <c r="F665" s="1163"/>
      <c r="G665" s="1243">
        <f t="shared" si="243"/>
        <v>41.077661516754851</v>
      </c>
      <c r="H665" s="1248">
        <f t="shared" si="244"/>
        <v>41.077661516754851</v>
      </c>
      <c r="I665" s="1258">
        <f t="shared" si="245"/>
        <v>100.62182349768432</v>
      </c>
      <c r="J665" s="1617">
        <v>8680162.4900000002</v>
      </c>
    </row>
    <row r="666" spans="1:11" s="289" customFormat="1" ht="15.75" x14ac:dyDescent="0.25">
      <c r="A666" s="713"/>
      <c r="B666" s="802" t="s">
        <v>1474</v>
      </c>
      <c r="C666" s="939">
        <v>1600000</v>
      </c>
      <c r="D666" s="939">
        <v>1600000</v>
      </c>
      <c r="E666" s="1345">
        <v>1385498</v>
      </c>
      <c r="F666" s="1345"/>
      <c r="G666" s="1243">
        <f t="shared" ref="G666:G672" si="247">E666/C666*100</f>
        <v>86.593625000000003</v>
      </c>
      <c r="H666" s="1248">
        <f t="shared" ref="H666:H672" si="248">E666/D666*100</f>
        <v>86.593625000000003</v>
      </c>
      <c r="I666" s="1258">
        <v>0</v>
      </c>
      <c r="J666" s="1520">
        <v>0</v>
      </c>
    </row>
    <row r="667" spans="1:11" s="116" customFormat="1" ht="48" x14ac:dyDescent="0.2">
      <c r="A667" s="728"/>
      <c r="B667" s="803" t="s">
        <v>1475</v>
      </c>
      <c r="C667" s="939">
        <v>4682300</v>
      </c>
      <c r="D667" s="939">
        <v>4682300</v>
      </c>
      <c r="E667" s="1163">
        <v>1515437.25</v>
      </c>
      <c r="F667" s="1163"/>
      <c r="G667" s="1243">
        <f t="shared" si="247"/>
        <v>32.365231830510652</v>
      </c>
      <c r="H667" s="1248">
        <f t="shared" si="248"/>
        <v>32.365231830510652</v>
      </c>
      <c r="I667" s="1258">
        <f t="shared" si="245"/>
        <v>97.06615129398412</v>
      </c>
      <c r="J667" s="1617">
        <v>1561241.72</v>
      </c>
    </row>
    <row r="668" spans="1:11" ht="24" x14ac:dyDescent="0.2">
      <c r="A668" s="728"/>
      <c r="B668" s="803" t="s">
        <v>1476</v>
      </c>
      <c r="C668" s="869">
        <v>2192810</v>
      </c>
      <c r="D668" s="869">
        <v>2192810</v>
      </c>
      <c r="E668" s="1163">
        <v>1222102</v>
      </c>
      <c r="F668" s="1163"/>
      <c r="G668" s="1243">
        <f t="shared" si="247"/>
        <v>55.732233982880416</v>
      </c>
      <c r="H668" s="1248">
        <f t="shared" si="248"/>
        <v>55.732233982880416</v>
      </c>
      <c r="I668" s="1258">
        <f t="shared" si="245"/>
        <v>105.0990273561459</v>
      </c>
      <c r="J668" s="1617">
        <v>1162810</v>
      </c>
    </row>
    <row r="669" spans="1:11" x14ac:dyDescent="0.2">
      <c r="A669" s="728"/>
      <c r="B669" s="761" t="s">
        <v>1385</v>
      </c>
      <c r="C669" s="869">
        <v>210000</v>
      </c>
      <c r="D669" s="869">
        <v>210000</v>
      </c>
      <c r="E669" s="1163">
        <v>85076.45</v>
      </c>
      <c r="F669" s="1163"/>
      <c r="G669" s="1243">
        <f t="shared" si="247"/>
        <v>40.512595238095237</v>
      </c>
      <c r="H669" s="1248">
        <f t="shared" si="248"/>
        <v>40.512595238095237</v>
      </c>
      <c r="I669" s="1258">
        <f t="shared" si="245"/>
        <v>105.47705127516885</v>
      </c>
      <c r="J669" s="1520">
        <v>80658.73</v>
      </c>
    </row>
    <row r="670" spans="1:11" x14ac:dyDescent="0.2">
      <c r="A670" s="728"/>
      <c r="B670" s="761" t="s">
        <v>1386</v>
      </c>
      <c r="C670" s="869">
        <v>50000</v>
      </c>
      <c r="D670" s="869">
        <v>50000</v>
      </c>
      <c r="E670" s="1163">
        <v>12906.92</v>
      </c>
      <c r="F670" s="1163"/>
      <c r="G670" s="1243">
        <f t="shared" si="247"/>
        <v>25.813839999999999</v>
      </c>
      <c r="H670" s="1248">
        <f t="shared" si="248"/>
        <v>25.813839999999999</v>
      </c>
      <c r="I670" s="1258">
        <f t="shared" si="245"/>
        <v>82.691769276553046</v>
      </c>
      <c r="J670" s="1520">
        <v>15608.47</v>
      </c>
    </row>
    <row r="671" spans="1:11" ht="24.75" x14ac:dyDescent="0.2">
      <c r="A671" s="728"/>
      <c r="B671" s="763" t="s">
        <v>1477</v>
      </c>
      <c r="C671" s="869">
        <v>361014</v>
      </c>
      <c r="D671" s="869">
        <v>361014</v>
      </c>
      <c r="E671" s="1163">
        <v>203602.17</v>
      </c>
      <c r="F671" s="1163"/>
      <c r="G671" s="1243">
        <f t="shared" si="247"/>
        <v>56.397305921654009</v>
      </c>
      <c r="H671" s="1248">
        <f t="shared" si="248"/>
        <v>56.397305921654009</v>
      </c>
      <c r="I671" s="1258">
        <f t="shared" si="245"/>
        <v>248.22331423602839</v>
      </c>
      <c r="J671" s="1520">
        <v>82023.789999999994</v>
      </c>
    </row>
    <row r="672" spans="1:11" ht="12.75" customHeight="1" x14ac:dyDescent="0.2">
      <c r="A672" s="713">
        <v>6320</v>
      </c>
      <c r="B672" s="760" t="s">
        <v>1159</v>
      </c>
      <c r="C672" s="868">
        <v>1550000</v>
      </c>
      <c r="D672" s="868">
        <v>1550000</v>
      </c>
      <c r="E672" s="1218">
        <v>653116</v>
      </c>
      <c r="F672" s="1163"/>
      <c r="G672" s="825">
        <f t="shared" si="247"/>
        <v>42.136516129032259</v>
      </c>
      <c r="H672" s="1244">
        <f t="shared" si="248"/>
        <v>42.136516129032259</v>
      </c>
      <c r="I672" s="1257">
        <f t="shared" si="245"/>
        <v>103.30289101819896</v>
      </c>
      <c r="J672" s="1520">
        <v>632234</v>
      </c>
    </row>
    <row r="673" spans="1:11" ht="12.75" customHeight="1" thickBot="1" x14ac:dyDescent="0.25">
      <c r="A673" s="730"/>
      <c r="B673" s="804"/>
      <c r="C673" s="756"/>
      <c r="D673" s="756"/>
      <c r="E673" s="711"/>
      <c r="F673" s="711"/>
      <c r="G673" s="711"/>
      <c r="H673" s="711"/>
      <c r="I673" s="1346"/>
      <c r="J673" s="1520"/>
    </row>
    <row r="674" spans="1:11" ht="21" thickBot="1" x14ac:dyDescent="0.35">
      <c r="A674" s="772"/>
      <c r="B674" s="783" t="s">
        <v>735</v>
      </c>
      <c r="C674" s="780">
        <f t="shared" ref="C674:D674" si="249">C675+C676+C677+C681</f>
        <v>171743160</v>
      </c>
      <c r="D674" s="780">
        <f t="shared" si="249"/>
        <v>172842003.99000001</v>
      </c>
      <c r="E674" s="1347">
        <v>75877777.680000007</v>
      </c>
      <c r="F674" s="1348">
        <f>SUM(E675:E677,E681)</f>
        <v>75877777.679999992</v>
      </c>
      <c r="G674" s="1349">
        <f>E674/C674*100</f>
        <v>44.180960499387581</v>
      </c>
      <c r="H674" s="1349">
        <f>E674/D674*100</f>
        <v>43.900079800272394</v>
      </c>
      <c r="I674" s="1297">
        <f>E674/J674*100</f>
        <v>100.98555029636901</v>
      </c>
      <c r="J674" s="1520">
        <v>75137262.170000002</v>
      </c>
    </row>
    <row r="675" spans="1:11" s="116" customFormat="1" x14ac:dyDescent="0.2">
      <c r="A675" s="704">
        <v>3341</v>
      </c>
      <c r="B675" s="750" t="s">
        <v>1588</v>
      </c>
      <c r="C675" s="940">
        <v>3109200</v>
      </c>
      <c r="D675" s="940">
        <v>3109200</v>
      </c>
      <c r="E675" s="1218">
        <v>1556181</v>
      </c>
      <c r="F675" s="1163"/>
      <c r="G675" s="825">
        <f t="shared" ref="G675:G676" si="250">E675/C675*100</f>
        <v>50.050849093014286</v>
      </c>
      <c r="H675" s="1244">
        <f t="shared" ref="H675:H676" si="251">E675/D675*100</f>
        <v>50.050849093014286</v>
      </c>
      <c r="I675" s="1255">
        <f>E675/J675*100</f>
        <v>108.70594201673569</v>
      </c>
      <c r="J675" s="1520">
        <v>1431551</v>
      </c>
    </row>
    <row r="676" spans="1:11" s="116" customFormat="1" ht="36.75" x14ac:dyDescent="0.2">
      <c r="A676" s="713">
        <v>6112</v>
      </c>
      <c r="B676" s="723" t="s">
        <v>1856</v>
      </c>
      <c r="C676" s="940">
        <f>30000+8520000+1046560+766800+12000+10000+500+20000+200000+7000+90000+30000</f>
        <v>10732860</v>
      </c>
      <c r="D676" s="940">
        <f>30000+8520000+1046560+766800+12000+10000+500+20000+200000+7000+90000+30000+(320000+28800)</f>
        <v>11081660</v>
      </c>
      <c r="E676" s="1218">
        <v>5064501.5999999996</v>
      </c>
      <c r="F676" s="1163"/>
      <c r="G676" s="825">
        <f t="shared" si="250"/>
        <v>47.186878427557986</v>
      </c>
      <c r="H676" s="1244">
        <f t="shared" si="251"/>
        <v>45.701651196661871</v>
      </c>
      <c r="I676" s="1257">
        <f t="shared" ref="I676:I681" si="252">E676/J676*100</f>
        <v>112.37457339085215</v>
      </c>
      <c r="J676" s="1617">
        <v>4506803.8499999996</v>
      </c>
    </row>
    <row r="677" spans="1:11" x14ac:dyDescent="0.2">
      <c r="A677" s="713">
        <v>6171</v>
      </c>
      <c r="B677" s="760" t="s">
        <v>725</v>
      </c>
      <c r="C677" s="940">
        <f t="shared" ref="C677:D677" si="253">SUM(C678:C680)</f>
        <v>151901100</v>
      </c>
      <c r="D677" s="940">
        <f t="shared" si="253"/>
        <v>152651143.99000001</v>
      </c>
      <c r="E677" s="1218">
        <v>66256927.049999997</v>
      </c>
      <c r="F677" s="1163">
        <f>SUM(E678:E680)</f>
        <v>66256927.050000004</v>
      </c>
      <c r="G677" s="825">
        <f t="shared" ref="G677:G681" si="254">E677/C677*100</f>
        <v>43.618464283668779</v>
      </c>
      <c r="H677" s="1244">
        <f t="shared" ref="H677:H681" si="255">E677/D677*100</f>
        <v>43.40414707559637</v>
      </c>
      <c r="I677" s="1255">
        <f t="shared" si="252"/>
        <v>100.09241859200952</v>
      </c>
      <c r="J677" s="1520">
        <v>66195749.869999997</v>
      </c>
    </row>
    <row r="678" spans="1:11" ht="48" x14ac:dyDescent="0.2">
      <c r="A678" s="773"/>
      <c r="B678" s="805" t="s">
        <v>1590</v>
      </c>
      <c r="C678" s="874">
        <f>93200000+10000+1400000+10000+23460800+8514000+520000+1000+900000+50000+20000+50000+2600000+350000+15000+204000+40000+2000000</f>
        <v>133344800</v>
      </c>
      <c r="D678" s="874">
        <f>(93200000+10000+1400000+10000+23460800+8514000+520000+1000+900000+50000+20000+50000+2600000+350000+15000+204000+40000+2000000)+(563940.99+135346+50757)</f>
        <v>134094843.98999999</v>
      </c>
      <c r="E678" s="1163">
        <v>58088661.560000002</v>
      </c>
      <c r="F678" s="1163"/>
      <c r="G678" s="1243">
        <f t="shared" si="254"/>
        <v>43.562749773519478</v>
      </c>
      <c r="H678" s="1248">
        <f t="shared" si="255"/>
        <v>43.319086574523261</v>
      </c>
      <c r="I678" s="1258">
        <f t="shared" si="252"/>
        <v>100.04768368003982</v>
      </c>
      <c r="J678" s="1617">
        <v>58060975.950000003</v>
      </c>
    </row>
    <row r="679" spans="1:11" ht="23.25" customHeight="1" x14ac:dyDescent="0.25">
      <c r="A679" s="858"/>
      <c r="B679" s="763" t="s">
        <v>1589</v>
      </c>
      <c r="C679" s="874">
        <f>6900000+30000+1718600+623700+180000+10000</f>
        <v>9462300</v>
      </c>
      <c r="D679" s="874">
        <f>6900000+30000+1718600+623700+180000+10000</f>
        <v>9462300</v>
      </c>
      <c r="E679" s="1163">
        <v>4093913</v>
      </c>
      <c r="F679" s="1163"/>
      <c r="G679" s="1243">
        <f t="shared" si="254"/>
        <v>43.265516840514465</v>
      </c>
      <c r="H679" s="1248">
        <f t="shared" si="255"/>
        <v>43.265516840514465</v>
      </c>
      <c r="I679" s="1249">
        <f t="shared" si="252"/>
        <v>100.89274976291918</v>
      </c>
      <c r="J679" s="1617">
        <v>4057688</v>
      </c>
    </row>
    <row r="680" spans="1:11" ht="36.75" x14ac:dyDescent="0.25">
      <c r="A680" s="858"/>
      <c r="B680" s="722" t="s">
        <v>1857</v>
      </c>
      <c r="C680" s="874">
        <f>4067000+60000+21000+3140000+206000+100000+285000+1150000+30000+26000+9000</f>
        <v>9094000</v>
      </c>
      <c r="D680" s="874">
        <f>4067000+60000+21000+3140000+206000+100000+285000+1150000+30000+26000+9000</f>
        <v>9094000</v>
      </c>
      <c r="E680" s="1163">
        <v>4074352.49</v>
      </c>
      <c r="F680" s="1163"/>
      <c r="G680" s="1243">
        <f t="shared" si="254"/>
        <v>44.802644490873107</v>
      </c>
      <c r="H680" s="1248">
        <f t="shared" si="255"/>
        <v>44.802644490873107</v>
      </c>
      <c r="I680" s="1258">
        <f t="shared" si="252"/>
        <v>99.932956281676795</v>
      </c>
      <c r="J680" s="1617">
        <v>4077085.92</v>
      </c>
    </row>
    <row r="681" spans="1:11" x14ac:dyDescent="0.2">
      <c r="A681" s="713">
        <v>6330</v>
      </c>
      <c r="B681" s="760" t="s">
        <v>740</v>
      </c>
      <c r="C681" s="1055">
        <v>6000000</v>
      </c>
      <c r="D681" s="1055">
        <v>6000000</v>
      </c>
      <c r="E681" s="1218">
        <v>3000168.03</v>
      </c>
      <c r="F681" s="1163"/>
      <c r="G681" s="825">
        <f t="shared" si="254"/>
        <v>50.002800499999999</v>
      </c>
      <c r="H681" s="1244">
        <f t="shared" si="255"/>
        <v>50.002800499999999</v>
      </c>
      <c r="I681" s="1255">
        <f t="shared" si="252"/>
        <v>99.900457433558785</v>
      </c>
      <c r="J681" s="1520">
        <v>3003157.45</v>
      </c>
    </row>
    <row r="682" spans="1:11" ht="13.5" thickBot="1" x14ac:dyDescent="0.25">
      <c r="A682" s="833"/>
      <c r="B682" s="806"/>
      <c r="C682" s="865"/>
      <c r="D682" s="865"/>
      <c r="E682" s="710"/>
      <c r="F682" s="709"/>
      <c r="G682" s="1243"/>
      <c r="H682" s="1248"/>
      <c r="I682" s="1249"/>
      <c r="J682" s="1520"/>
    </row>
    <row r="683" spans="1:11" ht="21" thickBot="1" x14ac:dyDescent="0.35">
      <c r="A683" s="772"/>
      <c r="B683" s="783" t="s">
        <v>43</v>
      </c>
      <c r="C683" s="954">
        <f>C684+C699</f>
        <v>17006123</v>
      </c>
      <c r="D683" s="954">
        <f>D684+D699</f>
        <v>17065123</v>
      </c>
      <c r="E683" s="1349">
        <v>11539056.880000001</v>
      </c>
      <c r="F683" s="1238">
        <f>SUM(E684,E699)</f>
        <v>11539056.880000001</v>
      </c>
      <c r="G683" s="1349">
        <f>E683/C683*100</f>
        <v>67.852366350637368</v>
      </c>
      <c r="H683" s="1349">
        <f>E683/D683*100</f>
        <v>67.617777381387768</v>
      </c>
      <c r="I683" s="1297">
        <f>E683/J683*100</f>
        <v>91.451387042864724</v>
      </c>
      <c r="J683" s="1520">
        <v>12617694.77</v>
      </c>
    </row>
    <row r="684" spans="1:11" ht="16.5" thickBot="1" x14ac:dyDescent="0.3">
      <c r="A684" s="772"/>
      <c r="B684" s="787" t="s">
        <v>741</v>
      </c>
      <c r="C684" s="955">
        <f>C685+C686+C687+C690+C692+C697+C698</f>
        <v>1297000</v>
      </c>
      <c r="D684" s="955">
        <f>D685+D686+D687+D690+D692+D697+D698</f>
        <v>1242255</v>
      </c>
      <c r="E684" s="955">
        <v>370856.88</v>
      </c>
      <c r="F684" s="1350">
        <f>SUM(E685:E687,E690,E692,E697:E698)</f>
        <v>370856.88</v>
      </c>
      <c r="G684" s="1237">
        <f>E684/C684*100</f>
        <v>28.593437162683117</v>
      </c>
      <c r="H684" s="1237">
        <f>E684/D684*100</f>
        <v>29.853522827438812</v>
      </c>
      <c r="I684" s="1253">
        <f>E684/J684*100</f>
        <v>94.684425358410991</v>
      </c>
      <c r="J684" s="1520">
        <v>391676.75</v>
      </c>
      <c r="K684" s="12"/>
    </row>
    <row r="685" spans="1:11" x14ac:dyDescent="0.2">
      <c r="A685" s="713">
        <v>3613</v>
      </c>
      <c r="B685" s="760" t="s">
        <v>1718</v>
      </c>
      <c r="C685" s="870">
        <v>7000</v>
      </c>
      <c r="D685" s="870">
        <v>7000</v>
      </c>
      <c r="E685" s="1218">
        <v>109.7</v>
      </c>
      <c r="F685" s="1163"/>
      <c r="G685" s="825">
        <f t="shared" ref="G685:G687" si="256">E685/C685*100</f>
        <v>1.5671428571428572</v>
      </c>
      <c r="H685" s="1244">
        <f t="shared" ref="H685:H687" si="257">E685/D685*100</f>
        <v>1.5671428571428572</v>
      </c>
      <c r="I685" s="1255">
        <v>0</v>
      </c>
      <c r="J685" s="1520">
        <v>0</v>
      </c>
    </row>
    <row r="686" spans="1:11" s="289" customFormat="1" ht="15.75" x14ac:dyDescent="0.25">
      <c r="A686" s="713">
        <v>3632</v>
      </c>
      <c r="B686" s="760" t="s">
        <v>1387</v>
      </c>
      <c r="C686" s="870">
        <v>270000</v>
      </c>
      <c r="D686" s="870">
        <v>270000</v>
      </c>
      <c r="E686" s="1218">
        <v>166665.88</v>
      </c>
      <c r="F686" s="1163"/>
      <c r="G686" s="825">
        <f t="shared" si="256"/>
        <v>61.728103703703709</v>
      </c>
      <c r="H686" s="1244">
        <f t="shared" si="257"/>
        <v>61.728103703703709</v>
      </c>
      <c r="I686" s="1255">
        <f t="shared" ref="I686:I712" si="258">E686/J686*100</f>
        <v>173.35792947246068</v>
      </c>
      <c r="J686" s="1520">
        <v>96139.75</v>
      </c>
    </row>
    <row r="687" spans="1:11" s="289" customFormat="1" ht="12.75" customHeight="1" x14ac:dyDescent="0.25">
      <c r="A687" s="713">
        <v>4329</v>
      </c>
      <c r="B687" s="760" t="s">
        <v>745</v>
      </c>
      <c r="C687" s="701">
        <f t="shared" ref="C687:D687" si="259">SUM(C688:C689)</f>
        <v>258000</v>
      </c>
      <c r="D687" s="701">
        <f t="shared" si="259"/>
        <v>258000</v>
      </c>
      <c r="E687" s="701">
        <v>4387.34</v>
      </c>
      <c r="F687" s="707">
        <f>SUM(E688:E689)</f>
        <v>4387.34</v>
      </c>
      <c r="G687" s="825">
        <f t="shared" si="256"/>
        <v>1.7005193798449614</v>
      </c>
      <c r="H687" s="1244">
        <f t="shared" si="257"/>
        <v>1.7005193798449614</v>
      </c>
      <c r="I687" s="1255">
        <f t="shared" si="258"/>
        <v>79.128160732965398</v>
      </c>
      <c r="J687" s="1520">
        <v>5544.6</v>
      </c>
    </row>
    <row r="688" spans="1:11" s="116" customFormat="1" x14ac:dyDescent="0.2">
      <c r="A688" s="713"/>
      <c r="B688" s="762" t="s">
        <v>1102</v>
      </c>
      <c r="C688" s="871">
        <v>8000</v>
      </c>
      <c r="D688" s="871">
        <v>8000</v>
      </c>
      <c r="E688" s="1163">
        <v>4387.34</v>
      </c>
      <c r="F688" s="1163"/>
      <c r="G688" s="1243">
        <f t="shared" ref="G688:G698" si="260">E688/C688*100</f>
        <v>54.841749999999998</v>
      </c>
      <c r="H688" s="1248">
        <f t="shared" ref="H688:H698" si="261">E688/D688*100</f>
        <v>54.841749999999998</v>
      </c>
      <c r="I688" s="1249">
        <f t="shared" si="258"/>
        <v>79.128160732965398</v>
      </c>
      <c r="J688" s="1520">
        <v>5544.6</v>
      </c>
    </row>
    <row r="689" spans="1:10" s="116" customFormat="1" x14ac:dyDescent="0.2">
      <c r="A689" s="713"/>
      <c r="B689" s="762" t="s">
        <v>1209</v>
      </c>
      <c r="C689" s="871">
        <v>250000</v>
      </c>
      <c r="D689" s="871">
        <v>250000</v>
      </c>
      <c r="E689" s="1163">
        <v>0</v>
      </c>
      <c r="F689" s="1163"/>
      <c r="G689" s="1243">
        <f t="shared" si="260"/>
        <v>0</v>
      </c>
      <c r="H689" s="1248">
        <f t="shared" si="261"/>
        <v>0</v>
      </c>
      <c r="I689" s="1249">
        <v>0</v>
      </c>
      <c r="J689" s="1520">
        <v>0</v>
      </c>
    </row>
    <row r="690" spans="1:10" x14ac:dyDescent="0.2">
      <c r="A690" s="713">
        <v>4349</v>
      </c>
      <c r="B690" s="760" t="s">
        <v>753</v>
      </c>
      <c r="C690" s="701">
        <f t="shared" ref="C690:D690" si="262">SUM(C691:C691)</f>
        <v>300000</v>
      </c>
      <c r="D690" s="701">
        <f t="shared" si="262"/>
        <v>300000</v>
      </c>
      <c r="E690" s="701">
        <v>9320</v>
      </c>
      <c r="F690" s="707"/>
      <c r="G690" s="825">
        <f t="shared" si="260"/>
        <v>3.1066666666666665</v>
      </c>
      <c r="H690" s="1244">
        <f t="shared" si="261"/>
        <v>3.1066666666666665</v>
      </c>
      <c r="I690" s="1255">
        <f t="shared" si="258"/>
        <v>265.15690346809293</v>
      </c>
      <c r="J690" s="1520">
        <v>3514.9</v>
      </c>
    </row>
    <row r="691" spans="1:10" x14ac:dyDescent="0.2">
      <c r="A691" s="728"/>
      <c r="B691" s="761" t="s">
        <v>1210</v>
      </c>
      <c r="C691" s="871">
        <v>300000</v>
      </c>
      <c r="D691" s="871">
        <v>300000</v>
      </c>
      <c r="E691" s="1163">
        <v>9320</v>
      </c>
      <c r="F691" s="1163"/>
      <c r="G691" s="1243">
        <f t="shared" si="260"/>
        <v>3.1066666666666665</v>
      </c>
      <c r="H691" s="1248">
        <f t="shared" si="261"/>
        <v>3.1066666666666665</v>
      </c>
      <c r="I691" s="1249">
        <f t="shared" si="258"/>
        <v>265.15690346809293</v>
      </c>
      <c r="J691" s="1520">
        <v>3514.9</v>
      </c>
    </row>
    <row r="692" spans="1:10" s="116" customFormat="1" x14ac:dyDescent="0.2">
      <c r="A692" s="713">
        <v>4379</v>
      </c>
      <c r="B692" s="760" t="s">
        <v>760</v>
      </c>
      <c r="C692" s="701">
        <f>SUM(C693:C696)</f>
        <v>359000</v>
      </c>
      <c r="D692" s="701">
        <f>SUM(D693:D696)</f>
        <v>359000</v>
      </c>
      <c r="E692" s="701">
        <v>165373.96</v>
      </c>
      <c r="F692" s="707">
        <f>SUM(E693:E696)</f>
        <v>165373.96000000002</v>
      </c>
      <c r="G692" s="825">
        <f t="shared" si="260"/>
        <v>46.065169916434542</v>
      </c>
      <c r="H692" s="1244">
        <f t="shared" si="261"/>
        <v>46.065169916434542</v>
      </c>
      <c r="I692" s="1255">
        <f t="shared" si="258"/>
        <v>63.474879526511842</v>
      </c>
      <c r="J692" s="1520">
        <v>260534.5</v>
      </c>
    </row>
    <row r="693" spans="1:10" x14ac:dyDescent="0.2">
      <c r="A693" s="728"/>
      <c r="B693" s="761" t="s">
        <v>1099</v>
      </c>
      <c r="C693" s="871">
        <v>229000</v>
      </c>
      <c r="D693" s="871">
        <v>229000</v>
      </c>
      <c r="E693" s="1163">
        <v>119272.19</v>
      </c>
      <c r="F693" s="1163"/>
      <c r="G693" s="1243">
        <f t="shared" si="260"/>
        <v>52.083925764192138</v>
      </c>
      <c r="H693" s="1248">
        <f t="shared" si="261"/>
        <v>52.083925764192138</v>
      </c>
      <c r="I693" s="1249">
        <f t="shared" si="258"/>
        <v>108.54441939767008</v>
      </c>
      <c r="J693" s="1520">
        <v>109883.3</v>
      </c>
    </row>
    <row r="694" spans="1:10" s="517" customFormat="1" x14ac:dyDescent="0.2">
      <c r="A694" s="728"/>
      <c r="B694" s="761" t="s">
        <v>1067</v>
      </c>
      <c r="C694" s="871">
        <v>65000</v>
      </c>
      <c r="D694" s="871">
        <v>65000</v>
      </c>
      <c r="E694" s="1163">
        <v>30624.04</v>
      </c>
      <c r="F694" s="1163"/>
      <c r="G694" s="1243">
        <f t="shared" si="260"/>
        <v>47.113907692307691</v>
      </c>
      <c r="H694" s="1248">
        <f t="shared" si="261"/>
        <v>47.113907692307691</v>
      </c>
      <c r="I694" s="1249">
        <f t="shared" si="258"/>
        <v>97.629995425193954</v>
      </c>
      <c r="J694" s="1520">
        <v>31367.45</v>
      </c>
    </row>
    <row r="695" spans="1:10" x14ac:dyDescent="0.2">
      <c r="A695" s="728"/>
      <c r="B695" s="761" t="s">
        <v>1068</v>
      </c>
      <c r="C695" s="871">
        <v>55000</v>
      </c>
      <c r="D695" s="871">
        <v>55000</v>
      </c>
      <c r="E695" s="1163">
        <v>15477.73</v>
      </c>
      <c r="F695" s="1163"/>
      <c r="G695" s="1243">
        <f t="shared" si="260"/>
        <v>28.141327272727274</v>
      </c>
      <c r="H695" s="1248">
        <f t="shared" si="261"/>
        <v>28.141327272727274</v>
      </c>
      <c r="I695" s="1249">
        <f t="shared" si="258"/>
        <v>62.903921301668134</v>
      </c>
      <c r="J695" s="1520">
        <v>24605.35</v>
      </c>
    </row>
    <row r="696" spans="1:10" s="116" customFormat="1" x14ac:dyDescent="0.2">
      <c r="A696" s="728"/>
      <c r="B696" s="761" t="s">
        <v>1069</v>
      </c>
      <c r="C696" s="871">
        <v>10000</v>
      </c>
      <c r="D696" s="871">
        <v>10000</v>
      </c>
      <c r="E696" s="1163">
        <v>0</v>
      </c>
      <c r="F696" s="1163"/>
      <c r="G696" s="1243">
        <f t="shared" si="260"/>
        <v>0</v>
      </c>
      <c r="H696" s="1248">
        <f t="shared" si="261"/>
        <v>0</v>
      </c>
      <c r="I696" s="1249">
        <v>0</v>
      </c>
      <c r="J696" s="1520">
        <v>0</v>
      </c>
    </row>
    <row r="697" spans="1:10" x14ac:dyDescent="0.2">
      <c r="A697" s="713">
        <v>4399</v>
      </c>
      <c r="B697" s="760" t="s">
        <v>2115</v>
      </c>
      <c r="C697" s="870">
        <v>3000</v>
      </c>
      <c r="D697" s="870">
        <v>3000</v>
      </c>
      <c r="E697" s="1218">
        <v>25000</v>
      </c>
      <c r="F697" s="1163"/>
      <c r="G697" s="825">
        <f t="shared" si="260"/>
        <v>833.33333333333337</v>
      </c>
      <c r="H697" s="1244">
        <f t="shared" si="261"/>
        <v>833.33333333333337</v>
      </c>
      <c r="I697" s="1255">
        <f t="shared" si="258"/>
        <v>96.365108121651303</v>
      </c>
      <c r="J697" s="1520">
        <v>25943</v>
      </c>
    </row>
    <row r="698" spans="1:10" ht="13.5" thickBot="1" x14ac:dyDescent="0.25">
      <c r="A698" s="833">
        <v>6409</v>
      </c>
      <c r="B698" s="806" t="s">
        <v>1101</v>
      </c>
      <c r="C698" s="710">
        <v>100000</v>
      </c>
      <c r="D698" s="710">
        <f>100000-50000-4745</f>
        <v>45255</v>
      </c>
      <c r="E698" s="710">
        <v>0</v>
      </c>
      <c r="F698" s="709"/>
      <c r="G698" s="825">
        <f t="shared" si="260"/>
        <v>0</v>
      </c>
      <c r="H698" s="1244">
        <f t="shared" si="261"/>
        <v>0</v>
      </c>
      <c r="I698" s="1255">
        <v>0</v>
      </c>
      <c r="J698" s="1520">
        <v>0</v>
      </c>
    </row>
    <row r="699" spans="1:10" ht="16.5" thickBot="1" x14ac:dyDescent="0.3">
      <c r="A699" s="772"/>
      <c r="B699" s="787" t="s">
        <v>767</v>
      </c>
      <c r="C699" s="948">
        <f t="shared" ref="C699:D699" si="263">C700</f>
        <v>15709123</v>
      </c>
      <c r="D699" s="948">
        <f t="shared" si="263"/>
        <v>15822868</v>
      </c>
      <c r="E699" s="948">
        <v>11168200</v>
      </c>
      <c r="F699" s="1351"/>
      <c r="G699" s="1237">
        <f>E699/C699*100</f>
        <v>71.093720508776968</v>
      </c>
      <c r="H699" s="1237">
        <f>E699/D699*100</f>
        <v>70.582652904644078</v>
      </c>
      <c r="I699" s="1253">
        <f>E699/J699*100</f>
        <v>91.347812359923225</v>
      </c>
      <c r="J699" s="1520">
        <v>12226018.02</v>
      </c>
    </row>
    <row r="700" spans="1:10" x14ac:dyDescent="0.2">
      <c r="A700" s="832"/>
      <c r="B700" s="785" t="s">
        <v>768</v>
      </c>
      <c r="C700" s="941">
        <f>SUM(C701:C712)</f>
        <v>15709123</v>
      </c>
      <c r="D700" s="941">
        <f>SUM(D701:D712)</f>
        <v>15822868</v>
      </c>
      <c r="E700" s="701">
        <v>11168200</v>
      </c>
      <c r="F700" s="707">
        <f>SUM(E701:E712)</f>
        <v>11168200</v>
      </c>
      <c r="G700" s="825">
        <f t="shared" ref="G700:G701" si="264">E700/C700*100</f>
        <v>71.093720508776968</v>
      </c>
      <c r="H700" s="1244">
        <f t="shared" ref="H700:H701" si="265">E700/D700*100</f>
        <v>70.582652904644078</v>
      </c>
      <c r="I700" s="1255">
        <f t="shared" si="258"/>
        <v>91.347812359923225</v>
      </c>
      <c r="J700" s="1520">
        <v>12226018.02</v>
      </c>
    </row>
    <row r="701" spans="1:10" s="116" customFormat="1" x14ac:dyDescent="0.2">
      <c r="A701" s="832"/>
      <c r="B701" s="761" t="s">
        <v>769</v>
      </c>
      <c r="C701" s="871">
        <v>129000</v>
      </c>
      <c r="D701" s="871">
        <v>129000</v>
      </c>
      <c r="E701" s="1163">
        <v>129000</v>
      </c>
      <c r="F701" s="1163"/>
      <c r="G701" s="1243">
        <f t="shared" si="264"/>
        <v>100</v>
      </c>
      <c r="H701" s="1248">
        <f t="shared" si="265"/>
        <v>100</v>
      </c>
      <c r="I701" s="1249">
        <f t="shared" si="258"/>
        <v>58.186738836265228</v>
      </c>
      <c r="J701" s="1520">
        <v>221700</v>
      </c>
    </row>
    <row r="702" spans="1:10" x14ac:dyDescent="0.2">
      <c r="A702" s="832"/>
      <c r="B702" s="761" t="s">
        <v>770</v>
      </c>
      <c r="C702" s="871">
        <v>200000</v>
      </c>
      <c r="D702" s="871">
        <v>200000</v>
      </c>
      <c r="E702" s="1163">
        <v>0</v>
      </c>
      <c r="F702" s="1163"/>
      <c r="G702" s="1243">
        <f t="shared" ref="G702:G711" si="266">E702/C702*100</f>
        <v>0</v>
      </c>
      <c r="H702" s="1248">
        <f t="shared" ref="H702:H712" si="267">E702/D702*100</f>
        <v>0</v>
      </c>
      <c r="I702" s="1249">
        <f t="shared" si="258"/>
        <v>0</v>
      </c>
      <c r="J702" s="1520">
        <v>149500</v>
      </c>
    </row>
    <row r="703" spans="1:10" x14ac:dyDescent="0.2">
      <c r="A703" s="832"/>
      <c r="B703" s="761" t="s">
        <v>1419</v>
      </c>
      <c r="C703" s="871">
        <v>9749028</v>
      </c>
      <c r="D703" s="871">
        <f>9749028-360000</f>
        <v>9389028</v>
      </c>
      <c r="E703" s="1163">
        <v>8771200</v>
      </c>
      <c r="F703" s="1163"/>
      <c r="G703" s="1243">
        <f t="shared" si="266"/>
        <v>89.969994957446005</v>
      </c>
      <c r="H703" s="1248">
        <f t="shared" si="267"/>
        <v>93.419680929697947</v>
      </c>
      <c r="I703" s="1249">
        <f t="shared" si="258"/>
        <v>112.71283362674924</v>
      </c>
      <c r="J703" s="1520">
        <v>7781900</v>
      </c>
    </row>
    <row r="704" spans="1:10" x14ac:dyDescent="0.2">
      <c r="A704" s="832"/>
      <c r="B704" s="761" t="s">
        <v>1420</v>
      </c>
      <c r="C704" s="871">
        <v>1853095</v>
      </c>
      <c r="D704" s="871">
        <v>1853095</v>
      </c>
      <c r="E704" s="1163">
        <v>0</v>
      </c>
      <c r="F704" s="1163"/>
      <c r="G704" s="1243">
        <f t="shared" si="266"/>
        <v>0</v>
      </c>
      <c r="H704" s="1248">
        <f t="shared" si="267"/>
        <v>0</v>
      </c>
      <c r="I704" s="1249">
        <f t="shared" si="258"/>
        <v>0</v>
      </c>
      <c r="J704" s="1520">
        <v>1096000</v>
      </c>
    </row>
    <row r="705" spans="1:10" x14ac:dyDescent="0.2">
      <c r="A705" s="832"/>
      <c r="B705" s="761" t="s">
        <v>773</v>
      </c>
      <c r="C705" s="871">
        <v>135000</v>
      </c>
      <c r="D705" s="871">
        <v>135000</v>
      </c>
      <c r="E705" s="1163">
        <v>135000</v>
      </c>
      <c r="F705" s="1163"/>
      <c r="G705" s="1243">
        <f t="shared" si="266"/>
        <v>100</v>
      </c>
      <c r="H705" s="1248">
        <f t="shared" si="267"/>
        <v>100</v>
      </c>
      <c r="I705" s="1249">
        <f t="shared" si="258"/>
        <v>100</v>
      </c>
      <c r="J705" s="1520">
        <v>135000</v>
      </c>
    </row>
    <row r="706" spans="1:10" x14ac:dyDescent="0.2">
      <c r="A706" s="832"/>
      <c r="B706" s="761" t="s">
        <v>774</v>
      </c>
      <c r="C706" s="871">
        <v>235000</v>
      </c>
      <c r="D706" s="871">
        <v>235000</v>
      </c>
      <c r="E706" s="1163">
        <v>235000</v>
      </c>
      <c r="F706" s="1163"/>
      <c r="G706" s="1243">
        <f t="shared" si="266"/>
        <v>100</v>
      </c>
      <c r="H706" s="1248">
        <f t="shared" si="267"/>
        <v>100</v>
      </c>
      <c r="I706" s="1249">
        <f t="shared" si="258"/>
        <v>111.90476190476191</v>
      </c>
      <c r="J706" s="1520">
        <v>210000</v>
      </c>
    </row>
    <row r="707" spans="1:10" x14ac:dyDescent="0.2">
      <c r="A707" s="832"/>
      <c r="B707" s="761" t="s">
        <v>1103</v>
      </c>
      <c r="C707" s="871">
        <v>1000000</v>
      </c>
      <c r="D707" s="871">
        <v>1000000</v>
      </c>
      <c r="E707" s="1163">
        <v>0</v>
      </c>
      <c r="F707" s="1163"/>
      <c r="G707" s="1243">
        <f t="shared" si="266"/>
        <v>0</v>
      </c>
      <c r="H707" s="1248">
        <f t="shared" si="267"/>
        <v>0</v>
      </c>
      <c r="I707" s="1249">
        <v>0</v>
      </c>
      <c r="J707" s="1520">
        <v>0</v>
      </c>
    </row>
    <row r="708" spans="1:10" x14ac:dyDescent="0.2">
      <c r="A708" s="713"/>
      <c r="B708" s="761" t="s">
        <v>775</v>
      </c>
      <c r="C708" s="871">
        <v>50000</v>
      </c>
      <c r="D708" s="871">
        <v>50000</v>
      </c>
      <c r="E708" s="1163">
        <v>0</v>
      </c>
      <c r="F708" s="1163"/>
      <c r="G708" s="1243">
        <f t="shared" si="266"/>
        <v>0</v>
      </c>
      <c r="H708" s="1248">
        <f t="shared" si="267"/>
        <v>0</v>
      </c>
      <c r="I708" s="1249">
        <f t="shared" si="258"/>
        <v>0</v>
      </c>
      <c r="J708" s="1520">
        <v>27444.89</v>
      </c>
    </row>
    <row r="709" spans="1:10" ht="24.75" customHeight="1" x14ac:dyDescent="0.2">
      <c r="A709" s="713"/>
      <c r="B709" s="807" t="s">
        <v>1104</v>
      </c>
      <c r="C709" s="871">
        <v>2310000</v>
      </c>
      <c r="D709" s="871">
        <v>2310000</v>
      </c>
      <c r="E709" s="1163">
        <v>1666000</v>
      </c>
      <c r="F709" s="1163"/>
      <c r="G709" s="1243">
        <f t="shared" si="266"/>
        <v>72.121212121212125</v>
      </c>
      <c r="H709" s="1248">
        <f t="shared" si="267"/>
        <v>72.121212121212125</v>
      </c>
      <c r="I709" s="1258">
        <v>0</v>
      </c>
      <c r="J709" s="1617">
        <v>0</v>
      </c>
    </row>
    <row r="710" spans="1:10" x14ac:dyDescent="0.2">
      <c r="A710" s="713"/>
      <c r="B710" s="761" t="s">
        <v>776</v>
      </c>
      <c r="C710" s="871">
        <v>0</v>
      </c>
      <c r="D710" s="871">
        <f>50000+59000+75000+4745</f>
        <v>188745</v>
      </c>
      <c r="E710" s="1163">
        <v>184000</v>
      </c>
      <c r="F710" s="1163"/>
      <c r="G710" s="1243">
        <v>0</v>
      </c>
      <c r="H710" s="1248">
        <f t="shared" si="267"/>
        <v>97.486026119897218</v>
      </c>
      <c r="I710" s="1249">
        <f t="shared" si="258"/>
        <v>876.19047619047626</v>
      </c>
      <c r="J710" s="1520">
        <v>21000</v>
      </c>
    </row>
    <row r="711" spans="1:10" x14ac:dyDescent="0.2">
      <c r="A711" s="713"/>
      <c r="B711" s="761" t="s">
        <v>1206</v>
      </c>
      <c r="C711" s="871">
        <v>48000</v>
      </c>
      <c r="D711" s="871">
        <v>48000</v>
      </c>
      <c r="E711" s="1262">
        <v>48000</v>
      </c>
      <c r="F711" s="1262"/>
      <c r="G711" s="1243">
        <f t="shared" si="266"/>
        <v>100</v>
      </c>
      <c r="H711" s="1248">
        <f t="shared" si="267"/>
        <v>100</v>
      </c>
      <c r="I711" s="1249">
        <f t="shared" si="258"/>
        <v>111.62790697674419</v>
      </c>
      <c r="J711" s="1520">
        <v>43000</v>
      </c>
    </row>
    <row r="712" spans="1:10" x14ac:dyDescent="0.2">
      <c r="A712" s="713"/>
      <c r="B712" s="761" t="s">
        <v>2046</v>
      </c>
      <c r="C712" s="871">
        <v>0</v>
      </c>
      <c r="D712" s="871">
        <v>285000</v>
      </c>
      <c r="E712" s="1262">
        <v>0</v>
      </c>
      <c r="F712" s="1262"/>
      <c r="G712" s="1243">
        <v>0</v>
      </c>
      <c r="H712" s="1248">
        <f t="shared" si="267"/>
        <v>0</v>
      </c>
      <c r="I712" s="1249">
        <f t="shared" si="258"/>
        <v>0</v>
      </c>
      <c r="J712" s="1520">
        <v>265673.13</v>
      </c>
    </row>
    <row r="713" spans="1:10" ht="13.5" thickBot="1" x14ac:dyDescent="0.25">
      <c r="A713" s="1662"/>
      <c r="B713" s="1650"/>
      <c r="C713" s="711"/>
      <c r="D713" s="711"/>
      <c r="E713" s="711"/>
      <c r="F713" s="711"/>
      <c r="G713" s="711"/>
      <c r="H713" s="711"/>
      <c r="I713" s="1665"/>
      <c r="J713" s="1520"/>
    </row>
    <row r="714" spans="1:10" ht="21" thickBot="1" x14ac:dyDescent="0.35">
      <c r="A714" s="1662"/>
      <c r="B714" s="1663" t="s">
        <v>777</v>
      </c>
      <c r="C714" s="1664">
        <f t="shared" ref="C714:D714" si="268">C715</f>
        <v>19471500</v>
      </c>
      <c r="D714" s="1664">
        <f t="shared" si="268"/>
        <v>24044500</v>
      </c>
      <c r="E714" s="1632">
        <v>6442331.1100000003</v>
      </c>
      <c r="F714" s="1633"/>
      <c r="G714" s="1347">
        <f>E714/C714*100</f>
        <v>33.085951827029248</v>
      </c>
      <c r="H714" s="1347">
        <f>E714/D714*100</f>
        <v>26.793366923828739</v>
      </c>
      <c r="I714" s="1648">
        <f>E714/J714*100</f>
        <v>96.116022691131391</v>
      </c>
      <c r="J714" s="1520">
        <v>6702660.9400000004</v>
      </c>
    </row>
    <row r="715" spans="1:10" x14ac:dyDescent="0.2">
      <c r="A715" s="833">
        <v>4351</v>
      </c>
      <c r="B715" s="809" t="s">
        <v>778</v>
      </c>
      <c r="C715" s="1220">
        <f t="shared" ref="C715:D715" si="269">SUM(C716:C719)</f>
        <v>19471500</v>
      </c>
      <c r="D715" s="1220">
        <f t="shared" si="269"/>
        <v>24044500</v>
      </c>
      <c r="E715" s="1353">
        <v>6442331.1100000003</v>
      </c>
      <c r="F715" s="1354">
        <f>SUM(E716:E719)</f>
        <v>6442331.1100000003</v>
      </c>
      <c r="G715" s="825">
        <f t="shared" ref="G715:G716" si="270">E715/C715*100</f>
        <v>33.085951827029248</v>
      </c>
      <c r="H715" s="1244">
        <f t="shared" ref="H715:H716" si="271">E715/D715*100</f>
        <v>26.793366923828739</v>
      </c>
      <c r="I715" s="1257">
        <f>E715/J715*100</f>
        <v>96.116022691131391</v>
      </c>
      <c r="J715" s="1520">
        <v>6702660.9400000004</v>
      </c>
    </row>
    <row r="716" spans="1:10" ht="60.75" x14ac:dyDescent="0.2">
      <c r="A716" s="728"/>
      <c r="B716" s="805" t="s">
        <v>1429</v>
      </c>
      <c r="C716" s="942">
        <v>8205000</v>
      </c>
      <c r="D716" s="942">
        <f>8205000+2980000+(419000+181000+2000+161000+2217000-2980000)</f>
        <v>11185000</v>
      </c>
      <c r="E716" s="707">
        <v>3085953.65</v>
      </c>
      <c r="F716" s="707"/>
      <c r="G716" s="1243">
        <f t="shared" si="270"/>
        <v>37.6106477757465</v>
      </c>
      <c r="H716" s="1248">
        <f t="shared" si="271"/>
        <v>27.590108627626286</v>
      </c>
      <c r="I716" s="1258">
        <f>E716/J716*100</f>
        <v>101.07591324843084</v>
      </c>
      <c r="J716" s="1617">
        <v>3053104.89</v>
      </c>
    </row>
    <row r="717" spans="1:10" ht="48.75" x14ac:dyDescent="0.2">
      <c r="A717" s="728"/>
      <c r="B717" s="805" t="s">
        <v>1428</v>
      </c>
      <c r="C717" s="942">
        <v>2224000</v>
      </c>
      <c r="D717" s="942">
        <f>2224000+559000+(492000+36000+31000-559000)</f>
        <v>2783000</v>
      </c>
      <c r="E717" s="735">
        <v>785212.05</v>
      </c>
      <c r="F717" s="735"/>
      <c r="G717" s="1243">
        <f t="shared" ref="G717:G719" si="272">E717/C717*100</f>
        <v>35.30629721223022</v>
      </c>
      <c r="H717" s="1248">
        <f t="shared" ref="H717:H719" si="273">E717/D717*100</f>
        <v>28.214590370104204</v>
      </c>
      <c r="I717" s="1258">
        <f t="shared" ref="I717:I718" si="274">E717/J717*100</f>
        <v>102.74363292351659</v>
      </c>
      <c r="J717" s="1617">
        <v>764244</v>
      </c>
    </row>
    <row r="718" spans="1:10" ht="36.75" x14ac:dyDescent="0.2">
      <c r="A718" s="713"/>
      <c r="B718" s="805" t="s">
        <v>1430</v>
      </c>
      <c r="C718" s="942">
        <v>6642500</v>
      </c>
      <c r="D718" s="942">
        <f>6642500+1034000+(978000+56000-1034000)</f>
        <v>7676500</v>
      </c>
      <c r="E718" s="1163">
        <v>2571165.41</v>
      </c>
      <c r="F718" s="1163"/>
      <c r="G718" s="1243">
        <f t="shared" si="272"/>
        <v>38.707796913812572</v>
      </c>
      <c r="H718" s="1248">
        <f t="shared" si="273"/>
        <v>33.493980459844984</v>
      </c>
      <c r="I718" s="1258">
        <f t="shared" si="274"/>
        <v>109.53317650208263</v>
      </c>
      <c r="J718" s="1617">
        <v>2347385.0499999998</v>
      </c>
    </row>
    <row r="719" spans="1:10" x14ac:dyDescent="0.2">
      <c r="A719" s="833"/>
      <c r="B719" s="810" t="s">
        <v>2025</v>
      </c>
      <c r="C719" s="943">
        <v>2400000</v>
      </c>
      <c r="D719" s="943">
        <v>2400000</v>
      </c>
      <c r="E719" s="1163">
        <v>0</v>
      </c>
      <c r="F719" s="1163"/>
      <c r="G719" s="1243">
        <f t="shared" si="272"/>
        <v>0</v>
      </c>
      <c r="H719" s="1248">
        <f t="shared" si="273"/>
        <v>0</v>
      </c>
      <c r="I719" s="1258">
        <v>0</v>
      </c>
      <c r="J719" s="1520">
        <v>0</v>
      </c>
    </row>
    <row r="720" spans="1:10" ht="13.5" thickBot="1" x14ac:dyDescent="0.25">
      <c r="A720" s="781"/>
      <c r="B720" s="791"/>
      <c r="C720" s="944"/>
      <c r="D720" s="944"/>
      <c r="E720" s="781"/>
      <c r="F720" s="1355"/>
      <c r="G720" s="781"/>
      <c r="H720" s="781"/>
      <c r="I720" s="1356"/>
      <c r="J720" s="1520"/>
    </row>
    <row r="721" spans="1:10" s="12" customFormat="1" ht="21" thickBot="1" x14ac:dyDescent="0.35">
      <c r="A721" s="772"/>
      <c r="B721" s="783" t="s">
        <v>50</v>
      </c>
      <c r="C721" s="945">
        <f>SUM(C722,C723,C724,C725,C726,C727,C728,C729,C733,C734,C735,C736,C741,C742)</f>
        <v>67229000</v>
      </c>
      <c r="D721" s="945">
        <f>SUM(D722,D723,D724,D725,D726,D727,D728,D729,D733,D734,D735,D736,D741,D742)</f>
        <v>70566434</v>
      </c>
      <c r="E721" s="1603">
        <v>32162110.5</v>
      </c>
      <c r="F721" s="1602">
        <f>SUM(E722:E729,E733:E736,E741)</f>
        <v>32162110.5</v>
      </c>
      <c r="G721" s="1349">
        <f>E721/C721*100</f>
        <v>47.839638400095197</v>
      </c>
      <c r="H721" s="1349">
        <f>E721/D721*100</f>
        <v>45.577066427928045</v>
      </c>
      <c r="I721" s="1297">
        <f>E721/J721*100</f>
        <v>86.387014401900302</v>
      </c>
      <c r="J721" s="1179">
        <v>37230260.5</v>
      </c>
    </row>
    <row r="722" spans="1:10" x14ac:dyDescent="0.2">
      <c r="A722" s="773">
        <v>1014</v>
      </c>
      <c r="B722" s="785" t="s">
        <v>782</v>
      </c>
      <c r="C722" s="870">
        <v>500000</v>
      </c>
      <c r="D722" s="870">
        <v>500000</v>
      </c>
      <c r="E722" s="1218">
        <v>110830</v>
      </c>
      <c r="F722" s="1163"/>
      <c r="G722" s="825">
        <f t="shared" ref="G722:G723" si="275">E722/C722*100</f>
        <v>22.166</v>
      </c>
      <c r="H722" s="1244">
        <f t="shared" ref="H722:H723" si="276">E722/D722*100</f>
        <v>22.166</v>
      </c>
      <c r="I722" s="1257">
        <f t="shared" ref="I722:I741" si="277">E722/J722*100</f>
        <v>98.446424288721701</v>
      </c>
      <c r="J722" s="1520">
        <v>112579</v>
      </c>
    </row>
    <row r="723" spans="1:10" x14ac:dyDescent="0.2">
      <c r="A723" s="713">
        <v>1031</v>
      </c>
      <c r="B723" s="760" t="s">
        <v>1204</v>
      </c>
      <c r="C723" s="870">
        <v>650000</v>
      </c>
      <c r="D723" s="870">
        <f>650000+50000</f>
        <v>700000</v>
      </c>
      <c r="E723" s="1218">
        <v>8893.5</v>
      </c>
      <c r="F723" s="1163"/>
      <c r="G723" s="825">
        <f t="shared" si="275"/>
        <v>1.3682307692307691</v>
      </c>
      <c r="H723" s="1244">
        <f t="shared" si="276"/>
        <v>1.2705</v>
      </c>
      <c r="I723" s="1257">
        <f t="shared" si="277"/>
        <v>6.2107116706699168</v>
      </c>
      <c r="J723" s="1520">
        <v>143196.15</v>
      </c>
    </row>
    <row r="724" spans="1:10" x14ac:dyDescent="0.2">
      <c r="A724" s="713">
        <v>1036</v>
      </c>
      <c r="B724" s="760" t="s">
        <v>784</v>
      </c>
      <c r="C724" s="870">
        <v>155000</v>
      </c>
      <c r="D724" s="870">
        <v>155000</v>
      </c>
      <c r="E724" s="1218">
        <v>49708</v>
      </c>
      <c r="F724" s="1163"/>
      <c r="G724" s="825">
        <f t="shared" ref="G724:G741" si="278">E724/C724*100</f>
        <v>32.069677419354839</v>
      </c>
      <c r="H724" s="1244">
        <f t="shared" ref="H724:H741" si="279">E724/D724*100</f>
        <v>32.069677419354839</v>
      </c>
      <c r="I724" s="1257">
        <f t="shared" si="277"/>
        <v>100</v>
      </c>
      <c r="J724" s="1520">
        <v>49708</v>
      </c>
    </row>
    <row r="725" spans="1:10" s="289" customFormat="1" ht="12.75" customHeight="1" x14ac:dyDescent="0.25">
      <c r="A725" s="713">
        <v>1037</v>
      </c>
      <c r="B725" s="760" t="s">
        <v>1205</v>
      </c>
      <c r="C725" s="870">
        <v>25000</v>
      </c>
      <c r="D725" s="870">
        <v>25000</v>
      </c>
      <c r="E725" s="1218">
        <v>11668</v>
      </c>
      <c r="F725" s="1163"/>
      <c r="G725" s="825">
        <f t="shared" si="278"/>
        <v>46.672000000000004</v>
      </c>
      <c r="H725" s="1244">
        <f t="shared" si="279"/>
        <v>46.672000000000004</v>
      </c>
      <c r="I725" s="1257">
        <f t="shared" si="277"/>
        <v>152.52287581699346</v>
      </c>
      <c r="J725" s="1520">
        <v>7650</v>
      </c>
    </row>
    <row r="726" spans="1:10" s="116" customFormat="1" x14ac:dyDescent="0.2">
      <c r="A726" s="713">
        <v>1039</v>
      </c>
      <c r="B726" s="760" t="s">
        <v>786</v>
      </c>
      <c r="C726" s="870">
        <v>260000</v>
      </c>
      <c r="D726" s="870">
        <f>260000-50000</f>
        <v>210000</v>
      </c>
      <c r="E726" s="1218">
        <v>38601.42</v>
      </c>
      <c r="F726" s="1163"/>
      <c r="G726" s="825">
        <f t="shared" si="278"/>
        <v>14.846699999999998</v>
      </c>
      <c r="H726" s="1244">
        <f t="shared" si="279"/>
        <v>18.381628571428571</v>
      </c>
      <c r="I726" s="1257">
        <v>0</v>
      </c>
      <c r="J726" s="1520">
        <v>0</v>
      </c>
    </row>
    <row r="727" spans="1:10" s="116" customFormat="1" x14ac:dyDescent="0.2">
      <c r="A727" s="713">
        <v>2369</v>
      </c>
      <c r="B727" s="760" t="s">
        <v>1389</v>
      </c>
      <c r="C727" s="870">
        <v>370000</v>
      </c>
      <c r="D727" s="870">
        <v>370000</v>
      </c>
      <c r="E727" s="1218">
        <v>6146.8</v>
      </c>
      <c r="F727" s="1163"/>
      <c r="G727" s="825">
        <f t="shared" si="278"/>
        <v>1.6612972972972972</v>
      </c>
      <c r="H727" s="1244">
        <f t="shared" si="279"/>
        <v>1.6612972972972972</v>
      </c>
      <c r="I727" s="1257">
        <f t="shared" si="277"/>
        <v>26.330793552065519</v>
      </c>
      <c r="J727" s="1520">
        <v>23344.53</v>
      </c>
    </row>
    <row r="728" spans="1:10" s="116" customFormat="1" x14ac:dyDescent="0.2">
      <c r="A728" s="713">
        <v>3721</v>
      </c>
      <c r="B728" s="760" t="s">
        <v>1390</v>
      </c>
      <c r="C728" s="870">
        <v>50000</v>
      </c>
      <c r="D728" s="870">
        <v>50000</v>
      </c>
      <c r="E728" s="1218">
        <v>25200</v>
      </c>
      <c r="F728" s="1163"/>
      <c r="G728" s="825">
        <f t="shared" si="278"/>
        <v>50.4</v>
      </c>
      <c r="H728" s="1244">
        <f t="shared" si="279"/>
        <v>50.4</v>
      </c>
      <c r="I728" s="1257">
        <f t="shared" si="277"/>
        <v>100</v>
      </c>
      <c r="J728" s="1520">
        <v>25200</v>
      </c>
    </row>
    <row r="729" spans="1:10" s="116" customFormat="1" x14ac:dyDescent="0.2">
      <c r="A729" s="713">
        <v>3722</v>
      </c>
      <c r="B729" s="760" t="s">
        <v>789</v>
      </c>
      <c r="C729" s="701">
        <f>SUM(C730:C732)</f>
        <v>37945000</v>
      </c>
      <c r="D729" s="701">
        <f>SUM(D730:D732)</f>
        <v>41282434</v>
      </c>
      <c r="E729" s="701">
        <v>19614565.27</v>
      </c>
      <c r="F729" s="707">
        <f>SUM(E730:E732)</f>
        <v>19614565.27</v>
      </c>
      <c r="G729" s="825">
        <f t="shared" si="278"/>
        <v>51.69209453155883</v>
      </c>
      <c r="H729" s="1244">
        <f t="shared" si="279"/>
        <v>47.513102715794325</v>
      </c>
      <c r="I729" s="1257">
        <f t="shared" si="277"/>
        <v>100.19262997654275</v>
      </c>
      <c r="J729" s="1520">
        <v>19576854.379999999</v>
      </c>
    </row>
    <row r="730" spans="1:10" s="116" customFormat="1" x14ac:dyDescent="0.2">
      <c r="A730" s="713"/>
      <c r="B730" s="763" t="s">
        <v>2018</v>
      </c>
      <c r="C730" s="871">
        <v>4250000</v>
      </c>
      <c r="D730" s="871">
        <f>4250000+3337434</f>
        <v>7587434</v>
      </c>
      <c r="E730" s="1163">
        <v>3337434</v>
      </c>
      <c r="F730" s="1163"/>
      <c r="G730" s="1243">
        <f t="shared" si="278"/>
        <v>78.527858823529414</v>
      </c>
      <c r="H730" s="1248">
        <f t="shared" si="279"/>
        <v>43.98633319248642</v>
      </c>
      <c r="I730" s="1258">
        <f t="shared" si="277"/>
        <v>91.090155791128538</v>
      </c>
      <c r="J730" s="1520">
        <v>3663880</v>
      </c>
    </row>
    <row r="731" spans="1:10" s="116" customFormat="1" x14ac:dyDescent="0.2">
      <c r="A731" s="713"/>
      <c r="B731" s="762" t="s">
        <v>790</v>
      </c>
      <c r="C731" s="871">
        <v>31150000</v>
      </c>
      <c r="D731" s="871">
        <v>31150000</v>
      </c>
      <c r="E731" s="1163">
        <v>15576000</v>
      </c>
      <c r="F731" s="1163"/>
      <c r="G731" s="1243">
        <f t="shared" si="278"/>
        <v>50.003210272873197</v>
      </c>
      <c r="H731" s="1248">
        <f t="shared" si="279"/>
        <v>50.003210272873197</v>
      </c>
      <c r="I731" s="1258">
        <f t="shared" si="277"/>
        <v>101.80392156862746</v>
      </c>
      <c r="J731" s="1520">
        <v>15300000</v>
      </c>
    </row>
    <row r="732" spans="1:10" s="116" customFormat="1" x14ac:dyDescent="0.2">
      <c r="A732" s="713"/>
      <c r="B732" s="762" t="s">
        <v>791</v>
      </c>
      <c r="C732" s="871">
        <v>2545000</v>
      </c>
      <c r="D732" s="871">
        <v>2545000</v>
      </c>
      <c r="E732" s="1163">
        <v>701131.27</v>
      </c>
      <c r="F732" s="1163"/>
      <c r="G732" s="1243">
        <f t="shared" si="278"/>
        <v>27.549362278978389</v>
      </c>
      <c r="H732" s="1248">
        <f t="shared" si="279"/>
        <v>27.549362278978389</v>
      </c>
      <c r="I732" s="1258">
        <f t="shared" si="277"/>
        <v>114.38182294013659</v>
      </c>
      <c r="J732" s="1520">
        <v>612974.38</v>
      </c>
    </row>
    <row r="733" spans="1:10" s="116" customFormat="1" x14ac:dyDescent="0.2">
      <c r="A733" s="713">
        <v>3725</v>
      </c>
      <c r="B733" s="1021" t="s">
        <v>2167</v>
      </c>
      <c r="C733" s="940">
        <v>1650000</v>
      </c>
      <c r="D733" s="940">
        <v>1650000</v>
      </c>
      <c r="E733" s="1218">
        <v>1633500</v>
      </c>
      <c r="F733" s="1163"/>
      <c r="G733" s="825">
        <f t="shared" si="278"/>
        <v>99</v>
      </c>
      <c r="H733" s="1244">
        <f t="shared" si="279"/>
        <v>99</v>
      </c>
      <c r="I733" s="1257">
        <v>0</v>
      </c>
      <c r="J733" s="1520">
        <v>0</v>
      </c>
    </row>
    <row r="734" spans="1:10" s="116" customFormat="1" x14ac:dyDescent="0.2">
      <c r="A734" s="713">
        <v>3733</v>
      </c>
      <c r="B734" s="760" t="s">
        <v>1391</v>
      </c>
      <c r="C734" s="870">
        <v>65000</v>
      </c>
      <c r="D734" s="870">
        <v>65000</v>
      </c>
      <c r="E734" s="1218">
        <v>0</v>
      </c>
      <c r="F734" s="1163"/>
      <c r="G734" s="825">
        <f t="shared" si="278"/>
        <v>0</v>
      </c>
      <c r="H734" s="1244">
        <f t="shared" si="279"/>
        <v>0</v>
      </c>
      <c r="I734" s="1257">
        <v>0</v>
      </c>
      <c r="J734" s="1520">
        <v>0</v>
      </c>
    </row>
    <row r="735" spans="1:10" s="116" customFormat="1" x14ac:dyDescent="0.2">
      <c r="A735" s="713">
        <v>3742</v>
      </c>
      <c r="B735" s="723" t="s">
        <v>1392</v>
      </c>
      <c r="C735" s="870">
        <v>100000</v>
      </c>
      <c r="D735" s="870">
        <v>100000</v>
      </c>
      <c r="E735" s="1218">
        <v>0</v>
      </c>
      <c r="F735" s="1163"/>
      <c r="G735" s="825">
        <f t="shared" si="278"/>
        <v>0</v>
      </c>
      <c r="H735" s="1244">
        <f t="shared" si="279"/>
        <v>0</v>
      </c>
      <c r="I735" s="1257">
        <v>0</v>
      </c>
      <c r="J735" s="1520">
        <v>0</v>
      </c>
    </row>
    <row r="736" spans="1:10" s="116" customFormat="1" x14ac:dyDescent="0.2">
      <c r="A736" s="713">
        <v>3745</v>
      </c>
      <c r="B736" s="760" t="s">
        <v>796</v>
      </c>
      <c r="C736" s="701">
        <f>SUM(C737:C740)</f>
        <v>25144000</v>
      </c>
      <c r="D736" s="701">
        <f>SUM(D737:D740)</f>
        <v>25144000</v>
      </c>
      <c r="E736" s="701">
        <v>10645878.51</v>
      </c>
      <c r="F736" s="707">
        <f>SUM(E737:E740)</f>
        <v>10645878.51</v>
      </c>
      <c r="G736" s="825">
        <f t="shared" si="278"/>
        <v>42.339637726694242</v>
      </c>
      <c r="H736" s="1244">
        <f t="shared" si="279"/>
        <v>42.339637726694242</v>
      </c>
      <c r="I736" s="1257">
        <f t="shared" si="277"/>
        <v>61.594995595161187</v>
      </c>
      <c r="J736" s="1520">
        <v>17283674.440000001</v>
      </c>
    </row>
    <row r="737" spans="1:252" s="116" customFormat="1" x14ac:dyDescent="0.2">
      <c r="A737" s="713"/>
      <c r="B737" s="762" t="s">
        <v>1070</v>
      </c>
      <c r="C737" s="871">
        <v>260000</v>
      </c>
      <c r="D737" s="871">
        <v>260000</v>
      </c>
      <c r="E737" s="1163">
        <v>0</v>
      </c>
      <c r="F737" s="1163"/>
      <c r="G737" s="1243">
        <f t="shared" si="278"/>
        <v>0</v>
      </c>
      <c r="H737" s="1248">
        <f t="shared" si="279"/>
        <v>0</v>
      </c>
      <c r="I737" s="1258">
        <v>0</v>
      </c>
      <c r="J737" s="1520">
        <v>0</v>
      </c>
    </row>
    <row r="738" spans="1:252" s="116" customFormat="1" x14ac:dyDescent="0.2">
      <c r="A738" s="728"/>
      <c r="B738" s="762" t="s">
        <v>798</v>
      </c>
      <c r="C738" s="871">
        <v>19300000</v>
      </c>
      <c r="D738" s="871">
        <v>19300000</v>
      </c>
      <c r="E738" s="1163">
        <v>9649998</v>
      </c>
      <c r="F738" s="1163"/>
      <c r="G738" s="1243">
        <f t="shared" si="278"/>
        <v>49.999989637305696</v>
      </c>
      <c r="H738" s="1248">
        <f t="shared" si="279"/>
        <v>49.999989637305696</v>
      </c>
      <c r="I738" s="1258">
        <f t="shared" si="277"/>
        <v>99.228791615175652</v>
      </c>
      <c r="J738" s="1520">
        <v>9724998</v>
      </c>
    </row>
    <row r="739" spans="1:252" s="116" customFormat="1" x14ac:dyDescent="0.2">
      <c r="A739" s="728"/>
      <c r="B739" s="762" t="s">
        <v>799</v>
      </c>
      <c r="C739" s="871">
        <v>2834000</v>
      </c>
      <c r="D739" s="871">
        <v>2834000</v>
      </c>
      <c r="E739" s="1163">
        <v>995880.51</v>
      </c>
      <c r="F739" s="1163"/>
      <c r="G739" s="1243">
        <f t="shared" si="278"/>
        <v>35.140455539872974</v>
      </c>
      <c r="H739" s="1248">
        <f t="shared" si="279"/>
        <v>35.140455539872974</v>
      </c>
      <c r="I739" s="1258">
        <f t="shared" si="277"/>
        <v>191.28579259827239</v>
      </c>
      <c r="J739" s="1520">
        <v>520624.4</v>
      </c>
    </row>
    <row r="740" spans="1:252" s="116" customFormat="1" ht="24.75" x14ac:dyDescent="0.2">
      <c r="A740" s="713"/>
      <c r="B740" s="763" t="s">
        <v>1509</v>
      </c>
      <c r="C740" s="871">
        <v>2750000</v>
      </c>
      <c r="D740" s="871">
        <v>2750000</v>
      </c>
      <c r="E740" s="1163">
        <v>0</v>
      </c>
      <c r="F740" s="1163"/>
      <c r="G740" s="1243">
        <f t="shared" si="278"/>
        <v>0</v>
      </c>
      <c r="H740" s="1248">
        <f t="shared" si="279"/>
        <v>0</v>
      </c>
      <c r="I740" s="1258">
        <f t="shared" si="277"/>
        <v>0</v>
      </c>
      <c r="J740" s="1617">
        <v>7038052.04</v>
      </c>
    </row>
    <row r="741" spans="1:252" ht="13.5" thickBot="1" x14ac:dyDescent="0.25">
      <c r="A741" s="713">
        <v>3792</v>
      </c>
      <c r="B741" s="760" t="s">
        <v>801</v>
      </c>
      <c r="C741" s="870">
        <v>215000</v>
      </c>
      <c r="D741" s="870">
        <v>215000</v>
      </c>
      <c r="E741" s="1218">
        <v>17119</v>
      </c>
      <c r="F741" s="1163"/>
      <c r="G741" s="825">
        <f t="shared" si="278"/>
        <v>7.9623255813953495</v>
      </c>
      <c r="H741" s="1244">
        <f t="shared" si="279"/>
        <v>7.9623255813953495</v>
      </c>
      <c r="I741" s="1257">
        <f t="shared" si="277"/>
        <v>212.5527688105289</v>
      </c>
      <c r="J741" s="1520">
        <v>8054</v>
      </c>
    </row>
    <row r="742" spans="1:252" ht="16.5" thickBot="1" x14ac:dyDescent="0.3">
      <c r="A742" s="774"/>
      <c r="B742" s="811" t="s">
        <v>1071</v>
      </c>
      <c r="C742" s="956">
        <f>SUM(C743:C743)</f>
        <v>100000</v>
      </c>
      <c r="D742" s="956">
        <f>SUM(D743:D743)</f>
        <v>100000</v>
      </c>
      <c r="E742" s="863">
        <v>0</v>
      </c>
      <c r="F742" s="1357"/>
      <c r="G742" s="1237">
        <f>E742/C742*100</f>
        <v>0</v>
      </c>
      <c r="H742" s="1237">
        <f>E742/D742*100</f>
        <v>0</v>
      </c>
      <c r="I742" s="1253">
        <v>0</v>
      </c>
      <c r="J742" s="1520">
        <v>0</v>
      </c>
    </row>
    <row r="743" spans="1:252" x14ac:dyDescent="0.2">
      <c r="A743" s="731" t="s">
        <v>1095</v>
      </c>
      <c r="B743" s="724" t="s">
        <v>1401</v>
      </c>
      <c r="C743" s="706">
        <v>100000</v>
      </c>
      <c r="D743" s="706">
        <v>100000</v>
      </c>
      <c r="E743" s="706">
        <v>0</v>
      </c>
      <c r="F743" s="1294"/>
      <c r="G743" s="825">
        <f t="shared" ref="G743" si="280">E743/C743*100</f>
        <v>0</v>
      </c>
      <c r="H743" s="1244">
        <f t="shared" ref="H743" si="281">E743/D743*100</f>
        <v>0</v>
      </c>
      <c r="I743" s="1257">
        <v>0</v>
      </c>
      <c r="J743" s="1520">
        <v>0</v>
      </c>
    </row>
    <row r="744" spans="1:252" ht="13.5" thickBot="1" x14ac:dyDescent="0.25">
      <c r="A744" s="1450"/>
      <c r="B744" s="1451"/>
      <c r="C744" s="751"/>
      <c r="D744" s="751"/>
      <c r="E744" s="751"/>
      <c r="F744" s="751"/>
      <c r="G744" s="751"/>
      <c r="H744" s="751"/>
      <c r="I744" s="1359"/>
      <c r="J744" s="1520"/>
    </row>
    <row r="745" spans="1:252" ht="21" thickBot="1" x14ac:dyDescent="0.35">
      <c r="A745" s="1180"/>
      <c r="B745" s="797" t="s">
        <v>803</v>
      </c>
      <c r="C745" s="1181">
        <f>SUM(C746,C747,C765,C794,C836,C843,C844,C847)</f>
        <v>136758000</v>
      </c>
      <c r="D745" s="1181">
        <f>SUM(D746,D747,D765,D794,D836,D843,D844,D847)</f>
        <v>136758000</v>
      </c>
      <c r="E745" s="1313">
        <v>54879283.859999999</v>
      </c>
      <c r="F745" s="1360">
        <f>SUM(E746:E747,E765,E794,E836,E843:E844,E847)</f>
        <v>54879283.860000007</v>
      </c>
      <c r="G745" s="1349">
        <f>E745/C745*100</f>
        <v>40.128755802219978</v>
      </c>
      <c r="H745" s="1349">
        <f>E745/D745*100</f>
        <v>40.128755802219978</v>
      </c>
      <c r="I745" s="1297">
        <f>E745/J745*100</f>
        <v>100.65212094639044</v>
      </c>
      <c r="J745" s="96">
        <v>54523723.240000002</v>
      </c>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c r="EZ745"/>
      <c r="FA745"/>
      <c r="FB745"/>
      <c r="FC745"/>
      <c r="FD745"/>
      <c r="FE745"/>
      <c r="FF745"/>
      <c r="FG745"/>
      <c r="FH745"/>
      <c r="FI745"/>
      <c r="FJ745"/>
      <c r="FK745"/>
      <c r="FL745"/>
      <c r="FM745"/>
      <c r="FN745"/>
      <c r="FO745"/>
      <c r="FP745"/>
      <c r="FQ745"/>
      <c r="FR745"/>
      <c r="FS745"/>
      <c r="FT745"/>
      <c r="FU745"/>
      <c r="FV745"/>
      <c r="FW745"/>
      <c r="FX745"/>
      <c r="FY745"/>
      <c r="FZ745"/>
      <c r="GA745"/>
      <c r="GB745"/>
      <c r="GC745"/>
      <c r="GD745"/>
      <c r="GE745"/>
      <c r="GF745"/>
      <c r="GG745"/>
      <c r="GH745"/>
      <c r="GI745"/>
      <c r="GJ745"/>
      <c r="GK745"/>
      <c r="GL745"/>
      <c r="GM745"/>
      <c r="GN745"/>
      <c r="GO745"/>
      <c r="GP745"/>
      <c r="GQ745"/>
      <c r="GR745"/>
      <c r="GS745"/>
      <c r="GT745"/>
      <c r="GU745"/>
      <c r="GV745"/>
      <c r="GW745"/>
      <c r="GX745"/>
      <c r="GY745"/>
      <c r="GZ745"/>
      <c r="HA745"/>
      <c r="HB745"/>
      <c r="HC745"/>
      <c r="HD745"/>
      <c r="HE745"/>
      <c r="HF745"/>
      <c r="HG745"/>
      <c r="HH745"/>
      <c r="HI745"/>
      <c r="HJ745"/>
      <c r="HK745"/>
      <c r="HL745"/>
      <c r="HM745"/>
      <c r="HN745"/>
      <c r="HO745"/>
      <c r="HP745"/>
      <c r="HQ745"/>
      <c r="HR745"/>
      <c r="HS745"/>
      <c r="HT745"/>
      <c r="HU745"/>
      <c r="HV745"/>
      <c r="HW745"/>
      <c r="HX745"/>
      <c r="HY745"/>
      <c r="HZ745"/>
      <c r="IA745"/>
      <c r="IB745"/>
      <c r="IC745"/>
      <c r="ID745"/>
      <c r="IE745"/>
      <c r="IF745"/>
      <c r="IG745"/>
      <c r="IH745"/>
      <c r="II745"/>
      <c r="IJ745"/>
      <c r="IK745"/>
      <c r="IL745"/>
      <c r="IM745"/>
      <c r="IN745"/>
      <c r="IO745"/>
      <c r="IP745"/>
      <c r="IQ745"/>
    </row>
    <row r="746" spans="1:252" ht="12.75" customHeight="1" x14ac:dyDescent="0.2">
      <c r="A746" s="1171">
        <v>3122</v>
      </c>
      <c r="B746" s="1172" t="s">
        <v>2168</v>
      </c>
      <c r="C746" s="870">
        <v>403000</v>
      </c>
      <c r="D746" s="870">
        <v>403000</v>
      </c>
      <c r="E746" s="1218">
        <v>345109.16</v>
      </c>
      <c r="F746" s="1163"/>
      <c r="G746" s="825">
        <f t="shared" ref="G746:G747" si="282">E746/C746*100</f>
        <v>85.635027295285354</v>
      </c>
      <c r="H746" s="1244">
        <f t="shared" ref="H746:H747" si="283">E746/D746*100</f>
        <v>85.635027295285354</v>
      </c>
      <c r="I746" s="1257">
        <f t="shared" ref="I746:I775" si="284">E746/J746*100</f>
        <v>110.23338224763253</v>
      </c>
      <c r="J746" s="96">
        <v>313071.37</v>
      </c>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c r="EZ746"/>
      <c r="FA746"/>
      <c r="FB746"/>
      <c r="FC746"/>
      <c r="FD746"/>
      <c r="FE746"/>
      <c r="FF746"/>
      <c r="FG746"/>
      <c r="FH746"/>
      <c r="FI746"/>
      <c r="FJ746"/>
      <c r="FK746"/>
      <c r="FL746"/>
      <c r="FM746"/>
      <c r="FN746"/>
      <c r="FO746"/>
      <c r="FP746"/>
      <c r="FQ746"/>
      <c r="FR746"/>
      <c r="FS746"/>
      <c r="FT746"/>
      <c r="FU746"/>
      <c r="FV746"/>
      <c r="FW746"/>
      <c r="FX746"/>
      <c r="FY746"/>
      <c r="FZ746"/>
      <c r="GA746"/>
      <c r="GB746"/>
      <c r="GC746"/>
      <c r="GD746"/>
      <c r="GE746"/>
      <c r="GF746"/>
      <c r="GG746"/>
      <c r="GH746"/>
      <c r="GI746"/>
      <c r="GJ746"/>
      <c r="GK746"/>
      <c r="GL746"/>
      <c r="GM746"/>
      <c r="GN746"/>
      <c r="GO746"/>
      <c r="GP746"/>
      <c r="GQ746"/>
      <c r="GR746"/>
      <c r="GS746"/>
      <c r="GT746"/>
      <c r="GU746"/>
      <c r="GV746"/>
      <c r="GW746"/>
      <c r="GX746"/>
      <c r="GY746"/>
      <c r="GZ746"/>
      <c r="HA746"/>
      <c r="HB746"/>
      <c r="HC746"/>
      <c r="HD746"/>
      <c r="HE746"/>
      <c r="HF746"/>
      <c r="HG746"/>
      <c r="HH746"/>
      <c r="HI746"/>
      <c r="HJ746"/>
      <c r="HK746"/>
      <c r="HL746"/>
      <c r="HM746"/>
      <c r="HN746"/>
      <c r="HO746"/>
      <c r="HP746"/>
      <c r="HQ746"/>
      <c r="HR746"/>
      <c r="HS746"/>
      <c r="HT746"/>
      <c r="HU746"/>
      <c r="HV746"/>
      <c r="HW746"/>
      <c r="HX746"/>
      <c r="HY746"/>
      <c r="HZ746"/>
      <c r="IA746"/>
      <c r="IB746"/>
      <c r="IC746"/>
      <c r="ID746"/>
      <c r="IE746"/>
      <c r="IF746"/>
      <c r="IG746"/>
      <c r="IH746"/>
      <c r="II746"/>
      <c r="IJ746"/>
      <c r="IK746"/>
      <c r="IL746"/>
      <c r="IM746"/>
      <c r="IN746"/>
      <c r="IO746"/>
      <c r="IP746"/>
      <c r="IQ746"/>
    </row>
    <row r="747" spans="1:252" ht="12.75" customHeight="1" x14ac:dyDescent="0.2">
      <c r="A747" s="739">
        <v>3412</v>
      </c>
      <c r="B747" s="768" t="s">
        <v>1797</v>
      </c>
      <c r="C747" s="701">
        <f>C748+C757</f>
        <v>50505000</v>
      </c>
      <c r="D747" s="701">
        <f>D748+D757</f>
        <v>50505000</v>
      </c>
      <c r="E747" s="701">
        <v>26169129.899999999</v>
      </c>
      <c r="F747" s="707">
        <f>SUM(E748,E757)</f>
        <v>26169129.899999999</v>
      </c>
      <c r="G747" s="825">
        <f t="shared" si="282"/>
        <v>51.814929016929014</v>
      </c>
      <c r="H747" s="1244">
        <f t="shared" si="283"/>
        <v>51.814929016929014</v>
      </c>
      <c r="I747" s="1257">
        <f t="shared" si="284"/>
        <v>106.19690384323737</v>
      </c>
      <c r="J747" s="96">
        <v>24642083.670000002</v>
      </c>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c r="EZ747"/>
      <c r="FA747"/>
      <c r="FB747"/>
      <c r="FC747"/>
      <c r="FD747"/>
      <c r="FE747"/>
      <c r="FF747"/>
      <c r="FG747"/>
      <c r="FH747"/>
      <c r="FI747"/>
      <c r="FJ747"/>
      <c r="FK747"/>
      <c r="FL747"/>
      <c r="FM747"/>
      <c r="FN747"/>
      <c r="FO747"/>
      <c r="FP747"/>
      <c r="FQ747"/>
      <c r="FR747"/>
      <c r="FS747"/>
      <c r="FT747"/>
      <c r="FU747"/>
      <c r="FV747"/>
      <c r="FW747"/>
      <c r="FX747"/>
      <c r="FY747"/>
      <c r="FZ747"/>
      <c r="GA747"/>
      <c r="GB747"/>
      <c r="GC747"/>
      <c r="GD747"/>
      <c r="GE747"/>
      <c r="GF747"/>
      <c r="GG747"/>
      <c r="GH747"/>
      <c r="GI747"/>
      <c r="GJ747"/>
      <c r="GK747"/>
      <c r="GL747"/>
      <c r="GM747"/>
      <c r="GN747"/>
      <c r="GO747"/>
      <c r="GP747"/>
      <c r="GQ747"/>
      <c r="GR747"/>
      <c r="GS747"/>
      <c r="GT747"/>
      <c r="GU747"/>
      <c r="GV747"/>
      <c r="GW747"/>
      <c r="GX747"/>
      <c r="GY747"/>
      <c r="GZ747"/>
      <c r="HA747"/>
      <c r="HB747"/>
      <c r="HC747"/>
      <c r="HD747"/>
      <c r="HE747"/>
      <c r="HF747"/>
      <c r="HG747"/>
      <c r="HH747"/>
      <c r="HI747"/>
      <c r="HJ747"/>
      <c r="HK747"/>
      <c r="HL747"/>
      <c r="HM747"/>
      <c r="HN747"/>
      <c r="HO747"/>
      <c r="HP747"/>
      <c r="HQ747"/>
      <c r="HR747"/>
      <c r="HS747"/>
      <c r="HT747"/>
      <c r="HU747"/>
      <c r="HV747"/>
      <c r="HW747"/>
      <c r="HX747"/>
      <c r="HY747"/>
      <c r="HZ747"/>
      <c r="IA747"/>
      <c r="IB747"/>
      <c r="IC747"/>
      <c r="ID747"/>
      <c r="IE747"/>
      <c r="IF747"/>
      <c r="IG747"/>
      <c r="IH747"/>
      <c r="II747"/>
      <c r="IJ747"/>
      <c r="IK747"/>
      <c r="IL747"/>
      <c r="IM747"/>
      <c r="IN747"/>
      <c r="IO747"/>
      <c r="IP747"/>
      <c r="IQ747"/>
    </row>
    <row r="748" spans="1:252" ht="12.75" customHeight="1" x14ac:dyDescent="0.2">
      <c r="A748" s="739"/>
      <c r="B748" s="812" t="s">
        <v>1106</v>
      </c>
      <c r="C748" s="1174">
        <f>C749+C752+C754</f>
        <v>35690000</v>
      </c>
      <c r="D748" s="1174">
        <f>D749+D752+D754</f>
        <v>35690000</v>
      </c>
      <c r="E748" s="1174">
        <v>18300000</v>
      </c>
      <c r="F748" s="740">
        <f>SUM(E749,E752,E754)</f>
        <v>18300000</v>
      </c>
      <c r="G748" s="1361">
        <f t="shared" ref="G748:G763" si="285">E748/C748*100</f>
        <v>51.274866909498463</v>
      </c>
      <c r="H748" s="1362">
        <f t="shared" ref="H748:H763" si="286">E748/D748*100</f>
        <v>51.274866909498463</v>
      </c>
      <c r="I748" s="1363">
        <f t="shared" si="284"/>
        <v>104.65615520450629</v>
      </c>
      <c r="J748" s="96">
        <v>17485832.5</v>
      </c>
      <c r="K748" s="58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c r="FD748"/>
      <c r="FE748"/>
      <c r="FF748"/>
      <c r="FG748"/>
      <c r="FH748"/>
      <c r="FI748"/>
      <c r="FJ748"/>
      <c r="FK748"/>
      <c r="FL748"/>
      <c r="FM748"/>
      <c r="FN748"/>
      <c r="FO748"/>
      <c r="FP748"/>
      <c r="FQ748"/>
      <c r="FR748"/>
      <c r="FS748"/>
      <c r="FT748"/>
      <c r="FU748"/>
      <c r="FV748"/>
      <c r="FW748"/>
      <c r="FX748"/>
      <c r="FY748"/>
      <c r="FZ748"/>
      <c r="GA748"/>
      <c r="GB748"/>
      <c r="GC748"/>
      <c r="GD748"/>
      <c r="GE748"/>
      <c r="GF748"/>
      <c r="GG748"/>
      <c r="GH748"/>
      <c r="GI748"/>
      <c r="GJ748"/>
      <c r="GK748"/>
      <c r="GL748"/>
      <c r="GM748"/>
      <c r="GN748"/>
      <c r="GO748"/>
      <c r="GP748"/>
      <c r="GQ748"/>
      <c r="GR748"/>
      <c r="GS748"/>
      <c r="GT748"/>
      <c r="GU748"/>
      <c r="GV748"/>
      <c r="GW748"/>
      <c r="GX748"/>
      <c r="GY748"/>
      <c r="GZ748"/>
      <c r="HA748"/>
      <c r="HB748"/>
      <c r="HC748"/>
      <c r="HD748"/>
      <c r="HE748"/>
      <c r="HF748"/>
      <c r="HG748"/>
      <c r="HH748"/>
      <c r="HI748"/>
      <c r="HJ748"/>
      <c r="HK748"/>
      <c r="HL748"/>
      <c r="HM748"/>
      <c r="HN748"/>
      <c r="HO748"/>
      <c r="HP748"/>
      <c r="HQ748"/>
      <c r="HR748"/>
      <c r="HS748"/>
      <c r="HT748"/>
      <c r="HU748"/>
      <c r="HV748"/>
      <c r="HW748"/>
      <c r="HX748"/>
      <c r="HY748"/>
      <c r="HZ748"/>
      <c r="IA748"/>
      <c r="IB748"/>
      <c r="IC748"/>
      <c r="ID748"/>
      <c r="IE748"/>
      <c r="IF748"/>
      <c r="IG748"/>
      <c r="IH748"/>
      <c r="II748"/>
      <c r="IJ748"/>
      <c r="IK748"/>
      <c r="IL748"/>
      <c r="IM748"/>
      <c r="IN748"/>
      <c r="IO748"/>
      <c r="IP748"/>
      <c r="IQ748"/>
    </row>
    <row r="749" spans="1:252" ht="12.75" customHeight="1" x14ac:dyDescent="0.2">
      <c r="A749" s="739"/>
      <c r="B749" s="765" t="s">
        <v>807</v>
      </c>
      <c r="C749" s="740">
        <f>SUM(C750:C751)</f>
        <v>790000</v>
      </c>
      <c r="D749" s="740">
        <f>SUM(D750:D751)</f>
        <v>878036</v>
      </c>
      <c r="E749" s="740">
        <v>88036</v>
      </c>
      <c r="F749" s="707">
        <f>SUM(E750:E751)</f>
        <v>88036</v>
      </c>
      <c r="G749" s="1364">
        <f t="shared" si="285"/>
        <v>11.14379746835443</v>
      </c>
      <c r="H749" s="1365">
        <f t="shared" si="286"/>
        <v>10.026468163036595</v>
      </c>
      <c r="I749" s="1366">
        <f t="shared" si="284"/>
        <v>12.75982530535871</v>
      </c>
      <c r="J749" s="96">
        <v>689946.75</v>
      </c>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c r="FS749"/>
      <c r="FT749"/>
      <c r="FU749"/>
      <c r="FV749"/>
      <c r="FW749"/>
      <c r="FX749"/>
      <c r="FY749"/>
      <c r="FZ749"/>
      <c r="GA749"/>
      <c r="GB749"/>
      <c r="GC749"/>
      <c r="GD749"/>
      <c r="GE749"/>
      <c r="GF749"/>
      <c r="GG749"/>
      <c r="GH749"/>
      <c r="GI749"/>
      <c r="GJ749"/>
      <c r="GK749"/>
      <c r="GL749"/>
      <c r="GM749"/>
      <c r="GN749"/>
      <c r="GO749"/>
      <c r="GP749"/>
      <c r="GQ749"/>
      <c r="GR749"/>
      <c r="GS749"/>
      <c r="GT749"/>
      <c r="GU749"/>
      <c r="GV749"/>
      <c r="GW749"/>
      <c r="GX749"/>
      <c r="GY749"/>
      <c r="GZ749"/>
      <c r="HA749"/>
      <c r="HB749"/>
      <c r="HC749"/>
      <c r="HD749"/>
      <c r="HE749"/>
      <c r="HF749"/>
      <c r="HG749"/>
      <c r="HH749"/>
      <c r="HI749"/>
      <c r="HJ749"/>
      <c r="HK749"/>
      <c r="HL749"/>
      <c r="HM749"/>
      <c r="HN749"/>
      <c r="HO749"/>
      <c r="HP749"/>
      <c r="HQ749"/>
      <c r="HR749"/>
      <c r="HS749"/>
      <c r="HT749"/>
      <c r="HU749"/>
      <c r="HV749"/>
      <c r="HW749"/>
      <c r="HX749"/>
      <c r="HY749"/>
      <c r="HZ749"/>
      <c r="IA749"/>
      <c r="IB749"/>
      <c r="IC749"/>
      <c r="ID749"/>
      <c r="IE749"/>
      <c r="IF749"/>
      <c r="IG749"/>
      <c r="IH749"/>
      <c r="II749"/>
      <c r="IJ749"/>
      <c r="IK749"/>
      <c r="IL749"/>
      <c r="IM749"/>
      <c r="IN749"/>
      <c r="IO749"/>
      <c r="IP749"/>
      <c r="IQ749"/>
    </row>
    <row r="750" spans="1:252" ht="12.75" customHeight="1" x14ac:dyDescent="0.2">
      <c r="A750" s="739"/>
      <c r="B750" s="1078" t="s">
        <v>2116</v>
      </c>
      <c r="C750" s="983">
        <v>790000</v>
      </c>
      <c r="D750" s="983">
        <v>790000</v>
      </c>
      <c r="E750" s="707">
        <v>0</v>
      </c>
      <c r="F750" s="707"/>
      <c r="G750" s="1243">
        <f t="shared" si="285"/>
        <v>0</v>
      </c>
      <c r="H750" s="1248">
        <f t="shared" si="286"/>
        <v>0</v>
      </c>
      <c r="I750" s="1258">
        <v>0</v>
      </c>
      <c r="J750" s="96">
        <v>0</v>
      </c>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c r="FS750"/>
      <c r="FT750"/>
      <c r="FU750"/>
      <c r="FV750"/>
      <c r="FW750"/>
      <c r="FX750"/>
      <c r="FY750"/>
      <c r="FZ750"/>
      <c r="GA750"/>
      <c r="GB750"/>
      <c r="GC750"/>
      <c r="GD750"/>
      <c r="GE750"/>
      <c r="GF750"/>
      <c r="GG750"/>
      <c r="GH750"/>
      <c r="GI750"/>
      <c r="GJ750"/>
      <c r="GK750"/>
      <c r="GL750"/>
      <c r="GM750"/>
      <c r="GN750"/>
      <c r="GO750"/>
      <c r="GP750"/>
      <c r="GQ750"/>
      <c r="GR750"/>
      <c r="GS750"/>
      <c r="GT750"/>
      <c r="GU750"/>
      <c r="GV750"/>
      <c r="GW750"/>
      <c r="GX750"/>
      <c r="GY750"/>
      <c r="GZ750"/>
      <c r="HA750"/>
      <c r="HB750"/>
      <c r="HC750"/>
      <c r="HD750"/>
      <c r="HE750"/>
      <c r="HF750"/>
      <c r="HG750"/>
      <c r="HH750"/>
      <c r="HI750"/>
      <c r="HJ750"/>
      <c r="HK750"/>
      <c r="HL750"/>
      <c r="HM750"/>
      <c r="HN750"/>
      <c r="HO750"/>
      <c r="HP750"/>
      <c r="HQ750"/>
      <c r="HR750"/>
      <c r="HS750"/>
      <c r="HT750"/>
      <c r="HU750"/>
      <c r="HV750"/>
      <c r="HW750"/>
      <c r="HX750"/>
      <c r="HY750"/>
      <c r="HZ750"/>
      <c r="IA750"/>
      <c r="IB750"/>
      <c r="IC750"/>
      <c r="ID750"/>
      <c r="IE750"/>
      <c r="IF750"/>
      <c r="IG750"/>
      <c r="IH750"/>
      <c r="II750"/>
      <c r="IJ750"/>
      <c r="IK750"/>
      <c r="IL750"/>
      <c r="IM750"/>
      <c r="IN750"/>
      <c r="IO750"/>
      <c r="IP750"/>
      <c r="IQ750"/>
    </row>
    <row r="751" spans="1:252" x14ac:dyDescent="0.2">
      <c r="A751" s="739"/>
      <c r="B751" s="1078" t="s">
        <v>2117</v>
      </c>
      <c r="C751" s="983">
        <v>0</v>
      </c>
      <c r="D751" s="983">
        <v>88036</v>
      </c>
      <c r="E751" s="782">
        <v>88036</v>
      </c>
      <c r="F751" s="782"/>
      <c r="G751" s="1243">
        <v>0</v>
      </c>
      <c r="H751" s="1248">
        <f t="shared" si="286"/>
        <v>100</v>
      </c>
      <c r="I751" s="1258">
        <v>0</v>
      </c>
      <c r="J751" s="96">
        <v>0</v>
      </c>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c r="FD751"/>
      <c r="FE751"/>
      <c r="FF751"/>
      <c r="FG751"/>
      <c r="FH751"/>
      <c r="FI751"/>
      <c r="FJ751"/>
      <c r="FK751"/>
      <c r="FL751"/>
      <c r="FM751"/>
      <c r="FN751"/>
      <c r="FO751"/>
      <c r="FP751"/>
      <c r="FQ751"/>
      <c r="FR751"/>
      <c r="FS751"/>
      <c r="FT751"/>
      <c r="FU751"/>
      <c r="FV751"/>
      <c r="FW751"/>
      <c r="FX751"/>
      <c r="FY751"/>
      <c r="FZ751"/>
      <c r="GA751"/>
      <c r="GB751"/>
      <c r="GC751"/>
      <c r="GD751"/>
      <c r="GE751"/>
      <c r="GF751"/>
      <c r="GG751"/>
      <c r="GH751"/>
      <c r="GI751"/>
      <c r="GJ751"/>
      <c r="GK751"/>
      <c r="GL751"/>
      <c r="GM751"/>
      <c r="GN751"/>
      <c r="GO751"/>
      <c r="GP751"/>
      <c r="GQ751"/>
      <c r="GR751"/>
      <c r="GS751"/>
      <c r="GT751"/>
      <c r="GU751"/>
      <c r="GV751"/>
      <c r="GW751"/>
      <c r="GX751"/>
      <c r="GY751"/>
      <c r="GZ751"/>
      <c r="HA751"/>
      <c r="HB751"/>
      <c r="HC751"/>
      <c r="HD751"/>
      <c r="HE751"/>
      <c r="HF751"/>
      <c r="HG751"/>
      <c r="HH751"/>
      <c r="HI751"/>
      <c r="HJ751"/>
      <c r="HK751"/>
      <c r="HL751"/>
      <c r="HM751"/>
      <c r="HN751"/>
      <c r="HO751"/>
      <c r="HP751"/>
      <c r="HQ751"/>
      <c r="HR751"/>
      <c r="HS751"/>
      <c r="HT751"/>
      <c r="HU751"/>
      <c r="HV751"/>
      <c r="HW751"/>
      <c r="HX751"/>
      <c r="HY751"/>
      <c r="HZ751"/>
      <c r="IA751"/>
      <c r="IB751"/>
      <c r="IC751"/>
      <c r="ID751"/>
      <c r="IE751"/>
      <c r="IF751"/>
      <c r="IG751"/>
      <c r="IH751"/>
      <c r="II751"/>
      <c r="IJ751"/>
      <c r="IK751"/>
      <c r="IL751"/>
      <c r="IM751"/>
      <c r="IN751"/>
      <c r="IO751"/>
      <c r="IP751"/>
      <c r="IQ751"/>
    </row>
    <row r="752" spans="1:252" s="696" customFormat="1" ht="12.75" customHeight="1" x14ac:dyDescent="0.2">
      <c r="A752" s="739"/>
      <c r="B752" s="1079" t="s">
        <v>829</v>
      </c>
      <c r="C752" s="1080">
        <f>SUM(C753:C753)</f>
        <v>150000</v>
      </c>
      <c r="D752" s="1080">
        <f>SUM(D753:D753)</f>
        <v>150000</v>
      </c>
      <c r="E752" s="740">
        <v>0</v>
      </c>
      <c r="F752" s="707"/>
      <c r="G752" s="1364">
        <f t="shared" si="285"/>
        <v>0</v>
      </c>
      <c r="H752" s="1365">
        <f t="shared" si="286"/>
        <v>0</v>
      </c>
      <c r="I752" s="1366">
        <v>0</v>
      </c>
      <c r="J752" s="1614">
        <v>0</v>
      </c>
      <c r="IR752" s="697"/>
    </row>
    <row r="753" spans="1:252" ht="12.75" customHeight="1" x14ac:dyDescent="0.2">
      <c r="A753" s="739"/>
      <c r="B753" s="970" t="s">
        <v>1108</v>
      </c>
      <c r="C753" s="983">
        <v>150000</v>
      </c>
      <c r="D753" s="983">
        <v>150000</v>
      </c>
      <c r="E753" s="709">
        <v>0</v>
      </c>
      <c r="F753" s="709"/>
      <c r="G753" s="1243">
        <f t="shared" si="285"/>
        <v>0</v>
      </c>
      <c r="H753" s="1248">
        <f t="shared" si="286"/>
        <v>0</v>
      </c>
      <c r="I753" s="1258">
        <v>0</v>
      </c>
      <c r="J753" s="96">
        <v>0</v>
      </c>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c r="EY753"/>
      <c r="EZ753"/>
      <c r="FA753"/>
      <c r="FB753"/>
      <c r="FC753"/>
      <c r="FD753"/>
      <c r="FE753"/>
      <c r="FF753"/>
      <c r="FG753"/>
      <c r="FH753"/>
      <c r="FI753"/>
      <c r="FJ753"/>
      <c r="FK753"/>
      <c r="FL753"/>
      <c r="FM753"/>
      <c r="FN753"/>
      <c r="FO753"/>
      <c r="FP753"/>
      <c r="FQ753"/>
      <c r="FR753"/>
      <c r="FS753"/>
      <c r="FT753"/>
      <c r="FU753"/>
      <c r="FV753"/>
      <c r="FW753"/>
      <c r="FX753"/>
      <c r="FY753"/>
      <c r="FZ753"/>
      <c r="GA753"/>
      <c r="GB753"/>
      <c r="GC753"/>
      <c r="GD753"/>
      <c r="GE753"/>
      <c r="GF753"/>
      <c r="GG753"/>
      <c r="GH753"/>
      <c r="GI753"/>
      <c r="GJ753"/>
      <c r="GK753"/>
      <c r="GL753"/>
      <c r="GM753"/>
      <c r="GN753"/>
      <c r="GO753"/>
      <c r="GP753"/>
      <c r="GQ753"/>
      <c r="GR753"/>
      <c r="GS753"/>
      <c r="GT753"/>
      <c r="GU753"/>
      <c r="GV753"/>
      <c r="GW753"/>
      <c r="GX753"/>
      <c r="GY753"/>
      <c r="GZ753"/>
      <c r="HA753"/>
      <c r="HB753"/>
      <c r="HC753"/>
      <c r="HD753"/>
      <c r="HE753"/>
      <c r="HF753"/>
      <c r="HG753"/>
      <c r="HH753"/>
      <c r="HI753"/>
      <c r="HJ753"/>
      <c r="HK753"/>
      <c r="HL753"/>
      <c r="HM753"/>
      <c r="HN753"/>
      <c r="HO753"/>
      <c r="HP753"/>
      <c r="HQ753"/>
      <c r="HR753"/>
      <c r="HS753"/>
      <c r="HT753"/>
      <c r="HU753"/>
      <c r="HV753"/>
      <c r="HW753"/>
      <c r="HX753"/>
      <c r="HY753"/>
      <c r="HZ753"/>
      <c r="IA753"/>
      <c r="IB753"/>
      <c r="IC753"/>
      <c r="ID753"/>
      <c r="IE753"/>
      <c r="IF753"/>
      <c r="IG753"/>
      <c r="IH753"/>
      <c r="II753"/>
      <c r="IJ753"/>
      <c r="IK753"/>
      <c r="IL753"/>
      <c r="IM753"/>
      <c r="IN753"/>
      <c r="IO753"/>
      <c r="IP753"/>
      <c r="IQ753"/>
    </row>
    <row r="754" spans="1:252" ht="12.75" customHeight="1" x14ac:dyDescent="0.2">
      <c r="A754" s="739"/>
      <c r="B754" s="1082" t="s">
        <v>819</v>
      </c>
      <c r="C754" s="1083">
        <f>SUM(C755:C756)</f>
        <v>34750000</v>
      </c>
      <c r="D754" s="1083">
        <f>SUM(D755:D756)</f>
        <v>34661964</v>
      </c>
      <c r="E754" s="740">
        <v>18211964</v>
      </c>
      <c r="F754" s="707">
        <f>SUM(E755:E756)</f>
        <v>18211964</v>
      </c>
      <c r="G754" s="1364">
        <f t="shared" si="285"/>
        <v>52.408529496402878</v>
      </c>
      <c r="H754" s="1365">
        <f t="shared" si="286"/>
        <v>52.541639013876996</v>
      </c>
      <c r="I754" s="1366">
        <f t="shared" si="284"/>
        <v>108.43325177255628</v>
      </c>
      <c r="J754" s="96">
        <v>16795552.75</v>
      </c>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c r="GD754"/>
      <c r="GE754"/>
      <c r="GF754"/>
      <c r="GG754"/>
      <c r="GH754"/>
      <c r="GI754"/>
      <c r="GJ754"/>
      <c r="GK754"/>
      <c r="GL754"/>
      <c r="GM754"/>
      <c r="GN754"/>
      <c r="GO754"/>
      <c r="GP754"/>
      <c r="GQ754"/>
      <c r="GR754"/>
      <c r="GS754"/>
      <c r="GT754"/>
      <c r="GU754"/>
      <c r="GV754"/>
      <c r="GW754"/>
      <c r="GX754"/>
      <c r="GY754"/>
      <c r="GZ754"/>
      <c r="HA754"/>
      <c r="HB754"/>
      <c r="HC754"/>
      <c r="HD754"/>
      <c r="HE754"/>
      <c r="HF754"/>
      <c r="HG754"/>
      <c r="HH754"/>
      <c r="HI754"/>
      <c r="HJ754"/>
      <c r="HK754"/>
      <c r="HL754"/>
      <c r="HM754"/>
      <c r="HN754"/>
      <c r="HO754"/>
      <c r="HP754"/>
      <c r="HQ754"/>
      <c r="HR754"/>
      <c r="HS754"/>
      <c r="HT754"/>
      <c r="HU754"/>
      <c r="HV754"/>
      <c r="HW754"/>
      <c r="HX754"/>
      <c r="HY754"/>
      <c r="HZ754"/>
      <c r="IA754"/>
      <c r="IB754"/>
      <c r="IC754"/>
      <c r="ID754"/>
      <c r="IE754"/>
      <c r="IF754"/>
      <c r="IG754"/>
      <c r="IH754"/>
      <c r="II754"/>
      <c r="IJ754"/>
      <c r="IK754"/>
      <c r="IL754"/>
      <c r="IM754"/>
      <c r="IN754"/>
      <c r="IO754"/>
      <c r="IP754"/>
      <c r="IQ754"/>
    </row>
    <row r="755" spans="1:252" ht="12.75" customHeight="1" x14ac:dyDescent="0.2">
      <c r="A755" s="739"/>
      <c r="B755" s="970" t="s">
        <v>1433</v>
      </c>
      <c r="C755" s="983">
        <v>34500000</v>
      </c>
      <c r="D755" s="983">
        <f>34500000-25482.15-7793-88036</f>
        <v>34378688.850000001</v>
      </c>
      <c r="E755" s="707">
        <v>18178688.850000001</v>
      </c>
      <c r="F755" s="707"/>
      <c r="G755" s="1243">
        <f t="shared" si="285"/>
        <v>52.691851739130435</v>
      </c>
      <c r="H755" s="1248">
        <f t="shared" si="286"/>
        <v>52.877784051965094</v>
      </c>
      <c r="I755" s="1258">
        <f t="shared" si="284"/>
        <v>109.86369205837607</v>
      </c>
      <c r="J755" s="96">
        <v>16546584.689999999</v>
      </c>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c r="EY755"/>
      <c r="EZ755"/>
      <c r="FA755"/>
      <c r="FB755"/>
      <c r="FC755"/>
      <c r="FD755"/>
      <c r="FE755"/>
      <c r="FF755"/>
      <c r="FG755"/>
      <c r="FH755"/>
      <c r="FI755"/>
      <c r="FJ755"/>
      <c r="FK755"/>
      <c r="FL755"/>
      <c r="FM755"/>
      <c r="FN755"/>
      <c r="FO755"/>
      <c r="FP755"/>
      <c r="FQ755"/>
      <c r="FR755"/>
      <c r="FS755"/>
      <c r="FT755"/>
      <c r="FU755"/>
      <c r="FV755"/>
      <c r="FW755"/>
      <c r="FX755"/>
      <c r="FY755"/>
      <c r="FZ755"/>
      <c r="GA755"/>
      <c r="GB755"/>
      <c r="GC755"/>
      <c r="GD755"/>
      <c r="GE755"/>
      <c r="GF755"/>
      <c r="GG755"/>
      <c r="GH755"/>
      <c r="GI755"/>
      <c r="GJ755"/>
      <c r="GK755"/>
      <c r="GL755"/>
      <c r="GM755"/>
      <c r="GN755"/>
      <c r="GO755"/>
      <c r="GP755"/>
      <c r="GQ755"/>
      <c r="GR755"/>
      <c r="GS755"/>
      <c r="GT755"/>
      <c r="GU755"/>
      <c r="GV755"/>
      <c r="GW755"/>
      <c r="GX755"/>
      <c r="GY755"/>
      <c r="GZ755"/>
      <c r="HA755"/>
      <c r="HB755"/>
      <c r="HC755"/>
      <c r="HD755"/>
      <c r="HE755"/>
      <c r="HF755"/>
      <c r="HG755"/>
      <c r="HH755"/>
      <c r="HI755"/>
      <c r="HJ755"/>
      <c r="HK755"/>
      <c r="HL755"/>
      <c r="HM755"/>
      <c r="HN755"/>
      <c r="HO755"/>
      <c r="HP755"/>
      <c r="HQ755"/>
      <c r="HR755"/>
      <c r="HS755"/>
      <c r="HT755"/>
      <c r="HU755"/>
      <c r="HV755"/>
      <c r="HW755"/>
      <c r="HX755"/>
      <c r="HY755"/>
      <c r="HZ755"/>
      <c r="IA755"/>
      <c r="IB755"/>
      <c r="IC755"/>
      <c r="ID755"/>
      <c r="IE755"/>
      <c r="IF755"/>
      <c r="IG755"/>
      <c r="IH755"/>
      <c r="II755"/>
      <c r="IJ755"/>
      <c r="IK755"/>
      <c r="IL755"/>
      <c r="IM755"/>
      <c r="IN755"/>
      <c r="IO755"/>
      <c r="IP755"/>
      <c r="IQ755"/>
    </row>
    <row r="756" spans="1:252" s="426" customFormat="1" ht="12.75" customHeight="1" x14ac:dyDescent="0.2">
      <c r="A756" s="739"/>
      <c r="B756" s="1057" t="s">
        <v>1434</v>
      </c>
      <c r="C756" s="983">
        <v>250000</v>
      </c>
      <c r="D756" s="983">
        <f>250000+25482.15+7793</f>
        <v>283275.15000000002</v>
      </c>
      <c r="E756" s="707">
        <v>33275.15</v>
      </c>
      <c r="F756" s="707"/>
      <c r="G756" s="1243">
        <f t="shared" si="285"/>
        <v>13.310060000000002</v>
      </c>
      <c r="H756" s="1248">
        <f t="shared" si="286"/>
        <v>11.74658278355867</v>
      </c>
      <c r="I756" s="1258">
        <f t="shared" si="284"/>
        <v>13.347376060093769</v>
      </c>
      <c r="J756" s="96">
        <v>249301.06</v>
      </c>
      <c r="IR756" s="116"/>
    </row>
    <row r="757" spans="1:252" ht="12.75" customHeight="1" x14ac:dyDescent="0.2">
      <c r="A757" s="739"/>
      <c r="B757" s="1084" t="s">
        <v>1072</v>
      </c>
      <c r="C757" s="1093">
        <f>C758+C762</f>
        <v>14815000</v>
      </c>
      <c r="D757" s="1093">
        <f>D758+D762</f>
        <v>14815000</v>
      </c>
      <c r="E757" s="1174">
        <v>7869129.9000000004</v>
      </c>
      <c r="F757" s="740">
        <f>SUM(E758,E762)</f>
        <v>7869129.9000000004</v>
      </c>
      <c r="G757" s="1361">
        <f t="shared" si="285"/>
        <v>53.115962875464064</v>
      </c>
      <c r="H757" s="1362">
        <f t="shared" si="286"/>
        <v>53.115962875464064</v>
      </c>
      <c r="I757" s="1363">
        <f t="shared" si="284"/>
        <v>109.96162254601245</v>
      </c>
      <c r="J757" s="96">
        <v>7156251.1699999999</v>
      </c>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c r="EY757"/>
      <c r="EZ757"/>
      <c r="FA757"/>
      <c r="FB757"/>
      <c r="FC757"/>
      <c r="FD757"/>
      <c r="FE757"/>
      <c r="FF757"/>
      <c r="FG757"/>
      <c r="FH757"/>
      <c r="FI757"/>
      <c r="FJ757"/>
      <c r="FK757"/>
      <c r="FL757"/>
      <c r="FM757"/>
      <c r="FN757"/>
      <c r="FO757"/>
      <c r="FP757"/>
      <c r="FQ757"/>
      <c r="FR757"/>
      <c r="FS757"/>
      <c r="FT757"/>
      <c r="FU757"/>
      <c r="FV757"/>
      <c r="FW757"/>
      <c r="FX757"/>
      <c r="FY757"/>
      <c r="FZ757"/>
      <c r="GA757"/>
      <c r="GB757"/>
      <c r="GC757"/>
      <c r="GD757"/>
      <c r="GE757"/>
      <c r="GF757"/>
      <c r="GG757"/>
      <c r="GH757"/>
      <c r="GI757"/>
      <c r="GJ757"/>
      <c r="GK757"/>
      <c r="GL757"/>
      <c r="GM757"/>
      <c r="GN757"/>
      <c r="GO757"/>
      <c r="GP757"/>
      <c r="GQ757"/>
      <c r="GR757"/>
      <c r="GS757"/>
      <c r="GT757"/>
      <c r="GU757"/>
      <c r="GV757"/>
      <c r="GW757"/>
      <c r="GX757"/>
      <c r="GY757"/>
      <c r="GZ757"/>
      <c r="HA757"/>
      <c r="HB757"/>
      <c r="HC757"/>
      <c r="HD757"/>
      <c r="HE757"/>
      <c r="HF757"/>
      <c r="HG757"/>
      <c r="HH757"/>
      <c r="HI757"/>
      <c r="HJ757"/>
      <c r="HK757"/>
      <c r="HL757"/>
      <c r="HM757"/>
      <c r="HN757"/>
      <c r="HO757"/>
      <c r="HP757"/>
      <c r="HQ757"/>
      <c r="HR757"/>
      <c r="HS757"/>
      <c r="HT757"/>
      <c r="HU757"/>
      <c r="HV757"/>
      <c r="HW757"/>
      <c r="HX757"/>
      <c r="HY757"/>
      <c r="HZ757"/>
      <c r="IA757"/>
      <c r="IB757"/>
      <c r="IC757"/>
      <c r="ID757"/>
      <c r="IE757"/>
      <c r="IF757"/>
      <c r="IG757"/>
      <c r="IH757"/>
      <c r="II757"/>
      <c r="IJ757"/>
      <c r="IK757"/>
      <c r="IL757"/>
      <c r="IM757"/>
      <c r="IN757"/>
      <c r="IO757"/>
      <c r="IP757"/>
      <c r="IQ757"/>
    </row>
    <row r="758" spans="1:252" ht="12.75" customHeight="1" x14ac:dyDescent="0.2">
      <c r="A758" s="726"/>
      <c r="B758" s="1085" t="s">
        <v>819</v>
      </c>
      <c r="C758" s="1086">
        <f t="shared" ref="C758:D758" si="287">SUM(C759:C761)</f>
        <v>14050000</v>
      </c>
      <c r="D758" s="1086">
        <f t="shared" si="287"/>
        <v>14050000</v>
      </c>
      <c r="E758" s="740">
        <v>7869129.9000000004</v>
      </c>
      <c r="F758" s="707"/>
      <c r="G758" s="1364">
        <f t="shared" si="285"/>
        <v>56.008041992882561</v>
      </c>
      <c r="H758" s="1365">
        <f t="shared" si="286"/>
        <v>56.008041992882561</v>
      </c>
      <c r="I758" s="1366">
        <f t="shared" si="284"/>
        <v>109.96162254601245</v>
      </c>
      <c r="J758" s="96">
        <v>7156251.1699999999</v>
      </c>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c r="EY758"/>
      <c r="EZ758"/>
      <c r="FA758"/>
      <c r="FB758"/>
      <c r="FC758"/>
      <c r="FD758"/>
      <c r="FE758"/>
      <c r="FF758"/>
      <c r="FG758"/>
      <c r="FH758"/>
      <c r="FI758"/>
      <c r="FJ758"/>
      <c r="FK758"/>
      <c r="FL758"/>
      <c r="FM758"/>
      <c r="FN758"/>
      <c r="FO758"/>
      <c r="FP758"/>
      <c r="FQ758"/>
      <c r="FR758"/>
      <c r="FS758"/>
      <c r="FT758"/>
      <c r="FU758"/>
      <c r="FV758"/>
      <c r="FW758"/>
      <c r="FX758"/>
      <c r="FY758"/>
      <c r="FZ758"/>
      <c r="GA758"/>
      <c r="GB758"/>
      <c r="GC758"/>
      <c r="GD758"/>
      <c r="GE758"/>
      <c r="GF758"/>
      <c r="GG758"/>
      <c r="GH758"/>
      <c r="GI758"/>
      <c r="GJ758"/>
      <c r="GK758"/>
      <c r="GL758"/>
      <c r="GM758"/>
      <c r="GN758"/>
      <c r="GO758"/>
      <c r="GP758"/>
      <c r="GQ758"/>
      <c r="GR758"/>
      <c r="GS758"/>
      <c r="GT758"/>
      <c r="GU758"/>
      <c r="GV758"/>
      <c r="GW758"/>
      <c r="GX758"/>
      <c r="GY758"/>
      <c r="GZ758"/>
      <c r="HA758"/>
      <c r="HB758"/>
      <c r="HC758"/>
      <c r="HD758"/>
      <c r="HE758"/>
      <c r="HF758"/>
      <c r="HG758"/>
      <c r="HH758"/>
      <c r="HI758"/>
      <c r="HJ758"/>
      <c r="HK758"/>
      <c r="HL758"/>
      <c r="HM758"/>
      <c r="HN758"/>
      <c r="HO758"/>
      <c r="HP758"/>
      <c r="HQ758"/>
      <c r="HR758"/>
      <c r="HS758"/>
      <c r="HT758"/>
      <c r="HU758"/>
      <c r="HV758"/>
      <c r="HW758"/>
      <c r="HX758"/>
      <c r="HY758"/>
      <c r="HZ758"/>
      <c r="IA758"/>
      <c r="IB758"/>
      <c r="IC758"/>
      <c r="ID758"/>
      <c r="IE758"/>
      <c r="IF758"/>
      <c r="IG758"/>
      <c r="IH758"/>
      <c r="II758"/>
      <c r="IJ758"/>
      <c r="IK758"/>
      <c r="IL758"/>
      <c r="IM758"/>
      <c r="IN758"/>
      <c r="IO758"/>
      <c r="IP758"/>
      <c r="IQ758"/>
    </row>
    <row r="759" spans="1:252" ht="12.75" customHeight="1" x14ac:dyDescent="0.2">
      <c r="A759" s="726"/>
      <c r="B759" s="970" t="s">
        <v>1074</v>
      </c>
      <c r="C759" s="983">
        <v>14000000</v>
      </c>
      <c r="D759" s="983">
        <f>14000000-7633-2800</f>
        <v>13989567</v>
      </c>
      <c r="E759" s="707">
        <v>7858696.9000000004</v>
      </c>
      <c r="F759" s="707"/>
      <c r="G759" s="1243">
        <f t="shared" si="285"/>
        <v>56.133549285714288</v>
      </c>
      <c r="H759" s="1248">
        <f t="shared" si="286"/>
        <v>56.175412005246486</v>
      </c>
      <c r="I759" s="1258">
        <f t="shared" si="284"/>
        <v>109.94642528945226</v>
      </c>
      <c r="J759" s="96">
        <v>7147751.1699999999</v>
      </c>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c r="EY759"/>
      <c r="EZ759"/>
      <c r="FA759"/>
      <c r="FB759"/>
      <c r="FC759"/>
      <c r="FD759"/>
      <c r="FE759"/>
      <c r="FF759"/>
      <c r="FG759"/>
      <c r="FH759"/>
      <c r="FI759"/>
      <c r="FJ759"/>
      <c r="FK759"/>
      <c r="FL759"/>
      <c r="FM759"/>
      <c r="FN759"/>
      <c r="FO759"/>
      <c r="FP759"/>
      <c r="FQ759"/>
      <c r="FR759"/>
      <c r="FS759"/>
      <c r="FT759"/>
      <c r="FU759"/>
      <c r="FV759"/>
      <c r="FW759"/>
      <c r="FX759"/>
      <c r="FY759"/>
      <c r="FZ759"/>
      <c r="GA759"/>
      <c r="GB759"/>
      <c r="GC759"/>
      <c r="GD759"/>
      <c r="GE759"/>
      <c r="GF759"/>
      <c r="GG759"/>
      <c r="GH759"/>
      <c r="GI759"/>
      <c r="GJ759"/>
      <c r="GK759"/>
      <c r="GL759"/>
      <c r="GM759"/>
      <c r="GN759"/>
      <c r="GO759"/>
      <c r="GP759"/>
      <c r="GQ759"/>
      <c r="GR759"/>
      <c r="GS759"/>
      <c r="GT759"/>
      <c r="GU759"/>
      <c r="GV759"/>
      <c r="GW759"/>
      <c r="GX759"/>
      <c r="GY759"/>
      <c r="GZ759"/>
      <c r="HA759"/>
      <c r="HB759"/>
      <c r="HC759"/>
      <c r="HD759"/>
      <c r="HE759"/>
      <c r="HF759"/>
      <c r="HG759"/>
      <c r="HH759"/>
      <c r="HI759"/>
      <c r="HJ759"/>
      <c r="HK759"/>
      <c r="HL759"/>
      <c r="HM759"/>
      <c r="HN759"/>
      <c r="HO759"/>
      <c r="HP759"/>
      <c r="HQ759"/>
      <c r="HR759"/>
      <c r="HS759"/>
      <c r="HT759"/>
      <c r="HU759"/>
      <c r="HV759"/>
      <c r="HW759"/>
      <c r="HX759"/>
      <c r="HY759"/>
      <c r="HZ759"/>
      <c r="IA759"/>
      <c r="IB759"/>
      <c r="IC759"/>
      <c r="ID759"/>
      <c r="IE759"/>
      <c r="IF759"/>
      <c r="IG759"/>
      <c r="IH759"/>
      <c r="II759"/>
      <c r="IJ759"/>
      <c r="IK759"/>
      <c r="IL759"/>
      <c r="IM759"/>
      <c r="IN759"/>
      <c r="IO759"/>
      <c r="IP759"/>
      <c r="IQ759"/>
    </row>
    <row r="760" spans="1:252" s="426" customFormat="1" ht="12.75" customHeight="1" x14ac:dyDescent="0.2">
      <c r="A760" s="739"/>
      <c r="B760" s="1057" t="s">
        <v>2067</v>
      </c>
      <c r="C760" s="983">
        <v>0</v>
      </c>
      <c r="D760" s="983">
        <f>7633+2800</f>
        <v>10433</v>
      </c>
      <c r="E760" s="707">
        <v>10433</v>
      </c>
      <c r="F760" s="707"/>
      <c r="G760" s="1243">
        <v>0</v>
      </c>
      <c r="H760" s="1248">
        <f t="shared" si="286"/>
        <v>100</v>
      </c>
      <c r="I760" s="1258">
        <v>0</v>
      </c>
      <c r="J760" s="96">
        <v>0</v>
      </c>
      <c r="IR760" s="116"/>
    </row>
    <row r="761" spans="1:252" ht="12.75" customHeight="1" x14ac:dyDescent="0.2">
      <c r="A761" s="726"/>
      <c r="B761" s="1087" t="s">
        <v>1115</v>
      </c>
      <c r="C761" s="983">
        <v>50000</v>
      </c>
      <c r="D761" s="983">
        <v>50000</v>
      </c>
      <c r="E761" s="707">
        <v>0</v>
      </c>
      <c r="F761" s="707"/>
      <c r="G761" s="1243">
        <f t="shared" si="285"/>
        <v>0</v>
      </c>
      <c r="H761" s="1248">
        <f t="shared" si="286"/>
        <v>0</v>
      </c>
      <c r="I761" s="1258">
        <f t="shared" si="284"/>
        <v>0</v>
      </c>
      <c r="J761" s="96">
        <v>8500</v>
      </c>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c r="EY761"/>
      <c r="EZ761"/>
      <c r="FA761"/>
      <c r="FB761"/>
      <c r="FC761"/>
      <c r="FD761"/>
      <c r="FE761"/>
      <c r="FF761"/>
      <c r="FG761"/>
      <c r="FH761"/>
      <c r="FI761"/>
      <c r="FJ761"/>
      <c r="FK761"/>
      <c r="FL761"/>
      <c r="FM761"/>
      <c r="FN761"/>
      <c r="FO761"/>
      <c r="FP761"/>
      <c r="FQ761"/>
      <c r="FR761"/>
      <c r="FS761"/>
      <c r="FT761"/>
      <c r="FU761"/>
      <c r="FV761"/>
      <c r="FW761"/>
      <c r="FX761"/>
      <c r="FY761"/>
      <c r="FZ761"/>
      <c r="GA761"/>
      <c r="GB761"/>
      <c r="GC761"/>
      <c r="GD761"/>
      <c r="GE761"/>
      <c r="GF761"/>
      <c r="GG761"/>
      <c r="GH761"/>
      <c r="GI761"/>
      <c r="GJ761"/>
      <c r="GK761"/>
      <c r="GL761"/>
      <c r="GM761"/>
      <c r="GN761"/>
      <c r="GO761"/>
      <c r="GP761"/>
      <c r="GQ761"/>
      <c r="GR761"/>
      <c r="GS761"/>
      <c r="GT761"/>
      <c r="GU761"/>
      <c r="GV761"/>
      <c r="GW761"/>
      <c r="GX761"/>
      <c r="GY761"/>
      <c r="GZ761"/>
      <c r="HA761"/>
      <c r="HB761"/>
      <c r="HC761"/>
      <c r="HD761"/>
      <c r="HE761"/>
      <c r="HF761"/>
      <c r="HG761"/>
      <c r="HH761"/>
      <c r="HI761"/>
      <c r="HJ761"/>
      <c r="HK761"/>
      <c r="HL761"/>
      <c r="HM761"/>
      <c r="HN761"/>
      <c r="HO761"/>
      <c r="HP761"/>
      <c r="HQ761"/>
      <c r="HR761"/>
      <c r="HS761"/>
      <c r="HT761"/>
      <c r="HU761"/>
      <c r="HV761"/>
      <c r="HW761"/>
      <c r="HX761"/>
      <c r="HY761"/>
      <c r="HZ761"/>
      <c r="IA761"/>
      <c r="IB761"/>
      <c r="IC761"/>
      <c r="ID761"/>
      <c r="IE761"/>
      <c r="IF761"/>
      <c r="IG761"/>
      <c r="IH761"/>
      <c r="II761"/>
      <c r="IJ761"/>
      <c r="IK761"/>
      <c r="IL761"/>
      <c r="IM761"/>
      <c r="IN761"/>
      <c r="IO761"/>
      <c r="IP761"/>
      <c r="IQ761"/>
    </row>
    <row r="762" spans="1:252" ht="12.75" customHeight="1" x14ac:dyDescent="0.2">
      <c r="A762" s="726"/>
      <c r="B762" s="1085" t="s">
        <v>829</v>
      </c>
      <c r="C762" s="1083">
        <f>SUM(C763:C764)</f>
        <v>765000</v>
      </c>
      <c r="D762" s="1083">
        <f>SUM(D763:D764)</f>
        <v>765000</v>
      </c>
      <c r="E762" s="740">
        <v>0</v>
      </c>
      <c r="F762" s="740">
        <f>SUM(E763:E764)</f>
        <v>0</v>
      </c>
      <c r="G762" s="1364">
        <f t="shared" si="285"/>
        <v>0</v>
      </c>
      <c r="H762" s="1365">
        <f t="shared" si="286"/>
        <v>0</v>
      </c>
      <c r="I762" s="1366">
        <v>0</v>
      </c>
      <c r="J762" s="96">
        <v>0</v>
      </c>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c r="EF762"/>
      <c r="EG762"/>
      <c r="EH762"/>
      <c r="EI762"/>
      <c r="EJ762"/>
      <c r="EK762"/>
      <c r="EL762"/>
      <c r="EM762"/>
      <c r="EN762"/>
      <c r="EO762"/>
      <c r="EP762"/>
      <c r="EQ762"/>
      <c r="ER762"/>
      <c r="ES762"/>
      <c r="ET762"/>
      <c r="EU762"/>
      <c r="EV762"/>
      <c r="EW762"/>
      <c r="EX762"/>
      <c r="EY762"/>
      <c r="EZ762"/>
      <c r="FA762"/>
      <c r="FB762"/>
      <c r="FC762"/>
      <c r="FD762"/>
      <c r="FE762"/>
      <c r="FF762"/>
      <c r="FG762"/>
      <c r="FH762"/>
      <c r="FI762"/>
      <c r="FJ762"/>
      <c r="FK762"/>
      <c r="FL762"/>
      <c r="FM762"/>
      <c r="FN762"/>
      <c r="FO762"/>
      <c r="FP762"/>
      <c r="FQ762"/>
      <c r="FR762"/>
      <c r="FS762"/>
      <c r="FT762"/>
      <c r="FU762"/>
      <c r="FV762"/>
      <c r="FW762"/>
      <c r="FX762"/>
      <c r="FY762"/>
      <c r="FZ762"/>
      <c r="GA762"/>
      <c r="GB762"/>
      <c r="GC762"/>
      <c r="GD762"/>
      <c r="GE762"/>
      <c r="GF762"/>
      <c r="GG762"/>
      <c r="GH762"/>
      <c r="GI762"/>
      <c r="GJ762"/>
      <c r="GK762"/>
      <c r="GL762"/>
      <c r="GM762"/>
      <c r="GN762"/>
      <c r="GO762"/>
      <c r="GP762"/>
      <c r="GQ762"/>
      <c r="GR762"/>
      <c r="GS762"/>
      <c r="GT762"/>
      <c r="GU762"/>
      <c r="GV762"/>
      <c r="GW762"/>
      <c r="GX762"/>
      <c r="GY762"/>
      <c r="GZ762"/>
      <c r="HA762"/>
      <c r="HB762"/>
      <c r="HC762"/>
      <c r="HD762"/>
      <c r="HE762"/>
      <c r="HF762"/>
      <c r="HG762"/>
      <c r="HH762"/>
      <c r="HI762"/>
      <c r="HJ762"/>
      <c r="HK762"/>
      <c r="HL762"/>
      <c r="HM762"/>
      <c r="HN762"/>
      <c r="HO762"/>
      <c r="HP762"/>
      <c r="HQ762"/>
      <c r="HR762"/>
      <c r="HS762"/>
      <c r="HT762"/>
      <c r="HU762"/>
      <c r="HV762"/>
      <c r="HW762"/>
      <c r="HX762"/>
      <c r="HY762"/>
      <c r="HZ762"/>
      <c r="IA762"/>
      <c r="IB762"/>
      <c r="IC762"/>
      <c r="ID762"/>
      <c r="IE762"/>
      <c r="IF762"/>
      <c r="IG762"/>
      <c r="IH762"/>
      <c r="II762"/>
      <c r="IJ762"/>
      <c r="IK762"/>
      <c r="IL762"/>
      <c r="IM762"/>
      <c r="IN762"/>
      <c r="IO762"/>
      <c r="IP762"/>
      <c r="IQ762"/>
    </row>
    <row r="763" spans="1:252" ht="12.75" customHeight="1" x14ac:dyDescent="0.2">
      <c r="A763" s="726"/>
      <c r="B763" s="979" t="s">
        <v>830</v>
      </c>
      <c r="C763" s="983">
        <v>150000</v>
      </c>
      <c r="D763" s="983">
        <v>150000</v>
      </c>
      <c r="E763" s="707">
        <v>0</v>
      </c>
      <c r="F763" s="707"/>
      <c r="G763" s="1243">
        <f t="shared" si="285"/>
        <v>0</v>
      </c>
      <c r="H763" s="1248">
        <f t="shared" si="286"/>
        <v>0</v>
      </c>
      <c r="I763" s="1258">
        <v>0</v>
      </c>
      <c r="J763" s="96">
        <v>0</v>
      </c>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c r="EF763"/>
      <c r="EG763"/>
      <c r="EH763"/>
      <c r="EI763"/>
      <c r="EJ763"/>
      <c r="EK763"/>
      <c r="EL763"/>
      <c r="EM763"/>
      <c r="EN763"/>
      <c r="EO763"/>
      <c r="EP763"/>
      <c r="EQ763"/>
      <c r="ER763"/>
      <c r="ES763"/>
      <c r="ET763"/>
      <c r="EU763"/>
      <c r="EV763"/>
      <c r="EW763"/>
      <c r="EX763"/>
      <c r="EY763"/>
      <c r="EZ763"/>
      <c r="FA763"/>
      <c r="FB763"/>
      <c r="FC763"/>
      <c r="FD763"/>
      <c r="FE763"/>
      <c r="FF763"/>
      <c r="FG763"/>
      <c r="FH763"/>
      <c r="FI763"/>
      <c r="FJ763"/>
      <c r="FK763"/>
      <c r="FL763"/>
      <c r="FM763"/>
      <c r="FN763"/>
      <c r="FO763"/>
      <c r="FP763"/>
      <c r="FQ763"/>
      <c r="FR763"/>
      <c r="FS763"/>
      <c r="FT763"/>
      <c r="FU763"/>
      <c r="FV763"/>
      <c r="FW763"/>
      <c r="FX763"/>
      <c r="FY763"/>
      <c r="FZ763"/>
      <c r="GA763"/>
      <c r="GB763"/>
      <c r="GC763"/>
      <c r="GD763"/>
      <c r="GE763"/>
      <c r="GF763"/>
      <c r="GG763"/>
      <c r="GH763"/>
      <c r="GI763"/>
      <c r="GJ763"/>
      <c r="GK763"/>
      <c r="GL763"/>
      <c r="GM763"/>
      <c r="GN763"/>
      <c r="GO763"/>
      <c r="GP763"/>
      <c r="GQ763"/>
      <c r="GR763"/>
      <c r="GS763"/>
      <c r="GT763"/>
      <c r="GU763"/>
      <c r="GV763"/>
      <c r="GW763"/>
      <c r="GX763"/>
      <c r="GY763"/>
      <c r="GZ763"/>
      <c r="HA763"/>
      <c r="HB763"/>
      <c r="HC763"/>
      <c r="HD763"/>
      <c r="HE763"/>
      <c r="HF763"/>
      <c r="HG763"/>
      <c r="HH763"/>
      <c r="HI763"/>
      <c r="HJ763"/>
      <c r="HK763"/>
      <c r="HL763"/>
      <c r="HM763"/>
      <c r="HN763"/>
      <c r="HO763"/>
      <c r="HP763"/>
      <c r="HQ763"/>
      <c r="HR763"/>
      <c r="HS763"/>
      <c r="HT763"/>
      <c r="HU763"/>
      <c r="HV763"/>
      <c r="HW763"/>
      <c r="HX763"/>
      <c r="HY763"/>
      <c r="HZ763"/>
      <c r="IA763"/>
      <c r="IB763"/>
      <c r="IC763"/>
      <c r="ID763"/>
      <c r="IE763"/>
      <c r="IF763"/>
      <c r="IG763"/>
      <c r="IH763"/>
      <c r="II763"/>
      <c r="IJ763"/>
      <c r="IK763"/>
      <c r="IL763"/>
      <c r="IM763"/>
      <c r="IN763"/>
      <c r="IO763"/>
      <c r="IP763"/>
      <c r="IQ763"/>
    </row>
    <row r="764" spans="1:252" ht="25.5" x14ac:dyDescent="0.2">
      <c r="A764" s="726"/>
      <c r="B764" s="970" t="s">
        <v>1665</v>
      </c>
      <c r="C764" s="983">
        <v>615000</v>
      </c>
      <c r="D764" s="983">
        <v>615000</v>
      </c>
      <c r="E764" s="707">
        <v>0</v>
      </c>
      <c r="F764" s="707"/>
      <c r="G764" s="1243">
        <f t="shared" ref="G764:G827" si="288">E764/C764*100</f>
        <v>0</v>
      </c>
      <c r="H764" s="1248">
        <f t="shared" ref="H764:H827" si="289">E764/D764*100</f>
        <v>0</v>
      </c>
      <c r="I764" s="1258">
        <v>0</v>
      </c>
      <c r="J764" s="118">
        <v>0</v>
      </c>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c r="EF764"/>
      <c r="EG764"/>
      <c r="EH764"/>
      <c r="EI764"/>
      <c r="EJ764"/>
      <c r="EK764"/>
      <c r="EL764"/>
      <c r="EM764"/>
      <c r="EN764"/>
      <c r="EO764"/>
      <c r="EP764"/>
      <c r="EQ764"/>
      <c r="ER764"/>
      <c r="ES764"/>
      <c r="ET764"/>
      <c r="EU764"/>
      <c r="EV764"/>
      <c r="EW764"/>
      <c r="EX764"/>
      <c r="EY764"/>
      <c r="EZ764"/>
      <c r="FA764"/>
      <c r="FB764"/>
      <c r="FC764"/>
      <c r="FD764"/>
      <c r="FE764"/>
      <c r="FF764"/>
      <c r="FG764"/>
      <c r="FH764"/>
      <c r="FI764"/>
      <c r="FJ764"/>
      <c r="FK764"/>
      <c r="FL764"/>
      <c r="FM764"/>
      <c r="FN764"/>
      <c r="FO764"/>
      <c r="FP764"/>
      <c r="FQ764"/>
      <c r="FR764"/>
      <c r="FS764"/>
      <c r="FT764"/>
      <c r="FU764"/>
      <c r="FV764"/>
      <c r="FW764"/>
      <c r="FX764"/>
      <c r="FY764"/>
      <c r="FZ764"/>
      <c r="GA764"/>
      <c r="GB764"/>
      <c r="GC764"/>
      <c r="GD764"/>
      <c r="GE764"/>
      <c r="GF764"/>
      <c r="GG764"/>
      <c r="GH764"/>
      <c r="GI764"/>
      <c r="GJ764"/>
      <c r="GK764"/>
      <c r="GL764"/>
      <c r="GM764"/>
      <c r="GN764"/>
      <c r="GO764"/>
      <c r="GP764"/>
      <c r="GQ764"/>
      <c r="GR764"/>
      <c r="GS764"/>
      <c r="GT764"/>
      <c r="GU764"/>
      <c r="GV764"/>
      <c r="GW764"/>
      <c r="GX764"/>
      <c r="GY764"/>
      <c r="GZ764"/>
      <c r="HA764"/>
      <c r="HB764"/>
      <c r="HC764"/>
      <c r="HD764"/>
      <c r="HE764"/>
      <c r="HF764"/>
      <c r="HG764"/>
      <c r="HH764"/>
      <c r="HI764"/>
      <c r="HJ764"/>
      <c r="HK764"/>
      <c r="HL764"/>
      <c r="HM764"/>
      <c r="HN764"/>
      <c r="HO764"/>
      <c r="HP764"/>
      <c r="HQ764"/>
      <c r="HR764"/>
      <c r="HS764"/>
      <c r="HT764"/>
      <c r="HU764"/>
      <c r="HV764"/>
      <c r="HW764"/>
      <c r="HX764"/>
      <c r="HY764"/>
      <c r="HZ764"/>
      <c r="IA764"/>
      <c r="IB764"/>
      <c r="IC764"/>
      <c r="ID764"/>
      <c r="IE764"/>
      <c r="IF764"/>
      <c r="IG764"/>
      <c r="IH764"/>
      <c r="II764"/>
      <c r="IJ764"/>
      <c r="IK764"/>
      <c r="IL764"/>
      <c r="IM764"/>
      <c r="IN764"/>
      <c r="IO764"/>
      <c r="IP764"/>
      <c r="IQ764"/>
    </row>
    <row r="765" spans="1:252" ht="12.75" customHeight="1" x14ac:dyDescent="0.2">
      <c r="A765" s="739">
        <v>3612</v>
      </c>
      <c r="B765" s="977" t="s">
        <v>833</v>
      </c>
      <c r="C765" s="862">
        <f>C766+C768</f>
        <v>55570000</v>
      </c>
      <c r="D765" s="862">
        <f>D766+D768</f>
        <v>55570000</v>
      </c>
      <c r="E765" s="701">
        <v>20162330.890000001</v>
      </c>
      <c r="F765" s="707">
        <f>SUM(E766,E768)</f>
        <v>20162330.890000001</v>
      </c>
      <c r="G765" s="825">
        <f t="shared" si="288"/>
        <v>36.282762083858202</v>
      </c>
      <c r="H765" s="1244">
        <f t="shared" si="289"/>
        <v>36.282762083858202</v>
      </c>
      <c r="I765" s="1257">
        <f t="shared" si="284"/>
        <v>86.568269158701355</v>
      </c>
      <c r="J765" s="96">
        <v>23290671.149999999</v>
      </c>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c r="EX765"/>
      <c r="EY765"/>
      <c r="EZ765"/>
      <c r="FA765"/>
      <c r="FB765"/>
      <c r="FC765"/>
      <c r="FD765"/>
      <c r="FE765"/>
      <c r="FF765"/>
      <c r="FG765"/>
      <c r="FH765"/>
      <c r="FI765"/>
      <c r="FJ765"/>
      <c r="FK765"/>
      <c r="FL765"/>
      <c r="FM765"/>
      <c r="FN765"/>
      <c r="FO765"/>
      <c r="FP765"/>
      <c r="FQ765"/>
      <c r="FR765"/>
      <c r="FS765"/>
      <c r="FT765"/>
      <c r="FU765"/>
      <c r="FV765"/>
      <c r="FW765"/>
      <c r="FX765"/>
      <c r="FY765"/>
      <c r="FZ765"/>
      <c r="GA765"/>
      <c r="GB765"/>
      <c r="GC765"/>
      <c r="GD765"/>
      <c r="GE765"/>
      <c r="GF765"/>
      <c r="GG765"/>
      <c r="GH765"/>
      <c r="GI765"/>
      <c r="GJ765"/>
      <c r="GK765"/>
      <c r="GL765"/>
      <c r="GM765"/>
      <c r="GN765"/>
      <c r="GO765"/>
      <c r="GP765"/>
      <c r="GQ765"/>
      <c r="GR765"/>
      <c r="GS765"/>
      <c r="GT765"/>
      <c r="GU765"/>
      <c r="GV765"/>
      <c r="GW765"/>
      <c r="GX765"/>
      <c r="GY765"/>
      <c r="GZ765"/>
      <c r="HA765"/>
      <c r="HB765"/>
      <c r="HC765"/>
      <c r="HD765"/>
      <c r="HE765"/>
      <c r="HF765"/>
      <c r="HG765"/>
      <c r="HH765"/>
      <c r="HI765"/>
      <c r="HJ765"/>
      <c r="HK765"/>
      <c r="HL765"/>
      <c r="HM765"/>
      <c r="HN765"/>
      <c r="HO765"/>
      <c r="HP765"/>
      <c r="HQ765"/>
      <c r="HR765"/>
      <c r="HS765"/>
      <c r="HT765"/>
      <c r="HU765"/>
      <c r="HV765"/>
      <c r="HW765"/>
      <c r="HX765"/>
      <c r="HY765"/>
      <c r="HZ765"/>
      <c r="IA765"/>
      <c r="IB765"/>
      <c r="IC765"/>
      <c r="ID765"/>
      <c r="IE765"/>
      <c r="IF765"/>
      <c r="IG765"/>
      <c r="IH765"/>
      <c r="II765"/>
      <c r="IJ765"/>
      <c r="IK765"/>
      <c r="IL765"/>
      <c r="IM765"/>
      <c r="IN765"/>
      <c r="IO765"/>
      <c r="IP765"/>
      <c r="IQ765"/>
    </row>
    <row r="766" spans="1:252" ht="12.75" customHeight="1" x14ac:dyDescent="0.2">
      <c r="A766" s="726"/>
      <c r="B766" s="1085" t="s">
        <v>807</v>
      </c>
      <c r="C766" s="1083">
        <f>SUM(C767)</f>
        <v>300000</v>
      </c>
      <c r="D766" s="1083">
        <f>SUM(D767)</f>
        <v>300000</v>
      </c>
      <c r="E766" s="740">
        <v>0</v>
      </c>
      <c r="F766" s="707"/>
      <c r="G766" s="1243">
        <f t="shared" si="288"/>
        <v>0</v>
      </c>
      <c r="H766" s="1248">
        <f t="shared" si="289"/>
        <v>0</v>
      </c>
      <c r="I766" s="1258">
        <f t="shared" si="284"/>
        <v>0</v>
      </c>
      <c r="J766" s="96">
        <v>192390</v>
      </c>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c r="EW766"/>
      <c r="EX766"/>
      <c r="EY766"/>
      <c r="EZ766"/>
      <c r="FA766"/>
      <c r="FB766"/>
      <c r="FC766"/>
      <c r="FD766"/>
      <c r="FE766"/>
      <c r="FF766"/>
      <c r="FG766"/>
      <c r="FH766"/>
      <c r="FI766"/>
      <c r="FJ766"/>
      <c r="FK766"/>
      <c r="FL766"/>
      <c r="FM766"/>
      <c r="FN766"/>
      <c r="FO766"/>
      <c r="FP766"/>
      <c r="FQ766"/>
      <c r="FR766"/>
      <c r="FS766"/>
      <c r="FT766"/>
      <c r="FU766"/>
      <c r="FV766"/>
      <c r="FW766"/>
      <c r="FX766"/>
      <c r="FY766"/>
      <c r="FZ766"/>
      <c r="GA766"/>
      <c r="GB766"/>
      <c r="GC766"/>
      <c r="GD766"/>
      <c r="GE766"/>
      <c r="GF766"/>
      <c r="GG766"/>
      <c r="GH766"/>
      <c r="GI766"/>
      <c r="GJ766"/>
      <c r="GK766"/>
      <c r="GL766"/>
      <c r="GM766"/>
      <c r="GN766"/>
      <c r="GO766"/>
      <c r="GP766"/>
      <c r="GQ766"/>
      <c r="GR766"/>
      <c r="GS766"/>
      <c r="GT766"/>
      <c r="GU766"/>
      <c r="GV766"/>
      <c r="GW766"/>
      <c r="GX766"/>
      <c r="GY766"/>
      <c r="GZ766"/>
      <c r="HA766"/>
      <c r="HB766"/>
      <c r="HC766"/>
      <c r="HD766"/>
      <c r="HE766"/>
      <c r="HF766"/>
      <c r="HG766"/>
      <c r="HH766"/>
      <c r="HI766"/>
      <c r="HJ766"/>
      <c r="HK766"/>
      <c r="HL766"/>
      <c r="HM766"/>
      <c r="HN766"/>
      <c r="HO766"/>
      <c r="HP766"/>
      <c r="HQ766"/>
      <c r="HR766"/>
      <c r="HS766"/>
      <c r="HT766"/>
      <c r="HU766"/>
      <c r="HV766"/>
      <c r="HW766"/>
      <c r="HX766"/>
      <c r="HY766"/>
      <c r="HZ766"/>
      <c r="IA766"/>
      <c r="IB766"/>
      <c r="IC766"/>
      <c r="ID766"/>
      <c r="IE766"/>
      <c r="IF766"/>
      <c r="IG766"/>
      <c r="IH766"/>
      <c r="II766"/>
      <c r="IJ766"/>
      <c r="IK766"/>
      <c r="IL766"/>
      <c r="IM766"/>
      <c r="IN766"/>
      <c r="IO766"/>
      <c r="IP766"/>
      <c r="IQ766"/>
    </row>
    <row r="767" spans="1:252" ht="12.75" customHeight="1" x14ac:dyDescent="0.2">
      <c r="A767" s="726"/>
      <c r="B767" s="979" t="s">
        <v>1117</v>
      </c>
      <c r="C767" s="983">
        <v>300000</v>
      </c>
      <c r="D767" s="983">
        <v>300000</v>
      </c>
      <c r="E767" s="699">
        <v>0</v>
      </c>
      <c r="F767" s="699"/>
      <c r="G767" s="1243">
        <f t="shared" si="288"/>
        <v>0</v>
      </c>
      <c r="H767" s="1248">
        <f t="shared" si="289"/>
        <v>0</v>
      </c>
      <c r="I767" s="1258">
        <f t="shared" si="284"/>
        <v>0</v>
      </c>
      <c r="J767" s="96">
        <v>192390</v>
      </c>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c r="EX767"/>
      <c r="EY767"/>
      <c r="EZ767"/>
      <c r="FA767"/>
      <c r="FB767"/>
      <c r="FC767"/>
      <c r="FD767"/>
      <c r="FE767"/>
      <c r="FF767"/>
      <c r="FG767"/>
      <c r="FH767"/>
      <c r="FI767"/>
      <c r="FJ767"/>
      <c r="FK767"/>
      <c r="FL767"/>
      <c r="FM767"/>
      <c r="FN767"/>
      <c r="FO767"/>
      <c r="FP767"/>
      <c r="FQ767"/>
      <c r="FR767"/>
      <c r="FS767"/>
      <c r="FT767"/>
      <c r="FU767"/>
      <c r="FV767"/>
      <c r="FW767"/>
      <c r="FX767"/>
      <c r="FY767"/>
      <c r="FZ767"/>
      <c r="GA767"/>
      <c r="GB767"/>
      <c r="GC767"/>
      <c r="GD767"/>
      <c r="GE767"/>
      <c r="GF767"/>
      <c r="GG767"/>
      <c r="GH767"/>
      <c r="GI767"/>
      <c r="GJ767"/>
      <c r="GK767"/>
      <c r="GL767"/>
      <c r="GM767"/>
      <c r="GN767"/>
      <c r="GO767"/>
      <c r="GP767"/>
      <c r="GQ767"/>
      <c r="GR767"/>
      <c r="GS767"/>
      <c r="GT767"/>
      <c r="GU767"/>
      <c r="GV767"/>
      <c r="GW767"/>
      <c r="GX767"/>
      <c r="GY767"/>
      <c r="GZ767"/>
      <c r="HA767"/>
      <c r="HB767"/>
      <c r="HC767"/>
      <c r="HD767"/>
      <c r="HE767"/>
      <c r="HF767"/>
      <c r="HG767"/>
      <c r="HH767"/>
      <c r="HI767"/>
      <c r="HJ767"/>
      <c r="HK767"/>
      <c r="HL767"/>
      <c r="HM767"/>
      <c r="HN767"/>
      <c r="HO767"/>
      <c r="HP767"/>
      <c r="HQ767"/>
      <c r="HR767"/>
      <c r="HS767"/>
      <c r="HT767"/>
      <c r="HU767"/>
      <c r="HV767"/>
      <c r="HW767"/>
      <c r="HX767"/>
      <c r="HY767"/>
      <c r="HZ767"/>
      <c r="IA767"/>
      <c r="IB767"/>
      <c r="IC767"/>
      <c r="ID767"/>
      <c r="IE767"/>
      <c r="IF767"/>
      <c r="IG767"/>
      <c r="IH767"/>
      <c r="II767"/>
      <c r="IJ767"/>
      <c r="IK767"/>
      <c r="IL767"/>
      <c r="IM767"/>
      <c r="IN767"/>
      <c r="IO767"/>
      <c r="IP767"/>
      <c r="IQ767"/>
    </row>
    <row r="768" spans="1:252" ht="12.75" customHeight="1" x14ac:dyDescent="0.2">
      <c r="A768" s="739"/>
      <c r="B768" s="1088" t="s">
        <v>844</v>
      </c>
      <c r="C768" s="1089">
        <f>C769+C774+C780+C784+C785+C786+C787+C788+C793</f>
        <v>55270000</v>
      </c>
      <c r="D768" s="1089">
        <f>D769+D774+D780+D784+D785+D786+D787+D788+D793</f>
        <v>55270000</v>
      </c>
      <c r="E768" s="1369">
        <v>20162330.890000001</v>
      </c>
      <c r="F768" s="1369">
        <f>SUM(E769,E774,E780,E784:E788,E793)</f>
        <v>20162330.890000001</v>
      </c>
      <c r="G768" s="1364">
        <f t="shared" si="288"/>
        <v>36.479701266509863</v>
      </c>
      <c r="H768" s="1365">
        <f t="shared" si="289"/>
        <v>36.479701266509863</v>
      </c>
      <c r="I768" s="1366">
        <f t="shared" si="284"/>
        <v>87.289312824041033</v>
      </c>
      <c r="J768" s="96">
        <v>23098281.149999999</v>
      </c>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c r="EX768"/>
      <c r="EY768"/>
      <c r="EZ768"/>
      <c r="FA768"/>
      <c r="FB768"/>
      <c r="FC768"/>
      <c r="FD768"/>
      <c r="FE768"/>
      <c r="FF768"/>
      <c r="FG768"/>
      <c r="FH768"/>
      <c r="FI768"/>
      <c r="FJ768"/>
      <c r="FK768"/>
      <c r="FL768"/>
      <c r="FM768"/>
      <c r="FN768"/>
      <c r="FO768"/>
      <c r="FP768"/>
      <c r="FQ768"/>
      <c r="FR768"/>
      <c r="FS768"/>
      <c r="FT768"/>
      <c r="FU768"/>
      <c r="FV768"/>
      <c r="FW768"/>
      <c r="FX768"/>
      <c r="FY768"/>
      <c r="FZ768"/>
      <c r="GA768"/>
      <c r="GB768"/>
      <c r="GC768"/>
      <c r="GD768"/>
      <c r="GE768"/>
      <c r="GF768"/>
      <c r="GG768"/>
      <c r="GH768"/>
      <c r="GI768"/>
      <c r="GJ768"/>
      <c r="GK768"/>
      <c r="GL768"/>
      <c r="GM768"/>
      <c r="GN768"/>
      <c r="GO768"/>
      <c r="GP768"/>
      <c r="GQ768"/>
      <c r="GR768"/>
      <c r="GS768"/>
      <c r="GT768"/>
      <c r="GU768"/>
      <c r="GV768"/>
      <c r="GW768"/>
      <c r="GX768"/>
      <c r="GY768"/>
      <c r="GZ768"/>
      <c r="HA768"/>
      <c r="HB768"/>
      <c r="HC768"/>
      <c r="HD768"/>
      <c r="HE768"/>
      <c r="HF768"/>
      <c r="HG768"/>
      <c r="HH768"/>
      <c r="HI768"/>
      <c r="HJ768"/>
      <c r="HK768"/>
      <c r="HL768"/>
      <c r="HM768"/>
      <c r="HN768"/>
      <c r="HO768"/>
      <c r="HP768"/>
      <c r="HQ768"/>
      <c r="HR768"/>
      <c r="HS768"/>
      <c r="HT768"/>
      <c r="HU768"/>
      <c r="HV768"/>
      <c r="HW768"/>
      <c r="HX768"/>
      <c r="HY768"/>
      <c r="HZ768"/>
      <c r="IA768"/>
      <c r="IB768"/>
      <c r="IC768"/>
      <c r="ID768"/>
      <c r="IE768"/>
      <c r="IF768"/>
      <c r="IG768"/>
      <c r="IH768"/>
      <c r="II768"/>
      <c r="IJ768"/>
      <c r="IK768"/>
      <c r="IL768"/>
      <c r="IM768"/>
      <c r="IN768"/>
      <c r="IO768"/>
      <c r="IP768"/>
      <c r="IQ768"/>
    </row>
    <row r="769" spans="1:252" ht="12.75" customHeight="1" x14ac:dyDescent="0.2">
      <c r="A769" s="742"/>
      <c r="B769" s="1090" t="s">
        <v>845</v>
      </c>
      <c r="C769" s="1091">
        <f>SUM(C770:C773)</f>
        <v>10050000</v>
      </c>
      <c r="D769" s="1091">
        <f>SUM(D770:D773)</f>
        <v>10050000</v>
      </c>
      <c r="E769" s="1605">
        <v>1121338.8899999999</v>
      </c>
      <c r="F769" s="699">
        <f>SUM(E770:E773)</f>
        <v>1121338.8900000001</v>
      </c>
      <c r="G769" s="1361">
        <f t="shared" si="288"/>
        <v>11.157600895522387</v>
      </c>
      <c r="H769" s="1362">
        <f t="shared" si="289"/>
        <v>11.157600895522387</v>
      </c>
      <c r="I769" s="1363">
        <f t="shared" si="284"/>
        <v>33.583364033157856</v>
      </c>
      <c r="J769" s="96">
        <v>3338971.31</v>
      </c>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c r="EX769"/>
      <c r="EY769"/>
      <c r="EZ769"/>
      <c r="FA769"/>
      <c r="FB769"/>
      <c r="FC769"/>
      <c r="FD769"/>
      <c r="FE769"/>
      <c r="FF769"/>
      <c r="FG769"/>
      <c r="FH769"/>
      <c r="FI769"/>
      <c r="FJ769"/>
      <c r="FK769"/>
      <c r="FL769"/>
      <c r="FM769"/>
      <c r="FN769"/>
      <c r="FO769"/>
      <c r="FP769"/>
      <c r="FQ769"/>
      <c r="FR769"/>
      <c r="FS769"/>
      <c r="FT769"/>
      <c r="FU769"/>
      <c r="FV769"/>
      <c r="FW769"/>
      <c r="FX769"/>
      <c r="FY769"/>
      <c r="FZ769"/>
      <c r="GA769"/>
      <c r="GB769"/>
      <c r="GC769"/>
      <c r="GD769"/>
      <c r="GE769"/>
      <c r="GF769"/>
      <c r="GG769"/>
      <c r="GH769"/>
      <c r="GI769"/>
      <c r="GJ769"/>
      <c r="GK769"/>
      <c r="GL769"/>
      <c r="GM769"/>
      <c r="GN769"/>
      <c r="GO769"/>
      <c r="GP769"/>
      <c r="GQ769"/>
      <c r="GR769"/>
      <c r="GS769"/>
      <c r="GT769"/>
      <c r="GU769"/>
      <c r="GV769"/>
      <c r="GW769"/>
      <c r="GX769"/>
      <c r="GY769"/>
      <c r="GZ769"/>
      <c r="HA769"/>
      <c r="HB769"/>
      <c r="HC769"/>
      <c r="HD769"/>
      <c r="HE769"/>
      <c r="HF769"/>
      <c r="HG769"/>
      <c r="HH769"/>
      <c r="HI769"/>
      <c r="HJ769"/>
      <c r="HK769"/>
      <c r="HL769"/>
      <c r="HM769"/>
      <c r="HN769"/>
      <c r="HO769"/>
      <c r="HP769"/>
      <c r="HQ769"/>
      <c r="HR769"/>
      <c r="HS769"/>
      <c r="HT769"/>
      <c r="HU769"/>
      <c r="HV769"/>
      <c r="HW769"/>
      <c r="HX769"/>
      <c r="HY769"/>
      <c r="HZ769"/>
      <c r="IA769"/>
      <c r="IB769"/>
      <c r="IC769"/>
      <c r="ID769"/>
      <c r="IE769"/>
      <c r="IF769"/>
      <c r="IG769"/>
      <c r="IH769"/>
      <c r="II769"/>
      <c r="IJ769"/>
      <c r="IK769"/>
      <c r="IL769"/>
      <c r="IM769"/>
      <c r="IN769"/>
      <c r="IO769"/>
      <c r="IP769"/>
      <c r="IQ769"/>
    </row>
    <row r="770" spans="1:252" ht="12.75" customHeight="1" x14ac:dyDescent="0.2">
      <c r="A770" s="739"/>
      <c r="B770" s="970" t="s">
        <v>1435</v>
      </c>
      <c r="C770" s="861">
        <v>5750000</v>
      </c>
      <c r="D770" s="861">
        <v>5750000</v>
      </c>
      <c r="E770" s="1191">
        <v>980801.29</v>
      </c>
      <c r="F770" s="1191"/>
      <c r="G770" s="1243">
        <f t="shared" si="288"/>
        <v>17.057413739130435</v>
      </c>
      <c r="H770" s="1248">
        <f t="shared" si="289"/>
        <v>17.057413739130435</v>
      </c>
      <c r="I770" s="1258">
        <f t="shared" si="284"/>
        <v>37.686725365278043</v>
      </c>
      <c r="J770" s="96">
        <v>2602511.31</v>
      </c>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c r="EF770"/>
      <c r="EG770"/>
      <c r="EH770"/>
      <c r="EI770"/>
      <c r="EJ770"/>
      <c r="EK770"/>
      <c r="EL770"/>
      <c r="EM770"/>
      <c r="EN770"/>
      <c r="EO770"/>
      <c r="EP770"/>
      <c r="EQ770"/>
      <c r="ER770"/>
      <c r="ES770"/>
      <c r="ET770"/>
      <c r="EU770"/>
      <c r="EV770"/>
      <c r="EW770"/>
      <c r="EX770"/>
      <c r="EY770"/>
      <c r="EZ770"/>
      <c r="FA770"/>
      <c r="FB770"/>
      <c r="FC770"/>
      <c r="FD770"/>
      <c r="FE770"/>
      <c r="FF770"/>
      <c r="FG770"/>
      <c r="FH770"/>
      <c r="FI770"/>
      <c r="FJ770"/>
      <c r="FK770"/>
      <c r="FL770"/>
      <c r="FM770"/>
      <c r="FN770"/>
      <c r="FO770"/>
      <c r="FP770"/>
      <c r="FQ770"/>
      <c r="FR770"/>
      <c r="FS770"/>
      <c r="FT770"/>
      <c r="FU770"/>
      <c r="FV770"/>
      <c r="FW770"/>
      <c r="FX770"/>
      <c r="FY770"/>
      <c r="FZ770"/>
      <c r="GA770"/>
      <c r="GB770"/>
      <c r="GC770"/>
      <c r="GD770"/>
      <c r="GE770"/>
      <c r="GF770"/>
      <c r="GG770"/>
      <c r="GH770"/>
      <c r="GI770"/>
      <c r="GJ770"/>
      <c r="GK770"/>
      <c r="GL770"/>
      <c r="GM770"/>
      <c r="GN770"/>
      <c r="GO770"/>
      <c r="GP770"/>
      <c r="GQ770"/>
      <c r="GR770"/>
      <c r="GS770"/>
      <c r="GT770"/>
      <c r="GU770"/>
      <c r="GV770"/>
      <c r="GW770"/>
      <c r="GX770"/>
      <c r="GY770"/>
      <c r="GZ770"/>
      <c r="HA770"/>
      <c r="HB770"/>
      <c r="HC770"/>
      <c r="HD770"/>
      <c r="HE770"/>
      <c r="HF770"/>
      <c r="HG770"/>
      <c r="HH770"/>
      <c r="HI770"/>
      <c r="HJ770"/>
      <c r="HK770"/>
      <c r="HL770"/>
      <c r="HM770"/>
      <c r="HN770"/>
      <c r="HO770"/>
      <c r="HP770"/>
      <c r="HQ770"/>
      <c r="HR770"/>
      <c r="HS770"/>
      <c r="HT770"/>
      <c r="HU770"/>
      <c r="HV770"/>
      <c r="HW770"/>
      <c r="HX770"/>
      <c r="HY770"/>
      <c r="HZ770"/>
      <c r="IA770"/>
      <c r="IB770"/>
      <c r="IC770"/>
      <c r="ID770"/>
      <c r="IE770"/>
      <c r="IF770"/>
      <c r="IG770"/>
      <c r="IH770"/>
      <c r="II770"/>
      <c r="IJ770"/>
      <c r="IK770"/>
      <c r="IL770"/>
      <c r="IM770"/>
      <c r="IN770"/>
      <c r="IO770"/>
      <c r="IP770"/>
      <c r="IQ770"/>
    </row>
    <row r="771" spans="1:252" ht="12.75" customHeight="1" x14ac:dyDescent="0.2">
      <c r="A771" s="739"/>
      <c r="B771" s="970" t="s">
        <v>1436</v>
      </c>
      <c r="C771" s="883">
        <v>500000</v>
      </c>
      <c r="D771" s="883">
        <v>500000</v>
      </c>
      <c r="E771" s="1191">
        <v>0</v>
      </c>
      <c r="F771" s="1191"/>
      <c r="G771" s="1243">
        <f t="shared" si="288"/>
        <v>0</v>
      </c>
      <c r="H771" s="1248">
        <f t="shared" si="289"/>
        <v>0</v>
      </c>
      <c r="I771" s="1258">
        <v>0</v>
      </c>
      <c r="J771" s="96">
        <v>0</v>
      </c>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c r="EF771"/>
      <c r="EG771"/>
      <c r="EH771"/>
      <c r="EI771"/>
      <c r="EJ771"/>
      <c r="EK771"/>
      <c r="EL771"/>
      <c r="EM771"/>
      <c r="EN771"/>
      <c r="EO771"/>
      <c r="EP771"/>
      <c r="EQ771"/>
      <c r="ER771"/>
      <c r="ES771"/>
      <c r="ET771"/>
      <c r="EU771"/>
      <c r="EV771"/>
      <c r="EW771"/>
      <c r="EX771"/>
      <c r="EY771"/>
      <c r="EZ771"/>
      <c r="FA771"/>
      <c r="FB771"/>
      <c r="FC771"/>
      <c r="FD771"/>
      <c r="FE771"/>
      <c r="FF771"/>
      <c r="FG771"/>
      <c r="FH771"/>
      <c r="FI771"/>
      <c r="FJ771"/>
      <c r="FK771"/>
      <c r="FL771"/>
      <c r="FM771"/>
      <c r="FN771"/>
      <c r="FO771"/>
      <c r="FP771"/>
      <c r="FQ771"/>
      <c r="FR771"/>
      <c r="FS771"/>
      <c r="FT771"/>
      <c r="FU771"/>
      <c r="FV771"/>
      <c r="FW771"/>
      <c r="FX771"/>
      <c r="FY771"/>
      <c r="FZ771"/>
      <c r="GA771"/>
      <c r="GB771"/>
      <c r="GC771"/>
      <c r="GD771"/>
      <c r="GE771"/>
      <c r="GF771"/>
      <c r="GG771"/>
      <c r="GH771"/>
      <c r="GI771"/>
      <c r="GJ771"/>
      <c r="GK771"/>
      <c r="GL771"/>
      <c r="GM771"/>
      <c r="GN771"/>
      <c r="GO771"/>
      <c r="GP771"/>
      <c r="GQ771"/>
      <c r="GR771"/>
      <c r="GS771"/>
      <c r="GT771"/>
      <c r="GU771"/>
      <c r="GV771"/>
      <c r="GW771"/>
      <c r="GX771"/>
      <c r="GY771"/>
      <c r="GZ771"/>
      <c r="HA771"/>
      <c r="HB771"/>
      <c r="HC771"/>
      <c r="HD771"/>
      <c r="HE771"/>
      <c r="HF771"/>
      <c r="HG771"/>
      <c r="HH771"/>
      <c r="HI771"/>
      <c r="HJ771"/>
      <c r="HK771"/>
      <c r="HL771"/>
      <c r="HM771"/>
      <c r="HN771"/>
      <c r="HO771"/>
      <c r="HP771"/>
      <c r="HQ771"/>
      <c r="HR771"/>
      <c r="HS771"/>
      <c r="HT771"/>
      <c r="HU771"/>
      <c r="HV771"/>
      <c r="HW771"/>
      <c r="HX771"/>
      <c r="HY771"/>
      <c r="HZ771"/>
      <c r="IA771"/>
      <c r="IB771"/>
      <c r="IC771"/>
      <c r="ID771"/>
      <c r="IE771"/>
      <c r="IF771"/>
      <c r="IG771"/>
      <c r="IH771"/>
      <c r="II771"/>
      <c r="IJ771"/>
      <c r="IK771"/>
      <c r="IL771"/>
      <c r="IM771"/>
      <c r="IN771"/>
      <c r="IO771"/>
      <c r="IP771"/>
      <c r="IQ771"/>
    </row>
    <row r="772" spans="1:252" ht="12.75" customHeight="1" x14ac:dyDescent="0.2">
      <c r="A772" s="739"/>
      <c r="B772" s="970" t="s">
        <v>1118</v>
      </c>
      <c r="C772" s="883">
        <v>1800000</v>
      </c>
      <c r="D772" s="883">
        <v>1800000</v>
      </c>
      <c r="E772" s="1191">
        <v>140537.60000000001</v>
      </c>
      <c r="F772" s="1191"/>
      <c r="G772" s="1243">
        <f t="shared" si="288"/>
        <v>7.8076444444444446</v>
      </c>
      <c r="H772" s="1248">
        <f t="shared" si="289"/>
        <v>7.8076444444444446</v>
      </c>
      <c r="I772" s="1258">
        <f t="shared" si="284"/>
        <v>19.082855823805776</v>
      </c>
      <c r="J772" s="96">
        <v>736460</v>
      </c>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c r="EW772"/>
      <c r="EX772"/>
      <c r="EY772"/>
      <c r="EZ772"/>
      <c r="FA772"/>
      <c r="FB772"/>
      <c r="FC772"/>
      <c r="FD772"/>
      <c r="FE772"/>
      <c r="FF772"/>
      <c r="FG772"/>
      <c r="FH772"/>
      <c r="FI772"/>
      <c r="FJ772"/>
      <c r="FK772"/>
      <c r="FL772"/>
      <c r="FM772"/>
      <c r="FN772"/>
      <c r="FO772"/>
      <c r="FP772"/>
      <c r="FQ772"/>
      <c r="FR772"/>
      <c r="FS772"/>
      <c r="FT772"/>
      <c r="FU772"/>
      <c r="FV772"/>
      <c r="FW772"/>
      <c r="FX772"/>
      <c r="FY772"/>
      <c r="FZ772"/>
      <c r="GA772"/>
      <c r="GB772"/>
      <c r="GC772"/>
      <c r="GD772"/>
      <c r="GE772"/>
      <c r="GF772"/>
      <c r="GG772"/>
      <c r="GH772"/>
      <c r="GI772"/>
      <c r="GJ772"/>
      <c r="GK772"/>
      <c r="GL772"/>
      <c r="GM772"/>
      <c r="GN772"/>
      <c r="GO772"/>
      <c r="GP772"/>
      <c r="GQ772"/>
      <c r="GR772"/>
      <c r="GS772"/>
      <c r="GT772"/>
      <c r="GU772"/>
      <c r="GV772"/>
      <c r="GW772"/>
      <c r="GX772"/>
      <c r="GY772"/>
      <c r="GZ772"/>
      <c r="HA772"/>
      <c r="HB772"/>
      <c r="HC772"/>
      <c r="HD772"/>
      <c r="HE772"/>
      <c r="HF772"/>
      <c r="HG772"/>
      <c r="HH772"/>
      <c r="HI772"/>
      <c r="HJ772"/>
      <c r="HK772"/>
      <c r="HL772"/>
      <c r="HM772"/>
      <c r="HN772"/>
      <c r="HO772"/>
      <c r="HP772"/>
      <c r="HQ772"/>
      <c r="HR772"/>
      <c r="HS772"/>
      <c r="HT772"/>
      <c r="HU772"/>
      <c r="HV772"/>
      <c r="HW772"/>
      <c r="HX772"/>
      <c r="HY772"/>
      <c r="HZ772"/>
      <c r="IA772"/>
      <c r="IB772"/>
      <c r="IC772"/>
      <c r="ID772"/>
      <c r="IE772"/>
      <c r="IF772"/>
      <c r="IG772"/>
      <c r="IH772"/>
      <c r="II772"/>
      <c r="IJ772"/>
      <c r="IK772"/>
      <c r="IL772"/>
      <c r="IM772"/>
      <c r="IN772"/>
      <c r="IO772"/>
      <c r="IP772"/>
      <c r="IQ772"/>
    </row>
    <row r="773" spans="1:252" ht="12.75" customHeight="1" x14ac:dyDescent="0.2">
      <c r="A773" s="739"/>
      <c r="B773" s="970" t="s">
        <v>1437</v>
      </c>
      <c r="C773" s="883">
        <v>2000000</v>
      </c>
      <c r="D773" s="883">
        <v>2000000</v>
      </c>
      <c r="E773" s="707">
        <v>0</v>
      </c>
      <c r="F773" s="707"/>
      <c r="G773" s="1243">
        <f t="shared" si="288"/>
        <v>0</v>
      </c>
      <c r="H773" s="1248">
        <f t="shared" si="289"/>
        <v>0</v>
      </c>
      <c r="I773" s="1258">
        <f>E773/J706*100</f>
        <v>0</v>
      </c>
      <c r="J773" s="96">
        <v>0</v>
      </c>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c r="EX773"/>
      <c r="EY773"/>
      <c r="EZ773"/>
      <c r="FA773"/>
      <c r="FB773"/>
      <c r="FC773"/>
      <c r="FD773"/>
      <c r="FE773"/>
      <c r="FF773"/>
      <c r="FG773"/>
      <c r="FH773"/>
      <c r="FI773"/>
      <c r="FJ773"/>
      <c r="FK773"/>
      <c r="FL773"/>
      <c r="FM773"/>
      <c r="FN773"/>
      <c r="FO773"/>
      <c r="FP773"/>
      <c r="FQ773"/>
      <c r="FR773"/>
      <c r="FS773"/>
      <c r="FT773"/>
      <c r="FU773"/>
      <c r="FV773"/>
      <c r="FW773"/>
      <c r="FX773"/>
      <c r="FY773"/>
      <c r="FZ773"/>
      <c r="GA773"/>
      <c r="GB773"/>
      <c r="GC773"/>
      <c r="GD773"/>
      <c r="GE773"/>
      <c r="GF773"/>
      <c r="GG773"/>
      <c r="GH773"/>
      <c r="GI773"/>
      <c r="GJ773"/>
      <c r="GK773"/>
      <c r="GL773"/>
      <c r="GM773"/>
      <c r="GN773"/>
      <c r="GO773"/>
      <c r="GP773"/>
      <c r="GQ773"/>
      <c r="GR773"/>
      <c r="GS773"/>
      <c r="GT773"/>
      <c r="GU773"/>
      <c r="GV773"/>
      <c r="GW773"/>
      <c r="GX773"/>
      <c r="GY773"/>
      <c r="GZ773"/>
      <c r="HA773"/>
      <c r="HB773"/>
      <c r="HC773"/>
      <c r="HD773"/>
      <c r="HE773"/>
      <c r="HF773"/>
      <c r="HG773"/>
      <c r="HH773"/>
      <c r="HI773"/>
      <c r="HJ773"/>
      <c r="HK773"/>
      <c r="HL773"/>
      <c r="HM773"/>
      <c r="HN773"/>
      <c r="HO773"/>
      <c r="HP773"/>
      <c r="HQ773"/>
      <c r="HR773"/>
      <c r="HS773"/>
      <c r="HT773"/>
      <c r="HU773"/>
      <c r="HV773"/>
      <c r="HW773"/>
      <c r="HX773"/>
      <c r="HY773"/>
      <c r="HZ773"/>
      <c r="IA773"/>
      <c r="IB773"/>
      <c r="IC773"/>
      <c r="ID773"/>
      <c r="IE773"/>
      <c r="IF773"/>
      <c r="IG773"/>
      <c r="IH773"/>
      <c r="II773"/>
      <c r="IJ773"/>
      <c r="IK773"/>
      <c r="IL773"/>
      <c r="IM773"/>
      <c r="IN773"/>
      <c r="IO773"/>
      <c r="IP773"/>
      <c r="IQ773"/>
    </row>
    <row r="774" spans="1:252" ht="12.75" customHeight="1" x14ac:dyDescent="0.2">
      <c r="A774" s="739"/>
      <c r="B774" s="1092" t="s">
        <v>1438</v>
      </c>
      <c r="C774" s="1093">
        <f>C775+C776</f>
        <v>4250000</v>
      </c>
      <c r="D774" s="1093">
        <f>D775+D776</f>
        <v>4250000</v>
      </c>
      <c r="E774" s="1174">
        <v>1130964.8600000001</v>
      </c>
      <c r="F774" s="707">
        <f>SUM(E775:E779)</f>
        <v>1130964.8600000001</v>
      </c>
      <c r="G774" s="1361">
        <f t="shared" si="288"/>
        <v>26.610937882352943</v>
      </c>
      <c r="H774" s="1362">
        <f t="shared" si="289"/>
        <v>26.610937882352943</v>
      </c>
      <c r="I774" s="1363">
        <f t="shared" si="284"/>
        <v>151.75011424549015</v>
      </c>
      <c r="J774" s="96">
        <v>745281.06</v>
      </c>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c r="EX774"/>
      <c r="EY774"/>
      <c r="EZ774"/>
      <c r="FA774"/>
      <c r="FB774"/>
      <c r="FC774"/>
      <c r="FD774"/>
      <c r="FE774"/>
      <c r="FF774"/>
      <c r="FG774"/>
      <c r="FH774"/>
      <c r="FI774"/>
      <c r="FJ774"/>
      <c r="FK774"/>
      <c r="FL774"/>
      <c r="FM774"/>
      <c r="FN774"/>
      <c r="FO774"/>
      <c r="FP774"/>
      <c r="FQ774"/>
      <c r="FR774"/>
      <c r="FS774"/>
      <c r="FT774"/>
      <c r="FU774"/>
      <c r="FV774"/>
      <c r="FW774"/>
      <c r="FX774"/>
      <c r="FY774"/>
      <c r="FZ774"/>
      <c r="GA774"/>
      <c r="GB774"/>
      <c r="GC774"/>
      <c r="GD774"/>
      <c r="GE774"/>
      <c r="GF774"/>
      <c r="GG774"/>
      <c r="GH774"/>
      <c r="GI774"/>
      <c r="GJ774"/>
      <c r="GK774"/>
      <c r="GL774"/>
      <c r="GM774"/>
      <c r="GN774"/>
      <c r="GO774"/>
      <c r="GP774"/>
      <c r="GQ774"/>
      <c r="GR774"/>
      <c r="GS774"/>
      <c r="GT774"/>
      <c r="GU774"/>
      <c r="GV774"/>
      <c r="GW774"/>
      <c r="GX774"/>
      <c r="GY774"/>
      <c r="GZ774"/>
      <c r="HA774"/>
      <c r="HB774"/>
      <c r="HC774"/>
      <c r="HD774"/>
      <c r="HE774"/>
      <c r="HF774"/>
      <c r="HG774"/>
      <c r="HH774"/>
      <c r="HI774"/>
      <c r="HJ774"/>
      <c r="HK774"/>
      <c r="HL774"/>
      <c r="HM774"/>
      <c r="HN774"/>
      <c r="HO774"/>
      <c r="HP774"/>
      <c r="HQ774"/>
      <c r="HR774"/>
      <c r="HS774"/>
      <c r="HT774"/>
      <c r="HU774"/>
      <c r="HV774"/>
      <c r="HW774"/>
      <c r="HX774"/>
      <c r="HY774"/>
      <c r="HZ774"/>
      <c r="IA774"/>
      <c r="IB774"/>
      <c r="IC774"/>
      <c r="ID774"/>
      <c r="IE774"/>
      <c r="IF774"/>
      <c r="IG774"/>
      <c r="IH774"/>
      <c r="II774"/>
      <c r="IJ774"/>
      <c r="IK774"/>
      <c r="IL774"/>
      <c r="IM774"/>
      <c r="IN774"/>
      <c r="IO774"/>
      <c r="IP774"/>
      <c r="IQ774"/>
    </row>
    <row r="775" spans="1:252" ht="12.75" customHeight="1" x14ac:dyDescent="0.2">
      <c r="A775" s="726"/>
      <c r="B775" s="970" t="s">
        <v>1075</v>
      </c>
      <c r="C775" s="983">
        <v>3000000</v>
      </c>
      <c r="D775" s="983">
        <v>3000000</v>
      </c>
      <c r="E775" s="707">
        <v>1130964.8600000001</v>
      </c>
      <c r="F775" s="707"/>
      <c r="G775" s="1243">
        <f t="shared" si="288"/>
        <v>37.698828666666671</v>
      </c>
      <c r="H775" s="1248">
        <f t="shared" si="289"/>
        <v>37.698828666666671</v>
      </c>
      <c r="I775" s="1258">
        <f t="shared" si="284"/>
        <v>151.75011424549015</v>
      </c>
      <c r="J775" s="96">
        <v>745281.06</v>
      </c>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c r="EW775"/>
      <c r="EX775"/>
      <c r="EY775"/>
      <c r="EZ775"/>
      <c r="FA775"/>
      <c r="FB775"/>
      <c r="FC775"/>
      <c r="FD775"/>
      <c r="FE775"/>
      <c r="FF775"/>
      <c r="FG775"/>
      <c r="FH775"/>
      <c r="FI775"/>
      <c r="FJ775"/>
      <c r="FK775"/>
      <c r="FL775"/>
      <c r="FM775"/>
      <c r="FN775"/>
      <c r="FO775"/>
      <c r="FP775"/>
      <c r="FQ775"/>
      <c r="FR775"/>
      <c r="FS775"/>
      <c r="FT775"/>
      <c r="FU775"/>
      <c r="FV775"/>
      <c r="FW775"/>
      <c r="FX775"/>
      <c r="FY775"/>
      <c r="FZ775"/>
      <c r="GA775"/>
      <c r="GB775"/>
      <c r="GC775"/>
      <c r="GD775"/>
      <c r="GE775"/>
      <c r="GF775"/>
      <c r="GG775"/>
      <c r="GH775"/>
      <c r="GI775"/>
      <c r="GJ775"/>
      <c r="GK775"/>
      <c r="GL775"/>
      <c r="GM775"/>
      <c r="GN775"/>
      <c r="GO775"/>
      <c r="GP775"/>
      <c r="GQ775"/>
      <c r="GR775"/>
      <c r="GS775"/>
      <c r="GT775"/>
      <c r="GU775"/>
      <c r="GV775"/>
      <c r="GW775"/>
      <c r="GX775"/>
      <c r="GY775"/>
      <c r="GZ775"/>
      <c r="HA775"/>
      <c r="HB775"/>
      <c r="HC775"/>
      <c r="HD775"/>
      <c r="HE775"/>
      <c r="HF775"/>
      <c r="HG775"/>
      <c r="HH775"/>
      <c r="HI775"/>
      <c r="HJ775"/>
      <c r="HK775"/>
      <c r="HL775"/>
      <c r="HM775"/>
      <c r="HN775"/>
      <c r="HO775"/>
      <c r="HP775"/>
      <c r="HQ775"/>
      <c r="HR775"/>
      <c r="HS775"/>
      <c r="HT775"/>
      <c r="HU775"/>
      <c r="HV775"/>
      <c r="HW775"/>
      <c r="HX775"/>
      <c r="HY775"/>
      <c r="HZ775"/>
      <c r="IA775"/>
      <c r="IB775"/>
      <c r="IC775"/>
      <c r="ID775"/>
      <c r="IE775"/>
      <c r="IF775"/>
      <c r="IG775"/>
      <c r="IH775"/>
      <c r="II775"/>
      <c r="IJ775"/>
      <c r="IK775"/>
      <c r="IL775"/>
      <c r="IM775"/>
      <c r="IN775"/>
      <c r="IO775"/>
      <c r="IP775"/>
      <c r="IQ775"/>
    </row>
    <row r="776" spans="1:252" ht="12.75" customHeight="1" x14ac:dyDescent="0.2">
      <c r="A776" s="726"/>
      <c r="B776" s="1094" t="s">
        <v>851</v>
      </c>
      <c r="C776" s="983">
        <f>SUM(C777:C779)</f>
        <v>1250000</v>
      </c>
      <c r="D776" s="983">
        <f>SUM(D777:D779)</f>
        <v>1250000</v>
      </c>
      <c r="E776" s="707">
        <v>0</v>
      </c>
      <c r="F776" s="707"/>
      <c r="G776" s="1243">
        <f t="shared" si="288"/>
        <v>0</v>
      </c>
      <c r="H776" s="1248">
        <f t="shared" si="289"/>
        <v>0</v>
      </c>
      <c r="I776" s="1258">
        <v>0</v>
      </c>
      <c r="J776" s="96">
        <v>0</v>
      </c>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c r="EW776"/>
      <c r="EX776"/>
      <c r="EY776"/>
      <c r="EZ776"/>
      <c r="FA776"/>
      <c r="FB776"/>
      <c r="FC776"/>
      <c r="FD776"/>
      <c r="FE776"/>
      <c r="FF776"/>
      <c r="FG776"/>
      <c r="FH776"/>
      <c r="FI776"/>
      <c r="FJ776"/>
      <c r="FK776"/>
      <c r="FL776"/>
      <c r="FM776"/>
      <c r="FN776"/>
      <c r="FO776"/>
      <c r="FP776"/>
      <c r="FQ776"/>
      <c r="FR776"/>
      <c r="FS776"/>
      <c r="FT776"/>
      <c r="FU776"/>
      <c r="FV776"/>
      <c r="FW776"/>
      <c r="FX776"/>
      <c r="FY776"/>
      <c r="FZ776"/>
      <c r="GA776"/>
      <c r="GB776"/>
      <c r="GC776"/>
      <c r="GD776"/>
      <c r="GE776"/>
      <c r="GF776"/>
      <c r="GG776"/>
      <c r="GH776"/>
      <c r="GI776"/>
      <c r="GJ776"/>
      <c r="GK776"/>
      <c r="GL776"/>
      <c r="GM776"/>
      <c r="GN776"/>
      <c r="GO776"/>
      <c r="GP776"/>
      <c r="GQ776"/>
      <c r="GR776"/>
      <c r="GS776"/>
      <c r="GT776"/>
      <c r="GU776"/>
      <c r="GV776"/>
      <c r="GW776"/>
      <c r="GX776"/>
      <c r="GY776"/>
      <c r="GZ776"/>
      <c r="HA776"/>
      <c r="HB776"/>
      <c r="HC776"/>
      <c r="HD776"/>
      <c r="HE776"/>
      <c r="HF776"/>
      <c r="HG776"/>
      <c r="HH776"/>
      <c r="HI776"/>
      <c r="HJ776"/>
      <c r="HK776"/>
      <c r="HL776"/>
      <c r="HM776"/>
      <c r="HN776"/>
      <c r="HO776"/>
      <c r="HP776"/>
      <c r="HQ776"/>
      <c r="HR776"/>
      <c r="HS776"/>
      <c r="HT776"/>
      <c r="HU776"/>
      <c r="HV776"/>
      <c r="HW776"/>
      <c r="HX776"/>
      <c r="HY776"/>
      <c r="HZ776"/>
      <c r="IA776"/>
      <c r="IB776"/>
      <c r="IC776"/>
      <c r="ID776"/>
      <c r="IE776"/>
      <c r="IF776"/>
      <c r="IG776"/>
      <c r="IH776"/>
      <c r="II776"/>
      <c r="IJ776"/>
      <c r="IK776"/>
      <c r="IL776"/>
      <c r="IM776"/>
      <c r="IN776"/>
      <c r="IO776"/>
      <c r="IP776"/>
      <c r="IQ776"/>
    </row>
    <row r="777" spans="1:252" ht="12.75" customHeight="1" x14ac:dyDescent="0.2">
      <c r="A777" s="726"/>
      <c r="B777" s="979" t="s">
        <v>1439</v>
      </c>
      <c r="C777" s="983">
        <v>350000</v>
      </c>
      <c r="D777" s="983">
        <v>350000</v>
      </c>
      <c r="E777" s="707">
        <v>0</v>
      </c>
      <c r="F777" s="740"/>
      <c r="G777" s="1243">
        <f t="shared" si="288"/>
        <v>0</v>
      </c>
      <c r="H777" s="1248">
        <f t="shared" si="289"/>
        <v>0</v>
      </c>
      <c r="I777" s="1258">
        <v>0</v>
      </c>
      <c r="J777" s="96">
        <v>0</v>
      </c>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c r="EW777"/>
      <c r="EX777"/>
      <c r="EY777"/>
      <c r="EZ777"/>
      <c r="FA777"/>
      <c r="FB777"/>
      <c r="FC777"/>
      <c r="FD777"/>
      <c r="FE777"/>
      <c r="FF777"/>
      <c r="FG777"/>
      <c r="FH777"/>
      <c r="FI777"/>
      <c r="FJ777"/>
      <c r="FK777"/>
      <c r="FL777"/>
      <c r="FM777"/>
      <c r="FN777"/>
      <c r="FO777"/>
      <c r="FP777"/>
      <c r="FQ777"/>
      <c r="FR777"/>
      <c r="FS777"/>
      <c r="FT777"/>
      <c r="FU777"/>
      <c r="FV777"/>
      <c r="FW777"/>
      <c r="FX777"/>
      <c r="FY777"/>
      <c r="FZ777"/>
      <c r="GA777"/>
      <c r="GB777"/>
      <c r="GC777"/>
      <c r="GD777"/>
      <c r="GE777"/>
      <c r="GF777"/>
      <c r="GG777"/>
      <c r="GH777"/>
      <c r="GI777"/>
      <c r="GJ777"/>
      <c r="GK777"/>
      <c r="GL777"/>
      <c r="GM777"/>
      <c r="GN777"/>
      <c r="GO777"/>
      <c r="GP777"/>
      <c r="GQ777"/>
      <c r="GR777"/>
      <c r="GS777"/>
      <c r="GT777"/>
      <c r="GU777"/>
      <c r="GV777"/>
      <c r="GW777"/>
      <c r="GX777"/>
      <c r="GY777"/>
      <c r="GZ777"/>
      <c r="HA777"/>
      <c r="HB777"/>
      <c r="HC777"/>
      <c r="HD777"/>
      <c r="HE777"/>
      <c r="HF777"/>
      <c r="HG777"/>
      <c r="HH777"/>
      <c r="HI777"/>
      <c r="HJ777"/>
      <c r="HK777"/>
      <c r="HL777"/>
      <c r="HM777"/>
      <c r="HN777"/>
      <c r="HO777"/>
      <c r="HP777"/>
      <c r="HQ777"/>
      <c r="HR777"/>
      <c r="HS777"/>
      <c r="HT777"/>
      <c r="HU777"/>
      <c r="HV777"/>
      <c r="HW777"/>
      <c r="HX777"/>
      <c r="HY777"/>
      <c r="HZ777"/>
      <c r="IA777"/>
      <c r="IB777"/>
      <c r="IC777"/>
      <c r="ID777"/>
      <c r="IE777"/>
      <c r="IF777"/>
      <c r="IG777"/>
      <c r="IH777"/>
      <c r="II777"/>
      <c r="IJ777"/>
      <c r="IK777"/>
      <c r="IL777"/>
      <c r="IM777"/>
      <c r="IN777"/>
      <c r="IO777"/>
      <c r="IP777"/>
      <c r="IQ777"/>
    </row>
    <row r="778" spans="1:252" s="607" customFormat="1" ht="12.75" customHeight="1" x14ac:dyDescent="0.2">
      <c r="A778" s="726"/>
      <c r="B778" s="1057" t="s">
        <v>1120</v>
      </c>
      <c r="C778" s="874">
        <v>500000</v>
      </c>
      <c r="D778" s="874">
        <v>500000</v>
      </c>
      <c r="E778" s="782">
        <v>0</v>
      </c>
      <c r="F778" s="782"/>
      <c r="G778" s="1243">
        <f t="shared" si="288"/>
        <v>0</v>
      </c>
      <c r="H778" s="1248">
        <f t="shared" si="289"/>
        <v>0</v>
      </c>
      <c r="I778" s="1258">
        <f>E778/J710*100</f>
        <v>0</v>
      </c>
      <c r="J778" s="1615">
        <v>0</v>
      </c>
      <c r="IR778" s="698"/>
    </row>
    <row r="779" spans="1:252" ht="12.75" customHeight="1" x14ac:dyDescent="0.2">
      <c r="A779" s="726"/>
      <c r="B779" s="1057" t="s">
        <v>1661</v>
      </c>
      <c r="C779" s="983">
        <v>400000</v>
      </c>
      <c r="D779" s="983">
        <v>400000</v>
      </c>
      <c r="E779" s="707">
        <v>0</v>
      </c>
      <c r="F779" s="707"/>
      <c r="G779" s="1243">
        <f t="shared" si="288"/>
        <v>0</v>
      </c>
      <c r="H779" s="1248">
        <f t="shared" si="289"/>
        <v>0</v>
      </c>
      <c r="I779" s="1258">
        <f>E779/J712*100</f>
        <v>0</v>
      </c>
      <c r="J779" s="96">
        <v>0</v>
      </c>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c r="EY779"/>
      <c r="EZ779"/>
      <c r="FA779"/>
      <c r="FB779"/>
      <c r="FC779"/>
      <c r="FD779"/>
      <c r="FE779"/>
      <c r="FF779"/>
      <c r="FG779"/>
      <c r="FH779"/>
      <c r="FI779"/>
      <c r="FJ779"/>
      <c r="FK779"/>
      <c r="FL779"/>
      <c r="FM779"/>
      <c r="FN779"/>
      <c r="FO779"/>
      <c r="FP779"/>
      <c r="FQ779"/>
      <c r="FR779"/>
      <c r="FS779"/>
      <c r="FT779"/>
      <c r="FU779"/>
      <c r="FV779"/>
      <c r="FW779"/>
      <c r="FX779"/>
      <c r="FY779"/>
      <c r="FZ779"/>
      <c r="GA779"/>
      <c r="GB779"/>
      <c r="GC779"/>
      <c r="GD779"/>
      <c r="GE779"/>
      <c r="GF779"/>
      <c r="GG779"/>
      <c r="GH779"/>
      <c r="GI779"/>
      <c r="GJ779"/>
      <c r="GK779"/>
      <c r="GL779"/>
      <c r="GM779"/>
      <c r="GN779"/>
      <c r="GO779"/>
      <c r="GP779"/>
      <c r="GQ779"/>
      <c r="GR779"/>
      <c r="GS779"/>
      <c r="GT779"/>
      <c r="GU779"/>
      <c r="GV779"/>
      <c r="GW779"/>
      <c r="GX779"/>
      <c r="GY779"/>
      <c r="GZ779"/>
      <c r="HA779"/>
      <c r="HB779"/>
      <c r="HC779"/>
      <c r="HD779"/>
      <c r="HE779"/>
      <c r="HF779"/>
      <c r="HG779"/>
      <c r="HH779"/>
      <c r="HI779"/>
      <c r="HJ779"/>
      <c r="HK779"/>
      <c r="HL779"/>
      <c r="HM779"/>
      <c r="HN779"/>
      <c r="HO779"/>
      <c r="HP779"/>
      <c r="HQ779"/>
      <c r="HR779"/>
      <c r="HS779"/>
      <c r="HT779"/>
      <c r="HU779"/>
      <c r="HV779"/>
      <c r="HW779"/>
      <c r="HX779"/>
      <c r="HY779"/>
      <c r="HZ779"/>
      <c r="IA779"/>
      <c r="IB779"/>
      <c r="IC779"/>
      <c r="ID779"/>
      <c r="IE779"/>
      <c r="IF779"/>
      <c r="IG779"/>
      <c r="IH779"/>
      <c r="II779"/>
      <c r="IJ779"/>
      <c r="IK779"/>
      <c r="IL779"/>
      <c r="IM779"/>
      <c r="IN779"/>
      <c r="IO779"/>
      <c r="IP779"/>
      <c r="IQ779"/>
    </row>
    <row r="780" spans="1:252" ht="12.75" customHeight="1" x14ac:dyDescent="0.2">
      <c r="A780" s="741"/>
      <c r="B780" s="1095" t="s">
        <v>1440</v>
      </c>
      <c r="C780" s="1093">
        <f>C781+C782</f>
        <v>5000000</v>
      </c>
      <c r="D780" s="1093">
        <f>D781+D782</f>
        <v>5000000</v>
      </c>
      <c r="E780" s="1174">
        <v>1112748.79</v>
      </c>
      <c r="F780" s="707">
        <f>SUM(E781:E782)</f>
        <v>1112748.79</v>
      </c>
      <c r="G780" s="1361">
        <f t="shared" si="288"/>
        <v>22.2549758</v>
      </c>
      <c r="H780" s="1362">
        <f t="shared" si="289"/>
        <v>22.2549758</v>
      </c>
      <c r="I780" s="1363">
        <f t="shared" ref="I780:I781" si="290">E780/J780*100</f>
        <v>114.65016022654216</v>
      </c>
      <c r="J780" s="96">
        <v>970560.17</v>
      </c>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c r="EX780"/>
      <c r="EY780"/>
      <c r="EZ780"/>
      <c r="FA780"/>
      <c r="FB780"/>
      <c r="FC780"/>
      <c r="FD780"/>
      <c r="FE780"/>
      <c r="FF780"/>
      <c r="FG780"/>
      <c r="FH780"/>
      <c r="FI780"/>
      <c r="FJ780"/>
      <c r="FK780"/>
      <c r="FL780"/>
      <c r="FM780"/>
      <c r="FN780"/>
      <c r="FO780"/>
      <c r="FP780"/>
      <c r="FQ780"/>
      <c r="FR780"/>
      <c r="FS780"/>
      <c r="FT780"/>
      <c r="FU780"/>
      <c r="FV780"/>
      <c r="FW780"/>
      <c r="FX780"/>
      <c r="FY780"/>
      <c r="FZ780"/>
      <c r="GA780"/>
      <c r="GB780"/>
      <c r="GC780"/>
      <c r="GD780"/>
      <c r="GE780"/>
      <c r="GF780"/>
      <c r="GG780"/>
      <c r="GH780"/>
      <c r="GI780"/>
      <c r="GJ780"/>
      <c r="GK780"/>
      <c r="GL780"/>
      <c r="GM780"/>
      <c r="GN780"/>
      <c r="GO780"/>
      <c r="GP780"/>
      <c r="GQ780"/>
      <c r="GR780"/>
      <c r="GS780"/>
      <c r="GT780"/>
      <c r="GU780"/>
      <c r="GV780"/>
      <c r="GW780"/>
      <c r="GX780"/>
      <c r="GY780"/>
      <c r="GZ780"/>
      <c r="HA780"/>
      <c r="HB780"/>
      <c r="HC780"/>
      <c r="HD780"/>
      <c r="HE780"/>
      <c r="HF780"/>
      <c r="HG780"/>
      <c r="HH780"/>
      <c r="HI780"/>
      <c r="HJ780"/>
      <c r="HK780"/>
      <c r="HL780"/>
      <c r="HM780"/>
      <c r="HN780"/>
      <c r="HO780"/>
      <c r="HP780"/>
      <c r="HQ780"/>
      <c r="HR780"/>
      <c r="HS780"/>
      <c r="HT780"/>
      <c r="HU780"/>
      <c r="HV780"/>
      <c r="HW780"/>
      <c r="HX780"/>
      <c r="HY780"/>
      <c r="HZ780"/>
      <c r="IA780"/>
      <c r="IB780"/>
      <c r="IC780"/>
      <c r="ID780"/>
      <c r="IE780"/>
      <c r="IF780"/>
      <c r="IG780"/>
      <c r="IH780"/>
      <c r="II780"/>
      <c r="IJ780"/>
      <c r="IK780"/>
      <c r="IL780"/>
      <c r="IM780"/>
      <c r="IN780"/>
      <c r="IO780"/>
      <c r="IP780"/>
      <c r="IQ780"/>
    </row>
    <row r="781" spans="1:252" ht="12.75" customHeight="1" x14ac:dyDescent="0.2">
      <c r="A781" s="741"/>
      <c r="B781" s="1096" t="s">
        <v>850</v>
      </c>
      <c r="C781" s="1097">
        <v>4000000</v>
      </c>
      <c r="D781" s="1097">
        <v>4000000</v>
      </c>
      <c r="E781" s="1163">
        <v>890788.79</v>
      </c>
      <c r="F781" s="1163"/>
      <c r="G781" s="1243">
        <f t="shared" si="288"/>
        <v>22.26971975</v>
      </c>
      <c r="H781" s="1248">
        <f t="shared" si="289"/>
        <v>22.26971975</v>
      </c>
      <c r="I781" s="1258">
        <f t="shared" si="290"/>
        <v>91.780892883745679</v>
      </c>
      <c r="J781" s="96">
        <v>970560.17</v>
      </c>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c r="EY781"/>
      <c r="EZ781"/>
      <c r="FA781"/>
      <c r="FB781"/>
      <c r="FC781"/>
      <c r="FD781"/>
      <c r="FE781"/>
      <c r="FF781"/>
      <c r="FG781"/>
      <c r="FH781"/>
      <c r="FI781"/>
      <c r="FJ781"/>
      <c r="FK781"/>
      <c r="FL781"/>
      <c r="FM781"/>
      <c r="FN781"/>
      <c r="FO781"/>
      <c r="FP781"/>
      <c r="FQ781"/>
      <c r="FR781"/>
      <c r="FS781"/>
      <c r="FT781"/>
      <c r="FU781"/>
      <c r="FV781"/>
      <c r="FW781"/>
      <c r="FX781"/>
      <c r="FY781"/>
      <c r="FZ781"/>
      <c r="GA781"/>
      <c r="GB781"/>
      <c r="GC781"/>
      <c r="GD781"/>
      <c r="GE781"/>
      <c r="GF781"/>
      <c r="GG781"/>
      <c r="GH781"/>
      <c r="GI781"/>
      <c r="GJ781"/>
      <c r="GK781"/>
      <c r="GL781"/>
      <c r="GM781"/>
      <c r="GN781"/>
      <c r="GO781"/>
      <c r="GP781"/>
      <c r="GQ781"/>
      <c r="GR781"/>
      <c r="GS781"/>
      <c r="GT781"/>
      <c r="GU781"/>
      <c r="GV781"/>
      <c r="GW781"/>
      <c r="GX781"/>
      <c r="GY781"/>
      <c r="GZ781"/>
      <c r="HA781"/>
      <c r="HB781"/>
      <c r="HC781"/>
      <c r="HD781"/>
      <c r="HE781"/>
      <c r="HF781"/>
      <c r="HG781"/>
      <c r="HH781"/>
      <c r="HI781"/>
      <c r="HJ781"/>
      <c r="HK781"/>
      <c r="HL781"/>
      <c r="HM781"/>
      <c r="HN781"/>
      <c r="HO781"/>
      <c r="HP781"/>
      <c r="HQ781"/>
      <c r="HR781"/>
      <c r="HS781"/>
      <c r="HT781"/>
      <c r="HU781"/>
      <c r="HV781"/>
      <c r="HW781"/>
      <c r="HX781"/>
      <c r="HY781"/>
      <c r="HZ781"/>
      <c r="IA781"/>
      <c r="IB781"/>
      <c r="IC781"/>
      <c r="ID781"/>
      <c r="IE781"/>
      <c r="IF781"/>
      <c r="IG781"/>
      <c r="IH781"/>
      <c r="II781"/>
      <c r="IJ781"/>
      <c r="IK781"/>
      <c r="IL781"/>
      <c r="IM781"/>
      <c r="IN781"/>
      <c r="IO781"/>
      <c r="IP781"/>
      <c r="IQ781"/>
    </row>
    <row r="782" spans="1:252" s="607" customFormat="1" ht="15" customHeight="1" x14ac:dyDescent="0.2">
      <c r="A782" s="726"/>
      <c r="B782" s="1094" t="s">
        <v>855</v>
      </c>
      <c r="C782" s="983">
        <f>SUM(C783:C783)</f>
        <v>1000000</v>
      </c>
      <c r="D782" s="983">
        <f>SUM(D783:D783)</f>
        <v>1000000</v>
      </c>
      <c r="E782" s="707">
        <v>221960</v>
      </c>
      <c r="F782" s="707"/>
      <c r="G782" s="1243">
        <f t="shared" si="288"/>
        <v>22.195999999999998</v>
      </c>
      <c r="H782" s="1248">
        <f t="shared" si="289"/>
        <v>22.195999999999998</v>
      </c>
      <c r="I782" s="1258">
        <v>0</v>
      </c>
      <c r="J782" s="96">
        <v>0</v>
      </c>
    </row>
    <row r="783" spans="1:252" ht="12.75" customHeight="1" x14ac:dyDescent="0.2">
      <c r="A783" s="741"/>
      <c r="B783" s="970" t="s">
        <v>1122</v>
      </c>
      <c r="C783" s="983">
        <v>1000000</v>
      </c>
      <c r="D783" s="983">
        <v>1000000</v>
      </c>
      <c r="E783" s="1163">
        <v>221960</v>
      </c>
      <c r="F783" s="1163"/>
      <c r="G783" s="1243">
        <f t="shared" si="288"/>
        <v>22.195999999999998</v>
      </c>
      <c r="H783" s="1248">
        <f t="shared" si="289"/>
        <v>22.195999999999998</v>
      </c>
      <c r="I783" s="1258">
        <v>0</v>
      </c>
      <c r="J783" s="96">
        <v>0</v>
      </c>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c r="EY783"/>
      <c r="EZ783"/>
      <c r="FA783"/>
      <c r="FB783"/>
      <c r="FC783"/>
      <c r="FD783"/>
      <c r="FE783"/>
      <c r="FF783"/>
      <c r="FG783"/>
      <c r="FH783"/>
      <c r="FI783"/>
      <c r="FJ783"/>
      <c r="FK783"/>
      <c r="FL783"/>
      <c r="FM783"/>
      <c r="FN783"/>
      <c r="FO783"/>
      <c r="FP783"/>
      <c r="FQ783"/>
      <c r="FR783"/>
      <c r="FS783"/>
      <c r="FT783"/>
      <c r="FU783"/>
      <c r="FV783"/>
      <c r="FW783"/>
      <c r="FX783"/>
      <c r="FY783"/>
      <c r="FZ783"/>
      <c r="GA783"/>
      <c r="GB783"/>
      <c r="GC783"/>
      <c r="GD783"/>
      <c r="GE783"/>
      <c r="GF783"/>
      <c r="GG783"/>
      <c r="GH783"/>
      <c r="GI783"/>
      <c r="GJ783"/>
      <c r="GK783"/>
      <c r="GL783"/>
      <c r="GM783"/>
      <c r="GN783"/>
      <c r="GO783"/>
      <c r="GP783"/>
      <c r="GQ783"/>
      <c r="GR783"/>
      <c r="GS783"/>
      <c r="GT783"/>
      <c r="GU783"/>
      <c r="GV783"/>
      <c r="GW783"/>
      <c r="GX783"/>
      <c r="GY783"/>
      <c r="GZ783"/>
      <c r="HA783"/>
      <c r="HB783"/>
      <c r="HC783"/>
      <c r="HD783"/>
      <c r="HE783"/>
      <c r="HF783"/>
      <c r="HG783"/>
      <c r="HH783"/>
      <c r="HI783"/>
      <c r="HJ783"/>
      <c r="HK783"/>
      <c r="HL783"/>
      <c r="HM783"/>
      <c r="HN783"/>
      <c r="HO783"/>
      <c r="HP783"/>
      <c r="HQ783"/>
      <c r="HR783"/>
      <c r="HS783"/>
      <c r="HT783"/>
      <c r="HU783"/>
      <c r="HV783"/>
      <c r="HW783"/>
      <c r="HX783"/>
      <c r="HY783"/>
      <c r="HZ783"/>
      <c r="IA783"/>
      <c r="IB783"/>
      <c r="IC783"/>
      <c r="ID783"/>
      <c r="IE783"/>
      <c r="IF783"/>
      <c r="IG783"/>
      <c r="IH783"/>
      <c r="II783"/>
      <c r="IJ783"/>
      <c r="IK783"/>
      <c r="IL783"/>
      <c r="IM783"/>
      <c r="IN783"/>
      <c r="IO783"/>
      <c r="IP783"/>
      <c r="IQ783"/>
    </row>
    <row r="784" spans="1:252" ht="12.75" customHeight="1" x14ac:dyDescent="0.2">
      <c r="A784" s="741"/>
      <c r="B784" s="1100" t="s">
        <v>1736</v>
      </c>
      <c r="C784" s="874">
        <v>300000</v>
      </c>
      <c r="D784" s="874">
        <v>300000</v>
      </c>
      <c r="E784" s="707">
        <v>57786</v>
      </c>
      <c r="F784" s="740"/>
      <c r="G784" s="1243">
        <f t="shared" si="288"/>
        <v>19.262</v>
      </c>
      <c r="H784" s="1248">
        <f t="shared" si="289"/>
        <v>19.262</v>
      </c>
      <c r="I784" s="1258">
        <f>E784/J784*100</f>
        <v>60.634614173889325</v>
      </c>
      <c r="J784" s="96">
        <v>95302</v>
      </c>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c r="GS784"/>
      <c r="GT784"/>
      <c r="GU784"/>
      <c r="GV784"/>
      <c r="GW784"/>
      <c r="GX784"/>
      <c r="GY784"/>
      <c r="GZ784"/>
      <c r="HA784"/>
      <c r="HB784"/>
      <c r="HC784"/>
      <c r="HD784"/>
      <c r="HE784"/>
      <c r="HF784"/>
      <c r="HG784"/>
      <c r="HH784"/>
      <c r="HI784"/>
      <c r="HJ784"/>
      <c r="HK784"/>
      <c r="HL784"/>
      <c r="HM784"/>
      <c r="HN784"/>
      <c r="HO784"/>
      <c r="HP784"/>
      <c r="HQ784"/>
      <c r="HR784"/>
      <c r="HS784"/>
      <c r="HT784"/>
      <c r="HU784"/>
      <c r="HV784"/>
      <c r="HW784"/>
      <c r="HX784"/>
      <c r="HY784"/>
      <c r="HZ784"/>
      <c r="IA784"/>
      <c r="IB784"/>
      <c r="IC784"/>
      <c r="ID784"/>
      <c r="IE784"/>
      <c r="IF784"/>
      <c r="IG784"/>
      <c r="IH784"/>
      <c r="II784"/>
      <c r="IJ784"/>
      <c r="IK784"/>
      <c r="IL784"/>
      <c r="IM784"/>
      <c r="IN784"/>
      <c r="IO784"/>
      <c r="IP784"/>
      <c r="IQ784"/>
    </row>
    <row r="785" spans="1:251" s="607" customFormat="1" ht="12.75" customHeight="1" x14ac:dyDescent="0.2">
      <c r="A785" s="741"/>
      <c r="B785" s="1100" t="s">
        <v>1737</v>
      </c>
      <c r="C785" s="874">
        <v>3000000</v>
      </c>
      <c r="D785" s="874">
        <v>3000000</v>
      </c>
      <c r="E785" s="1163">
        <v>1171624.9099999999</v>
      </c>
      <c r="F785" s="1163"/>
      <c r="G785" s="1243">
        <f t="shared" si="288"/>
        <v>39.054163666666661</v>
      </c>
      <c r="H785" s="1248">
        <f t="shared" si="289"/>
        <v>39.054163666666661</v>
      </c>
      <c r="I785" s="1258">
        <f t="shared" ref="I785:I848" si="291">E785/J785*100</f>
        <v>100.74386099775229</v>
      </c>
      <c r="J785" s="96">
        <v>1162974</v>
      </c>
    </row>
    <row r="786" spans="1:251" s="607" customFormat="1" ht="12.75" customHeight="1" x14ac:dyDescent="0.2">
      <c r="A786" s="741"/>
      <c r="B786" s="1101" t="s">
        <v>1076</v>
      </c>
      <c r="C786" s="874">
        <v>100000</v>
      </c>
      <c r="D786" s="874">
        <v>100000</v>
      </c>
      <c r="E786" s="707">
        <v>54149</v>
      </c>
      <c r="F786" s="707"/>
      <c r="G786" s="1243">
        <f t="shared" si="288"/>
        <v>54.149000000000001</v>
      </c>
      <c r="H786" s="1248">
        <f t="shared" si="289"/>
        <v>54.149000000000001</v>
      </c>
      <c r="I786" s="1258">
        <f t="shared" si="291"/>
        <v>121.72417668877149</v>
      </c>
      <c r="J786" s="96">
        <v>44485</v>
      </c>
    </row>
    <row r="787" spans="1:251" s="607" customFormat="1" ht="12.75" customHeight="1" x14ac:dyDescent="0.2">
      <c r="A787" s="741"/>
      <c r="B787" s="1102" t="s">
        <v>1077</v>
      </c>
      <c r="C787" s="983">
        <v>100000</v>
      </c>
      <c r="D787" s="983">
        <v>100000</v>
      </c>
      <c r="E787" s="1163">
        <v>17262.599999999999</v>
      </c>
      <c r="F787" s="1163"/>
      <c r="G787" s="1243">
        <f t="shared" si="288"/>
        <v>17.262599999999999</v>
      </c>
      <c r="H787" s="1248">
        <f t="shared" si="289"/>
        <v>17.262599999999999</v>
      </c>
      <c r="I787" s="1258">
        <f t="shared" si="291"/>
        <v>67.45838218053926</v>
      </c>
      <c r="J787" s="96">
        <v>25590</v>
      </c>
    </row>
    <row r="788" spans="1:251" ht="12.75" customHeight="1" x14ac:dyDescent="0.2">
      <c r="A788" s="741"/>
      <c r="B788" s="1102" t="s">
        <v>1123</v>
      </c>
      <c r="C788" s="874">
        <f>C789+C790+C791+C792</f>
        <v>32450000</v>
      </c>
      <c r="D788" s="874">
        <f>D789+D790+D791+D792</f>
        <v>32450000</v>
      </c>
      <c r="E788" s="1163">
        <v>15496455.84</v>
      </c>
      <c r="F788" s="1163">
        <f>SUM(E789:E792)</f>
        <v>15496455.839999998</v>
      </c>
      <c r="G788" s="1243">
        <f t="shared" si="288"/>
        <v>47.754871617873654</v>
      </c>
      <c r="H788" s="1248">
        <f t="shared" si="289"/>
        <v>47.754871617873654</v>
      </c>
      <c r="I788" s="1258">
        <f t="shared" si="291"/>
        <v>97.196573809410296</v>
      </c>
      <c r="J788" s="96">
        <v>15943417.789999999</v>
      </c>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c r="FD788"/>
      <c r="FE788"/>
      <c r="FF788"/>
      <c r="FG788"/>
      <c r="FH788"/>
      <c r="FI788"/>
      <c r="FJ788"/>
      <c r="FK788"/>
      <c r="FL788"/>
      <c r="FM788"/>
      <c r="FN788"/>
      <c r="FO788"/>
      <c r="FP788"/>
      <c r="FQ788"/>
      <c r="FR788"/>
      <c r="FS788"/>
      <c r="FT788"/>
      <c r="FU788"/>
      <c r="FV788"/>
      <c r="FW788"/>
      <c r="FX788"/>
      <c r="FY788"/>
      <c r="FZ788"/>
      <c r="GA788"/>
      <c r="GB788"/>
      <c r="GC788"/>
      <c r="GD788"/>
      <c r="GE788"/>
      <c r="GF788"/>
      <c r="GG788"/>
      <c r="GH788"/>
      <c r="GI788"/>
      <c r="GJ788"/>
      <c r="GK788"/>
      <c r="GL788"/>
      <c r="GM788"/>
      <c r="GN788"/>
      <c r="GO788"/>
      <c r="GP788"/>
      <c r="GQ788"/>
      <c r="GR788"/>
      <c r="GS788"/>
      <c r="GT788"/>
      <c r="GU788"/>
      <c r="GV788"/>
      <c r="GW788"/>
      <c r="GX788"/>
      <c r="GY788"/>
      <c r="GZ788"/>
      <c r="HA788"/>
      <c r="HB788"/>
      <c r="HC788"/>
      <c r="HD788"/>
      <c r="HE788"/>
      <c r="HF788"/>
      <c r="HG788"/>
      <c r="HH788"/>
      <c r="HI788"/>
      <c r="HJ788"/>
      <c r="HK788"/>
      <c r="HL788"/>
      <c r="HM788"/>
      <c r="HN788"/>
      <c r="HO788"/>
      <c r="HP788"/>
      <c r="HQ788"/>
      <c r="HR788"/>
      <c r="HS788"/>
      <c r="HT788"/>
      <c r="HU788"/>
      <c r="HV788"/>
      <c r="HW788"/>
      <c r="HX788"/>
      <c r="HY788"/>
      <c r="HZ788"/>
      <c r="IA788"/>
      <c r="IB788"/>
      <c r="IC788"/>
      <c r="ID788"/>
      <c r="IE788"/>
      <c r="IF788"/>
      <c r="IG788"/>
      <c r="IH788"/>
      <c r="II788"/>
      <c r="IJ788"/>
      <c r="IK788"/>
      <c r="IL788"/>
      <c r="IM788"/>
      <c r="IN788"/>
      <c r="IO788"/>
      <c r="IP788"/>
      <c r="IQ788"/>
    </row>
    <row r="789" spans="1:251" ht="12.75" customHeight="1" x14ac:dyDescent="0.2">
      <c r="A789" s="741"/>
      <c r="B789" s="1103" t="s">
        <v>1124</v>
      </c>
      <c r="C789" s="983">
        <v>7000000</v>
      </c>
      <c r="D789" s="983">
        <v>7000000</v>
      </c>
      <c r="E789" s="1163">
        <v>4489633.47</v>
      </c>
      <c r="F789" s="1163"/>
      <c r="G789" s="1243">
        <f t="shared" si="288"/>
        <v>64.137620999999996</v>
      </c>
      <c r="H789" s="1248">
        <f t="shared" si="289"/>
        <v>64.137620999999996</v>
      </c>
      <c r="I789" s="1258">
        <f t="shared" si="291"/>
        <v>112.69076363909014</v>
      </c>
      <c r="J789" s="96">
        <v>3984029.68</v>
      </c>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c r="GS789"/>
      <c r="GT789"/>
      <c r="GU789"/>
      <c r="GV789"/>
      <c r="GW789"/>
      <c r="GX789"/>
      <c r="GY789"/>
      <c r="GZ789"/>
      <c r="HA789"/>
      <c r="HB789"/>
      <c r="HC789"/>
      <c r="HD789"/>
      <c r="HE789"/>
      <c r="HF789"/>
      <c r="HG789"/>
      <c r="HH789"/>
      <c r="HI789"/>
      <c r="HJ789"/>
      <c r="HK789"/>
      <c r="HL789"/>
      <c r="HM789"/>
      <c r="HN789"/>
      <c r="HO789"/>
      <c r="HP789"/>
      <c r="HQ789"/>
      <c r="HR789"/>
      <c r="HS789"/>
      <c r="HT789"/>
      <c r="HU789"/>
      <c r="HV789"/>
      <c r="HW789"/>
      <c r="HX789"/>
      <c r="HY789"/>
      <c r="HZ789"/>
      <c r="IA789"/>
      <c r="IB789"/>
      <c r="IC789"/>
      <c r="ID789"/>
      <c r="IE789"/>
      <c r="IF789"/>
      <c r="IG789"/>
      <c r="IH789"/>
      <c r="II789"/>
      <c r="IJ789"/>
      <c r="IK789"/>
      <c r="IL789"/>
      <c r="IM789"/>
      <c r="IN789"/>
      <c r="IO789"/>
      <c r="IP789"/>
      <c r="IQ789"/>
    </row>
    <row r="790" spans="1:251" ht="12.75" customHeight="1" x14ac:dyDescent="0.2">
      <c r="A790" s="726"/>
      <c r="B790" s="1104" t="s">
        <v>1125</v>
      </c>
      <c r="C790" s="874">
        <v>22000000</v>
      </c>
      <c r="D790" s="874">
        <v>22000000</v>
      </c>
      <c r="E790" s="1163">
        <v>9858091.8399999999</v>
      </c>
      <c r="F790" s="1163"/>
      <c r="G790" s="1243">
        <f t="shared" si="288"/>
        <v>44.809508363636361</v>
      </c>
      <c r="H790" s="1248">
        <f t="shared" si="289"/>
        <v>44.809508363636361</v>
      </c>
      <c r="I790" s="1258">
        <f t="shared" si="291"/>
        <v>89.855251984488035</v>
      </c>
      <c r="J790" s="96">
        <v>10971080.289999999</v>
      </c>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c r="FD790"/>
      <c r="FE790"/>
      <c r="FF790"/>
      <c r="FG790"/>
      <c r="FH790"/>
      <c r="FI790"/>
      <c r="FJ790"/>
      <c r="FK790"/>
      <c r="FL790"/>
      <c r="FM790"/>
      <c r="FN790"/>
      <c r="FO790"/>
      <c r="FP790"/>
      <c r="FQ790"/>
      <c r="FR790"/>
      <c r="FS790"/>
      <c r="FT790"/>
      <c r="FU790"/>
      <c r="FV790"/>
      <c r="FW790"/>
      <c r="FX790"/>
      <c r="FY790"/>
      <c r="FZ790"/>
      <c r="GA790"/>
      <c r="GB790"/>
      <c r="GC790"/>
      <c r="GD790"/>
      <c r="GE790"/>
      <c r="GF790"/>
      <c r="GG790"/>
      <c r="GH790"/>
      <c r="GI790"/>
      <c r="GJ790"/>
      <c r="GK790"/>
      <c r="GL790"/>
      <c r="GM790"/>
      <c r="GN790"/>
      <c r="GO790"/>
      <c r="GP790"/>
      <c r="GQ790"/>
      <c r="GR790"/>
      <c r="GS790"/>
      <c r="GT790"/>
      <c r="GU790"/>
      <c r="GV790"/>
      <c r="GW790"/>
      <c r="GX790"/>
      <c r="GY790"/>
      <c r="GZ790"/>
      <c r="HA790"/>
      <c r="HB790"/>
      <c r="HC790"/>
      <c r="HD790"/>
      <c r="HE790"/>
      <c r="HF790"/>
      <c r="HG790"/>
      <c r="HH790"/>
      <c r="HI790"/>
      <c r="HJ790"/>
      <c r="HK790"/>
      <c r="HL790"/>
      <c r="HM790"/>
      <c r="HN790"/>
      <c r="HO790"/>
      <c r="HP790"/>
      <c r="HQ790"/>
      <c r="HR790"/>
      <c r="HS790"/>
      <c r="HT790"/>
      <c r="HU790"/>
      <c r="HV790"/>
      <c r="HW790"/>
      <c r="HX790"/>
      <c r="HY790"/>
      <c r="HZ790"/>
      <c r="IA790"/>
      <c r="IB790"/>
      <c r="IC790"/>
      <c r="ID790"/>
      <c r="IE790"/>
      <c r="IF790"/>
      <c r="IG790"/>
      <c r="IH790"/>
      <c r="II790"/>
      <c r="IJ790"/>
      <c r="IK790"/>
      <c r="IL790"/>
      <c r="IM790"/>
      <c r="IN790"/>
      <c r="IO790"/>
      <c r="IP790"/>
      <c r="IQ790"/>
    </row>
    <row r="791" spans="1:251" ht="12.75" customHeight="1" x14ac:dyDescent="0.2">
      <c r="A791" s="726"/>
      <c r="B791" s="979" t="s">
        <v>1126</v>
      </c>
      <c r="C791" s="874">
        <v>900000</v>
      </c>
      <c r="D791" s="874">
        <v>900000</v>
      </c>
      <c r="E791" s="1163">
        <v>6063.27</v>
      </c>
      <c r="F791" s="1163"/>
      <c r="G791" s="1243">
        <f t="shared" si="288"/>
        <v>0.67369666666666672</v>
      </c>
      <c r="H791" s="1248">
        <f t="shared" si="289"/>
        <v>0.67369666666666672</v>
      </c>
      <c r="I791" s="1258">
        <f t="shared" si="291"/>
        <v>4.2860944941725352</v>
      </c>
      <c r="J791" s="96">
        <v>141463.75</v>
      </c>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c r="FD791"/>
      <c r="FE791"/>
      <c r="FF791"/>
      <c r="FG791"/>
      <c r="FH791"/>
      <c r="FI791"/>
      <c r="FJ791"/>
      <c r="FK791"/>
      <c r="FL791"/>
      <c r="FM791"/>
      <c r="FN791"/>
      <c r="FO791"/>
      <c r="FP791"/>
      <c r="FQ791"/>
      <c r="FR791"/>
      <c r="FS791"/>
      <c r="FT791"/>
      <c r="FU791"/>
      <c r="FV791"/>
      <c r="FW791"/>
      <c r="FX791"/>
      <c r="FY791"/>
      <c r="FZ791"/>
      <c r="GA791"/>
      <c r="GB791"/>
      <c r="GC791"/>
      <c r="GD791"/>
      <c r="GE791"/>
      <c r="GF791"/>
      <c r="GG791"/>
      <c r="GH791"/>
      <c r="GI791"/>
      <c r="GJ791"/>
      <c r="GK791"/>
      <c r="GL791"/>
      <c r="GM791"/>
      <c r="GN791"/>
      <c r="GO791"/>
      <c r="GP791"/>
      <c r="GQ791"/>
      <c r="GR791"/>
      <c r="GS791"/>
      <c r="GT791"/>
      <c r="GU791"/>
      <c r="GV791"/>
      <c r="GW791"/>
      <c r="GX791"/>
      <c r="GY791"/>
      <c r="GZ791"/>
      <c r="HA791"/>
      <c r="HB791"/>
      <c r="HC791"/>
      <c r="HD791"/>
      <c r="HE791"/>
      <c r="HF791"/>
      <c r="HG791"/>
      <c r="HH791"/>
      <c r="HI791"/>
      <c r="HJ791"/>
      <c r="HK791"/>
      <c r="HL791"/>
      <c r="HM791"/>
      <c r="HN791"/>
      <c r="HO791"/>
      <c r="HP791"/>
      <c r="HQ791"/>
      <c r="HR791"/>
      <c r="HS791"/>
      <c r="HT791"/>
      <c r="HU791"/>
      <c r="HV791"/>
      <c r="HW791"/>
      <c r="HX791"/>
      <c r="HY791"/>
      <c r="HZ791"/>
      <c r="IA791"/>
      <c r="IB791"/>
      <c r="IC791"/>
      <c r="ID791"/>
      <c r="IE791"/>
      <c r="IF791"/>
      <c r="IG791"/>
      <c r="IH791"/>
      <c r="II791"/>
      <c r="IJ791"/>
      <c r="IK791"/>
      <c r="IL791"/>
      <c r="IM791"/>
      <c r="IN791"/>
      <c r="IO791"/>
      <c r="IP791"/>
      <c r="IQ791"/>
    </row>
    <row r="792" spans="1:251" s="607" customFormat="1" ht="12.75" customHeight="1" x14ac:dyDescent="0.2">
      <c r="A792" s="726"/>
      <c r="B792" s="970" t="s">
        <v>1127</v>
      </c>
      <c r="C792" s="874">
        <v>2550000</v>
      </c>
      <c r="D792" s="874">
        <v>2550000</v>
      </c>
      <c r="E792" s="1163">
        <v>1142667.26</v>
      </c>
      <c r="F792" s="1163"/>
      <c r="G792" s="1243">
        <f t="shared" si="288"/>
        <v>44.810480784313725</v>
      </c>
      <c r="H792" s="1248">
        <f t="shared" si="289"/>
        <v>44.810480784313725</v>
      </c>
      <c r="I792" s="1258">
        <f t="shared" si="291"/>
        <v>134.93242740661807</v>
      </c>
      <c r="J792" s="96">
        <v>846844.07</v>
      </c>
    </row>
    <row r="793" spans="1:251" s="607" customFormat="1" ht="12.75" customHeight="1" x14ac:dyDescent="0.2">
      <c r="A793" s="726"/>
      <c r="B793" s="970" t="s">
        <v>2118</v>
      </c>
      <c r="C793" s="874">
        <v>20000</v>
      </c>
      <c r="D793" s="874">
        <v>20000</v>
      </c>
      <c r="E793" s="1163">
        <v>0</v>
      </c>
      <c r="F793" s="1163"/>
      <c r="G793" s="1243">
        <f t="shared" si="288"/>
        <v>0</v>
      </c>
      <c r="H793" s="1248">
        <f t="shared" si="289"/>
        <v>0</v>
      </c>
      <c r="I793" s="1258">
        <v>0</v>
      </c>
      <c r="J793" s="96">
        <v>0</v>
      </c>
    </row>
    <row r="794" spans="1:251" s="607" customFormat="1" ht="12.75" customHeight="1" x14ac:dyDescent="0.2">
      <c r="A794" s="739">
        <v>3613</v>
      </c>
      <c r="B794" s="1021" t="s">
        <v>879</v>
      </c>
      <c r="C794" s="940">
        <f>C795+C801+C802+C803+C808+C819+C820</f>
        <v>23745000</v>
      </c>
      <c r="D794" s="940">
        <f>D795+D801+D802+D803+D808+D819+D820</f>
        <v>23745000</v>
      </c>
      <c r="E794" s="701">
        <v>6246817.96</v>
      </c>
      <c r="F794" s="707">
        <f>SUM(E795,E801:E803,E808,E819,E820)</f>
        <v>6246817.959999999</v>
      </c>
      <c r="G794" s="825">
        <f t="shared" si="288"/>
        <v>26.307929922088864</v>
      </c>
      <c r="H794" s="1244">
        <f t="shared" si="289"/>
        <v>26.307929922088864</v>
      </c>
      <c r="I794" s="1363">
        <f t="shared" si="291"/>
        <v>117.23327555205275</v>
      </c>
      <c r="J794" s="96">
        <v>5328536.57</v>
      </c>
    </row>
    <row r="795" spans="1:251" s="607" customFormat="1" ht="12.75" customHeight="1" x14ac:dyDescent="0.2">
      <c r="A795" s="877"/>
      <c r="B795" s="1105" t="s">
        <v>880</v>
      </c>
      <c r="C795" s="1086">
        <f>SUM(C796:C800)</f>
        <v>3990000</v>
      </c>
      <c r="D795" s="1086">
        <f>SUM(D796:D800)</f>
        <v>4200000</v>
      </c>
      <c r="E795" s="1367">
        <v>1039027.64</v>
      </c>
      <c r="F795" s="1163"/>
      <c r="G795" s="1364">
        <f t="shared" si="288"/>
        <v>26.040792982456139</v>
      </c>
      <c r="H795" s="1365">
        <f t="shared" si="289"/>
        <v>24.738753333333332</v>
      </c>
      <c r="I795" s="1258">
        <v>0</v>
      </c>
      <c r="J795" s="1615">
        <v>0</v>
      </c>
    </row>
    <row r="796" spans="1:251" s="607" customFormat="1" ht="12.75" customHeight="1" x14ac:dyDescent="0.2">
      <c r="A796" s="878"/>
      <c r="B796" s="970" t="s">
        <v>1662</v>
      </c>
      <c r="C796" s="874">
        <v>550000</v>
      </c>
      <c r="D796" s="874">
        <v>550000</v>
      </c>
      <c r="E796" s="1163">
        <v>0</v>
      </c>
      <c r="F796" s="1163"/>
      <c r="G796" s="1243">
        <f t="shared" si="288"/>
        <v>0</v>
      </c>
      <c r="H796" s="1248">
        <f t="shared" si="289"/>
        <v>0</v>
      </c>
      <c r="I796" s="1258">
        <v>0</v>
      </c>
      <c r="J796" s="1615">
        <v>0</v>
      </c>
    </row>
    <row r="797" spans="1:251" ht="12.75" customHeight="1" x14ac:dyDescent="0.2">
      <c r="A797" s="878"/>
      <c r="B797" s="1106" t="s">
        <v>1445</v>
      </c>
      <c r="C797" s="874">
        <v>600000</v>
      </c>
      <c r="D797" s="874">
        <v>600000</v>
      </c>
      <c r="E797" s="1163">
        <v>0</v>
      </c>
      <c r="F797" s="1163"/>
      <c r="G797" s="1243">
        <f t="shared" si="288"/>
        <v>0</v>
      </c>
      <c r="H797" s="1248">
        <f t="shared" si="289"/>
        <v>0</v>
      </c>
      <c r="I797" s="1258">
        <v>0</v>
      </c>
      <c r="J797" s="96">
        <v>0</v>
      </c>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c r="FD797"/>
      <c r="FE797"/>
      <c r="FF797"/>
      <c r="FG797"/>
      <c r="FH797"/>
      <c r="FI797"/>
      <c r="FJ797"/>
      <c r="FK797"/>
      <c r="FL797"/>
      <c r="FM797"/>
      <c r="FN797"/>
      <c r="FO797"/>
      <c r="FP797"/>
      <c r="FQ797"/>
      <c r="FR797"/>
      <c r="FS797"/>
      <c r="FT797"/>
      <c r="FU797"/>
      <c r="FV797"/>
      <c r="FW797"/>
      <c r="FX797"/>
      <c r="FY797"/>
      <c r="FZ797"/>
      <c r="GA797"/>
      <c r="GB797"/>
      <c r="GC797"/>
      <c r="GD797"/>
      <c r="GE797"/>
      <c r="GF797"/>
      <c r="GG797"/>
      <c r="GH797"/>
      <c r="GI797"/>
      <c r="GJ797"/>
      <c r="GK797"/>
      <c r="GL797"/>
      <c r="GM797"/>
      <c r="GN797"/>
      <c r="GO797"/>
      <c r="GP797"/>
      <c r="GQ797"/>
      <c r="GR797"/>
      <c r="GS797"/>
      <c r="GT797"/>
      <c r="GU797"/>
      <c r="GV797"/>
      <c r="GW797"/>
      <c r="GX797"/>
      <c r="GY797"/>
      <c r="GZ797"/>
      <c r="HA797"/>
      <c r="HB797"/>
      <c r="HC797"/>
      <c r="HD797"/>
      <c r="HE797"/>
      <c r="HF797"/>
      <c r="HG797"/>
      <c r="HH797"/>
      <c r="HI797"/>
      <c r="HJ797"/>
      <c r="HK797"/>
      <c r="HL797"/>
      <c r="HM797"/>
      <c r="HN797"/>
      <c r="HO797"/>
      <c r="HP797"/>
      <c r="HQ797"/>
      <c r="HR797"/>
      <c r="HS797"/>
      <c r="HT797"/>
      <c r="HU797"/>
      <c r="HV797"/>
      <c r="HW797"/>
      <c r="HX797"/>
      <c r="HY797"/>
      <c r="HZ797"/>
      <c r="IA797"/>
      <c r="IB797"/>
      <c r="IC797"/>
      <c r="ID797"/>
      <c r="IE797"/>
      <c r="IF797"/>
      <c r="IG797"/>
      <c r="IH797"/>
      <c r="II797"/>
      <c r="IJ797"/>
      <c r="IK797"/>
      <c r="IL797"/>
      <c r="IM797"/>
      <c r="IN797"/>
      <c r="IO797"/>
      <c r="IP797"/>
      <c r="IQ797"/>
    </row>
    <row r="798" spans="1:251" s="607" customFormat="1" ht="12.75" customHeight="1" x14ac:dyDescent="0.2">
      <c r="A798" s="878"/>
      <c r="B798" s="1106" t="s">
        <v>1078</v>
      </c>
      <c r="C798" s="874">
        <v>1100000</v>
      </c>
      <c r="D798" s="874">
        <f>1100000+210000</f>
        <v>1310000</v>
      </c>
      <c r="E798" s="1163">
        <v>1039027.64</v>
      </c>
      <c r="F798" s="1163"/>
      <c r="G798" s="1243">
        <f t="shared" si="288"/>
        <v>94.457058181818184</v>
      </c>
      <c r="H798" s="1248">
        <f t="shared" si="289"/>
        <v>79.315087022900769</v>
      </c>
      <c r="I798" s="1258">
        <v>0</v>
      </c>
      <c r="J798" s="1615">
        <v>0</v>
      </c>
    </row>
    <row r="799" spans="1:251" s="607" customFormat="1" ht="12.75" customHeight="1" x14ac:dyDescent="0.2">
      <c r="A799" s="878"/>
      <c r="B799" s="979" t="s">
        <v>1738</v>
      </c>
      <c r="C799" s="874">
        <v>840000</v>
      </c>
      <c r="D799" s="874">
        <v>840000</v>
      </c>
      <c r="E799" s="1367">
        <v>0</v>
      </c>
      <c r="F799" s="1367"/>
      <c r="G799" s="1243">
        <f t="shared" si="288"/>
        <v>0</v>
      </c>
      <c r="H799" s="1248">
        <f t="shared" si="289"/>
        <v>0</v>
      </c>
      <c r="I799" s="1258">
        <v>0</v>
      </c>
      <c r="J799" s="1615">
        <v>0</v>
      </c>
    </row>
    <row r="800" spans="1:251" s="607" customFormat="1" ht="12.75" customHeight="1" x14ac:dyDescent="0.2">
      <c r="A800" s="878"/>
      <c r="B800" s="979" t="s">
        <v>1129</v>
      </c>
      <c r="C800" s="874">
        <v>900000</v>
      </c>
      <c r="D800" s="874">
        <v>900000</v>
      </c>
      <c r="E800" s="1367">
        <v>0</v>
      </c>
      <c r="F800" s="1367"/>
      <c r="G800" s="1243">
        <f t="shared" si="288"/>
        <v>0</v>
      </c>
      <c r="H800" s="1248">
        <f t="shared" si="289"/>
        <v>0</v>
      </c>
      <c r="I800" s="1258">
        <v>0</v>
      </c>
      <c r="J800" s="1615">
        <v>0</v>
      </c>
    </row>
    <row r="801" spans="1:252" s="607" customFormat="1" ht="12.75" customHeight="1" x14ac:dyDescent="0.2">
      <c r="A801" s="878"/>
      <c r="B801" s="1085" t="s">
        <v>1079</v>
      </c>
      <c r="C801" s="1083">
        <v>30000</v>
      </c>
      <c r="D801" s="1083">
        <v>30000</v>
      </c>
      <c r="E801" s="1367">
        <v>0</v>
      </c>
      <c r="F801" s="1367"/>
      <c r="G801" s="1364">
        <f t="shared" si="288"/>
        <v>0</v>
      </c>
      <c r="H801" s="1365">
        <f t="shared" si="289"/>
        <v>0</v>
      </c>
      <c r="I801" s="1366">
        <f t="shared" si="291"/>
        <v>0</v>
      </c>
      <c r="J801" s="1615">
        <v>6354</v>
      </c>
    </row>
    <row r="802" spans="1:252" s="607" customFormat="1" ht="12.75" customHeight="1" x14ac:dyDescent="0.2">
      <c r="A802" s="878"/>
      <c r="B802" s="1085" t="s">
        <v>1080</v>
      </c>
      <c r="C802" s="1086">
        <v>80000</v>
      </c>
      <c r="D802" s="1086">
        <v>80000</v>
      </c>
      <c r="E802" s="707">
        <v>5425.13</v>
      </c>
      <c r="F802" s="707"/>
      <c r="G802" s="1364">
        <f t="shared" si="288"/>
        <v>6.7814125000000001</v>
      </c>
      <c r="H802" s="1365">
        <f t="shared" si="289"/>
        <v>6.7814125000000001</v>
      </c>
      <c r="I802" s="1366">
        <f t="shared" si="291"/>
        <v>164.64734446130501</v>
      </c>
      <c r="J802" s="1615">
        <v>3295</v>
      </c>
    </row>
    <row r="803" spans="1:252" s="607" customFormat="1" ht="12.75" customHeight="1" x14ac:dyDescent="0.2">
      <c r="A803" s="742"/>
      <c r="B803" s="1085" t="s">
        <v>1081</v>
      </c>
      <c r="C803" s="1086">
        <f t="shared" ref="C803:D803" si="292">C804+C805+C806+C807</f>
        <v>8050000</v>
      </c>
      <c r="D803" s="1086">
        <f t="shared" si="292"/>
        <v>8050000</v>
      </c>
      <c r="E803" s="740">
        <v>2130317.54</v>
      </c>
      <c r="F803" s="740">
        <f>SUM(E804:E807)</f>
        <v>2130317.54</v>
      </c>
      <c r="G803" s="1364">
        <f t="shared" si="288"/>
        <v>26.463571925465839</v>
      </c>
      <c r="H803" s="1365">
        <f t="shared" si="289"/>
        <v>26.463571925465839</v>
      </c>
      <c r="I803" s="1366">
        <f t="shared" si="291"/>
        <v>69.729810061430243</v>
      </c>
      <c r="J803" s="96">
        <v>3055103.03</v>
      </c>
    </row>
    <row r="804" spans="1:252" ht="12.75" customHeight="1" x14ac:dyDescent="0.2">
      <c r="A804" s="742"/>
      <c r="B804" s="979" t="s">
        <v>1124</v>
      </c>
      <c r="C804" s="874">
        <v>1200000</v>
      </c>
      <c r="D804" s="874">
        <v>1200000</v>
      </c>
      <c r="E804" s="707">
        <v>457543.92</v>
      </c>
      <c r="F804" s="707"/>
      <c r="G804" s="1243">
        <f t="shared" si="288"/>
        <v>38.128659999999996</v>
      </c>
      <c r="H804" s="1248">
        <f t="shared" si="289"/>
        <v>38.128659999999996</v>
      </c>
      <c r="I804" s="1258">
        <f t="shared" si="291"/>
        <v>167.86568248240084</v>
      </c>
      <c r="J804" s="96">
        <v>272565.49</v>
      </c>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c r="FC804"/>
      <c r="FD804"/>
      <c r="FE804"/>
      <c r="FF804"/>
      <c r="FG804"/>
      <c r="FH804"/>
      <c r="FI804"/>
      <c r="FJ804"/>
      <c r="FK804"/>
      <c r="FL804"/>
      <c r="FM804"/>
      <c r="FN804"/>
      <c r="FO804"/>
      <c r="FP804"/>
      <c r="FQ804"/>
      <c r="FR804"/>
      <c r="FS804"/>
      <c r="FT804"/>
      <c r="FU804"/>
      <c r="FV804"/>
      <c r="FW804"/>
      <c r="FX804"/>
      <c r="FY804"/>
      <c r="FZ804"/>
      <c r="GA804"/>
      <c r="GB804"/>
      <c r="GC804"/>
      <c r="GD804"/>
      <c r="GE804"/>
      <c r="GF804"/>
      <c r="GG804"/>
      <c r="GH804"/>
      <c r="GI804"/>
      <c r="GJ804"/>
      <c r="GK804"/>
      <c r="GL804"/>
      <c r="GM804"/>
      <c r="GN804"/>
      <c r="GO804"/>
      <c r="GP804"/>
      <c r="GQ804"/>
      <c r="GR804"/>
      <c r="GS804"/>
      <c r="GT804"/>
      <c r="GU804"/>
      <c r="GV804"/>
      <c r="GW804"/>
      <c r="GX804"/>
      <c r="GY804"/>
      <c r="GZ804"/>
      <c r="HA804"/>
      <c r="HB804"/>
      <c r="HC804"/>
      <c r="HD804"/>
      <c r="HE804"/>
      <c r="HF804"/>
      <c r="HG804"/>
      <c r="HH804"/>
      <c r="HI804"/>
      <c r="HJ804"/>
      <c r="HK804"/>
      <c r="HL804"/>
      <c r="HM804"/>
      <c r="HN804"/>
      <c r="HO804"/>
      <c r="HP804"/>
      <c r="HQ804"/>
      <c r="HR804"/>
      <c r="HS804"/>
      <c r="HT804"/>
      <c r="HU804"/>
      <c r="HV804"/>
      <c r="HW804"/>
      <c r="HX804"/>
      <c r="HY804"/>
      <c r="HZ804"/>
      <c r="IA804"/>
      <c r="IB804"/>
      <c r="IC804"/>
      <c r="ID804"/>
      <c r="IE804"/>
      <c r="IF804"/>
      <c r="IG804"/>
      <c r="IH804"/>
      <c r="II804"/>
      <c r="IJ804"/>
      <c r="IK804"/>
      <c r="IL804"/>
      <c r="IM804"/>
      <c r="IN804"/>
      <c r="IO804"/>
      <c r="IP804"/>
      <c r="IQ804"/>
    </row>
    <row r="805" spans="1:252" ht="12.75" customHeight="1" x14ac:dyDescent="0.2">
      <c r="A805" s="742"/>
      <c r="B805" s="979" t="s">
        <v>897</v>
      </c>
      <c r="C805" s="874">
        <v>2000000</v>
      </c>
      <c r="D805" s="874">
        <v>2000000</v>
      </c>
      <c r="E805" s="707">
        <v>39607.300000000003</v>
      </c>
      <c r="F805" s="707"/>
      <c r="G805" s="1243">
        <f t="shared" si="288"/>
        <v>1.9803650000000002</v>
      </c>
      <c r="H805" s="1248">
        <f t="shared" si="289"/>
        <v>1.9803650000000002</v>
      </c>
      <c r="I805" s="1258">
        <f t="shared" si="291"/>
        <v>5.4241971620407847</v>
      </c>
      <c r="J805" s="96">
        <v>730196.54</v>
      </c>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c r="FC805"/>
      <c r="FD805"/>
      <c r="FE805"/>
      <c r="FF805"/>
      <c r="FG805"/>
      <c r="FH805"/>
      <c r="FI805"/>
      <c r="FJ805"/>
      <c r="FK805"/>
      <c r="FL805"/>
      <c r="FM805"/>
      <c r="FN805"/>
      <c r="FO805"/>
      <c r="FP805"/>
      <c r="FQ805"/>
      <c r="FR805"/>
      <c r="FS805"/>
      <c r="FT805"/>
      <c r="FU805"/>
      <c r="FV805"/>
      <c r="FW805"/>
      <c r="FX805"/>
      <c r="FY805"/>
      <c r="FZ805"/>
      <c r="GA805"/>
      <c r="GB805"/>
      <c r="GC805"/>
      <c r="GD805"/>
      <c r="GE805"/>
      <c r="GF805"/>
      <c r="GG805"/>
      <c r="GH805"/>
      <c r="GI805"/>
      <c r="GJ805"/>
      <c r="GK805"/>
      <c r="GL805"/>
      <c r="GM805"/>
      <c r="GN805"/>
      <c r="GO805"/>
      <c r="GP805"/>
      <c r="GQ805"/>
      <c r="GR805"/>
      <c r="GS805"/>
      <c r="GT805"/>
      <c r="GU805"/>
      <c r="GV805"/>
      <c r="GW805"/>
      <c r="GX805"/>
      <c r="GY805"/>
      <c r="GZ805"/>
      <c r="HA805"/>
      <c r="HB805"/>
      <c r="HC805"/>
      <c r="HD805"/>
      <c r="HE805"/>
      <c r="HF805"/>
      <c r="HG805"/>
      <c r="HH805"/>
      <c r="HI805"/>
      <c r="HJ805"/>
      <c r="HK805"/>
      <c r="HL805"/>
      <c r="HM805"/>
      <c r="HN805"/>
      <c r="HO805"/>
      <c r="HP805"/>
      <c r="HQ805"/>
      <c r="HR805"/>
      <c r="HS805"/>
      <c r="HT805"/>
      <c r="HU805"/>
      <c r="HV805"/>
      <c r="HW805"/>
      <c r="HX805"/>
      <c r="HY805"/>
      <c r="HZ805"/>
      <c r="IA805"/>
      <c r="IB805"/>
      <c r="IC805"/>
      <c r="ID805"/>
      <c r="IE805"/>
      <c r="IF805"/>
      <c r="IG805"/>
      <c r="IH805"/>
      <c r="II805"/>
      <c r="IJ805"/>
      <c r="IK805"/>
      <c r="IL805"/>
      <c r="IM805"/>
      <c r="IN805"/>
      <c r="IO805"/>
      <c r="IP805"/>
      <c r="IQ805"/>
    </row>
    <row r="806" spans="1:252" ht="12.75" customHeight="1" x14ac:dyDescent="0.2">
      <c r="A806" s="739"/>
      <c r="B806" s="1104" t="s">
        <v>898</v>
      </c>
      <c r="C806" s="983">
        <v>2000000</v>
      </c>
      <c r="D806" s="983">
        <v>2000000</v>
      </c>
      <c r="E806" s="707">
        <v>1140277.8899999999</v>
      </c>
      <c r="F806" s="707"/>
      <c r="G806" s="1243">
        <f t="shared" si="288"/>
        <v>57.013894499999992</v>
      </c>
      <c r="H806" s="1248">
        <f t="shared" si="289"/>
        <v>57.013894499999992</v>
      </c>
      <c r="I806" s="1258">
        <f t="shared" si="291"/>
        <v>139.20605158495442</v>
      </c>
      <c r="J806" s="96">
        <v>819129.54</v>
      </c>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c r="FC806"/>
      <c r="FD806"/>
      <c r="FE806"/>
      <c r="FF806"/>
      <c r="FG806"/>
      <c r="FH806"/>
      <c r="FI806"/>
      <c r="FJ806"/>
      <c r="FK806"/>
      <c r="FL806"/>
      <c r="FM806"/>
      <c r="FN806"/>
      <c r="FO806"/>
      <c r="FP806"/>
      <c r="FQ806"/>
      <c r="FR806"/>
      <c r="FS806"/>
      <c r="FT806"/>
      <c r="FU806"/>
      <c r="FV806"/>
      <c r="FW806"/>
      <c r="FX806"/>
      <c r="FY806"/>
      <c r="FZ806"/>
      <c r="GA806"/>
      <c r="GB806"/>
      <c r="GC806"/>
      <c r="GD806"/>
      <c r="GE806"/>
      <c r="GF806"/>
      <c r="GG806"/>
      <c r="GH806"/>
      <c r="GI806"/>
      <c r="GJ806"/>
      <c r="GK806"/>
      <c r="GL806"/>
      <c r="GM806"/>
      <c r="GN806"/>
      <c r="GO806"/>
      <c r="GP806"/>
      <c r="GQ806"/>
      <c r="GR806"/>
      <c r="GS806"/>
      <c r="GT806"/>
      <c r="GU806"/>
      <c r="GV806"/>
      <c r="GW806"/>
      <c r="GX806"/>
      <c r="GY806"/>
      <c r="GZ806"/>
      <c r="HA806"/>
      <c r="HB806"/>
      <c r="HC806"/>
      <c r="HD806"/>
      <c r="HE806"/>
      <c r="HF806"/>
      <c r="HG806"/>
      <c r="HH806"/>
      <c r="HI806"/>
      <c r="HJ806"/>
      <c r="HK806"/>
      <c r="HL806"/>
      <c r="HM806"/>
      <c r="HN806"/>
      <c r="HO806"/>
      <c r="HP806"/>
      <c r="HQ806"/>
      <c r="HR806"/>
      <c r="HS806"/>
      <c r="HT806"/>
      <c r="HU806"/>
      <c r="HV806"/>
      <c r="HW806"/>
      <c r="HX806"/>
      <c r="HY806"/>
      <c r="HZ806"/>
      <c r="IA806"/>
      <c r="IB806"/>
      <c r="IC806"/>
      <c r="ID806"/>
      <c r="IE806"/>
      <c r="IF806"/>
      <c r="IG806"/>
      <c r="IH806"/>
      <c r="II806"/>
      <c r="IJ806"/>
      <c r="IK806"/>
      <c r="IL806"/>
      <c r="IM806"/>
      <c r="IN806"/>
      <c r="IO806"/>
      <c r="IP806"/>
      <c r="IQ806"/>
    </row>
    <row r="807" spans="1:252" s="426" customFormat="1" ht="12.75" customHeight="1" x14ac:dyDescent="0.2">
      <c r="A807" s="739"/>
      <c r="B807" s="1104" t="s">
        <v>1446</v>
      </c>
      <c r="C807" s="983">
        <v>2850000</v>
      </c>
      <c r="D807" s="983">
        <v>2850000</v>
      </c>
      <c r="E807" s="707">
        <v>492888.43</v>
      </c>
      <c r="F807" s="707"/>
      <c r="G807" s="1243">
        <f t="shared" si="288"/>
        <v>17.29433087719298</v>
      </c>
      <c r="H807" s="1248">
        <f t="shared" si="289"/>
        <v>17.29433087719298</v>
      </c>
      <c r="I807" s="1258">
        <f t="shared" si="291"/>
        <v>39.96787623105611</v>
      </c>
      <c r="J807" s="96">
        <v>1233211.46</v>
      </c>
      <c r="IR807" s="116"/>
    </row>
    <row r="808" spans="1:252" s="607" customFormat="1" ht="12.75" customHeight="1" x14ac:dyDescent="0.2">
      <c r="A808" s="739"/>
      <c r="B808" s="1105" t="s">
        <v>900</v>
      </c>
      <c r="C808" s="1083">
        <f>SUM(C809:C818)</f>
        <v>4905000</v>
      </c>
      <c r="D808" s="1083">
        <f>SUM(D809:D818)</f>
        <v>4905000</v>
      </c>
      <c r="E808" s="740">
        <v>1652946.04</v>
      </c>
      <c r="F808" s="740">
        <f>SUM(E809:E818)</f>
        <v>1652946.04</v>
      </c>
      <c r="G808" s="1364">
        <f t="shared" si="288"/>
        <v>33.699205708460752</v>
      </c>
      <c r="H808" s="1365">
        <f t="shared" si="289"/>
        <v>33.699205708460752</v>
      </c>
      <c r="I808" s="1366">
        <f t="shared" si="291"/>
        <v>98.882830417863659</v>
      </c>
      <c r="J808" s="1615">
        <v>1671620.88</v>
      </c>
      <c r="IR808" s="698"/>
    </row>
    <row r="809" spans="1:252" ht="12.75" customHeight="1" x14ac:dyDescent="0.2">
      <c r="A809" s="739"/>
      <c r="B809" s="1104" t="s">
        <v>1447</v>
      </c>
      <c r="C809" s="983">
        <v>700000</v>
      </c>
      <c r="D809" s="983">
        <v>700000</v>
      </c>
      <c r="E809" s="707">
        <v>0</v>
      </c>
      <c r="F809" s="707"/>
      <c r="G809" s="1243">
        <f t="shared" si="288"/>
        <v>0</v>
      </c>
      <c r="H809" s="1248">
        <f t="shared" si="289"/>
        <v>0</v>
      </c>
      <c r="I809" s="1258">
        <v>0</v>
      </c>
      <c r="J809" s="96">
        <v>0</v>
      </c>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c r="EF809"/>
      <c r="EG809"/>
      <c r="EH809"/>
      <c r="EI809"/>
      <c r="EJ809"/>
      <c r="EK809"/>
      <c r="EL809"/>
      <c r="EM809"/>
      <c r="EN809"/>
      <c r="EO809"/>
      <c r="EP809"/>
      <c r="EQ809"/>
      <c r="ER809"/>
      <c r="ES809"/>
      <c r="ET809"/>
      <c r="EU809"/>
      <c r="EV809"/>
      <c r="EW809"/>
      <c r="EX809"/>
      <c r="EY809"/>
      <c r="EZ809"/>
      <c r="FA809"/>
      <c r="FB809"/>
      <c r="FC809"/>
      <c r="FD809"/>
      <c r="FE809"/>
      <c r="FF809"/>
      <c r="FG809"/>
      <c r="FH809"/>
      <c r="FI809"/>
      <c r="FJ809"/>
      <c r="FK809"/>
      <c r="FL809"/>
      <c r="FM809"/>
      <c r="FN809"/>
      <c r="FO809"/>
      <c r="FP809"/>
      <c r="FQ809"/>
      <c r="FR809"/>
      <c r="FS809"/>
      <c r="FT809"/>
      <c r="FU809"/>
      <c r="FV809"/>
      <c r="FW809"/>
      <c r="FX809"/>
      <c r="FY809"/>
      <c r="FZ809"/>
      <c r="GA809"/>
      <c r="GB809"/>
      <c r="GC809"/>
      <c r="GD809"/>
      <c r="GE809"/>
      <c r="GF809"/>
      <c r="GG809"/>
      <c r="GH809"/>
      <c r="GI809"/>
      <c r="GJ809"/>
      <c r="GK809"/>
      <c r="GL809"/>
      <c r="GM809"/>
      <c r="GN809"/>
      <c r="GO809"/>
      <c r="GP809"/>
      <c r="GQ809"/>
      <c r="GR809"/>
      <c r="GS809"/>
      <c r="GT809"/>
      <c r="GU809"/>
      <c r="GV809"/>
      <c r="GW809"/>
      <c r="GX809"/>
      <c r="GY809"/>
      <c r="GZ809"/>
      <c r="HA809"/>
      <c r="HB809"/>
      <c r="HC809"/>
      <c r="HD809"/>
      <c r="HE809"/>
      <c r="HF809"/>
      <c r="HG809"/>
      <c r="HH809"/>
      <c r="HI809"/>
      <c r="HJ809"/>
      <c r="HK809"/>
      <c r="HL809"/>
      <c r="HM809"/>
      <c r="HN809"/>
      <c r="HO809"/>
      <c r="HP809"/>
      <c r="HQ809"/>
      <c r="HR809"/>
      <c r="HS809"/>
      <c r="HT809"/>
      <c r="HU809"/>
      <c r="HV809"/>
      <c r="HW809"/>
      <c r="HX809"/>
      <c r="HY809"/>
      <c r="HZ809"/>
      <c r="IA809"/>
      <c r="IB809"/>
      <c r="IC809"/>
      <c r="ID809"/>
      <c r="IE809"/>
      <c r="IF809"/>
      <c r="IG809"/>
      <c r="IH809"/>
      <c r="II809"/>
      <c r="IJ809"/>
      <c r="IK809"/>
      <c r="IL809"/>
      <c r="IM809"/>
      <c r="IN809"/>
      <c r="IO809"/>
      <c r="IP809"/>
      <c r="IQ809"/>
    </row>
    <row r="810" spans="1:252" ht="12.75" customHeight="1" x14ac:dyDescent="0.2">
      <c r="A810" s="739"/>
      <c r="B810" s="1057" t="s">
        <v>1448</v>
      </c>
      <c r="C810" s="983">
        <v>1000000</v>
      </c>
      <c r="D810" s="983">
        <v>1000000</v>
      </c>
      <c r="E810" s="707">
        <v>368165.04</v>
      </c>
      <c r="F810" s="707"/>
      <c r="G810" s="1243">
        <f t="shared" si="288"/>
        <v>36.816504000000002</v>
      </c>
      <c r="H810" s="1248">
        <f t="shared" si="289"/>
        <v>36.816504000000002</v>
      </c>
      <c r="I810" s="1258">
        <f t="shared" si="291"/>
        <v>97.364055553028507</v>
      </c>
      <c r="J810" s="96">
        <v>378132.4</v>
      </c>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c r="EF810"/>
      <c r="EG810"/>
      <c r="EH810"/>
      <c r="EI810"/>
      <c r="EJ810"/>
      <c r="EK810"/>
      <c r="EL810"/>
      <c r="EM810"/>
      <c r="EN810"/>
      <c r="EO810"/>
      <c r="EP810"/>
      <c r="EQ810"/>
      <c r="ER810"/>
      <c r="ES810"/>
      <c r="ET810"/>
      <c r="EU810"/>
      <c r="EV810"/>
      <c r="EW810"/>
      <c r="EX810"/>
      <c r="EY810"/>
      <c r="EZ810"/>
      <c r="FA810"/>
      <c r="FB810"/>
      <c r="FC810"/>
      <c r="FD810"/>
      <c r="FE810"/>
      <c r="FF810"/>
      <c r="FG810"/>
      <c r="FH810"/>
      <c r="FI810"/>
      <c r="FJ810"/>
      <c r="FK810"/>
      <c r="FL810"/>
      <c r="FM810"/>
      <c r="FN810"/>
      <c r="FO810"/>
      <c r="FP810"/>
      <c r="FQ810"/>
      <c r="FR810"/>
      <c r="FS810"/>
      <c r="FT810"/>
      <c r="FU810"/>
      <c r="FV810"/>
      <c r="FW810"/>
      <c r="FX810"/>
      <c r="FY810"/>
      <c r="FZ810"/>
      <c r="GA810"/>
      <c r="GB810"/>
      <c r="GC810"/>
      <c r="GD810"/>
      <c r="GE810"/>
      <c r="GF810"/>
      <c r="GG810"/>
      <c r="GH810"/>
      <c r="GI810"/>
      <c r="GJ810"/>
      <c r="GK810"/>
      <c r="GL810"/>
      <c r="GM810"/>
      <c r="GN810"/>
      <c r="GO810"/>
      <c r="GP810"/>
      <c r="GQ810"/>
      <c r="GR810"/>
      <c r="GS810"/>
      <c r="GT810"/>
      <c r="GU810"/>
      <c r="GV810"/>
      <c r="GW810"/>
      <c r="GX810"/>
      <c r="GY810"/>
      <c r="GZ810"/>
      <c r="HA810"/>
      <c r="HB810"/>
      <c r="HC810"/>
      <c r="HD810"/>
      <c r="HE810"/>
      <c r="HF810"/>
      <c r="HG810"/>
      <c r="HH810"/>
      <c r="HI810"/>
      <c r="HJ810"/>
      <c r="HK810"/>
      <c r="HL810"/>
      <c r="HM810"/>
      <c r="HN810"/>
      <c r="HO810"/>
      <c r="HP810"/>
      <c r="HQ810"/>
      <c r="HR810"/>
      <c r="HS810"/>
      <c r="HT810"/>
      <c r="HU810"/>
      <c r="HV810"/>
      <c r="HW810"/>
      <c r="HX810"/>
      <c r="HY810"/>
      <c r="HZ810"/>
      <c r="IA810"/>
      <c r="IB810"/>
      <c r="IC810"/>
      <c r="ID810"/>
      <c r="IE810"/>
      <c r="IF810"/>
      <c r="IG810"/>
      <c r="IH810"/>
      <c r="II810"/>
      <c r="IJ810"/>
      <c r="IK810"/>
      <c r="IL810"/>
      <c r="IM810"/>
      <c r="IN810"/>
      <c r="IO810"/>
      <c r="IP810"/>
      <c r="IQ810"/>
    </row>
    <row r="811" spans="1:252" ht="12.75" customHeight="1" x14ac:dyDescent="0.2">
      <c r="A811" s="739"/>
      <c r="B811" s="1057" t="s">
        <v>1130</v>
      </c>
      <c r="C811" s="983">
        <v>50000</v>
      </c>
      <c r="D811" s="983">
        <v>50000</v>
      </c>
      <c r="E811" s="707">
        <v>0</v>
      </c>
      <c r="F811" s="707"/>
      <c r="G811" s="1243">
        <f t="shared" si="288"/>
        <v>0</v>
      </c>
      <c r="H811" s="1248">
        <f t="shared" si="289"/>
        <v>0</v>
      </c>
      <c r="I811" s="1258">
        <f t="shared" si="291"/>
        <v>0</v>
      </c>
      <c r="J811" s="96">
        <v>23319.48</v>
      </c>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c r="EY811"/>
      <c r="EZ811"/>
      <c r="FA811"/>
      <c r="FB811"/>
      <c r="FC811"/>
      <c r="FD811"/>
      <c r="FE811"/>
      <c r="FF811"/>
      <c r="FG811"/>
      <c r="FH811"/>
      <c r="FI811"/>
      <c r="FJ811"/>
      <c r="FK811"/>
      <c r="FL811"/>
      <c r="FM811"/>
      <c r="FN811"/>
      <c r="FO811"/>
      <c r="FP811"/>
      <c r="FQ811"/>
      <c r="FR811"/>
      <c r="FS811"/>
      <c r="FT811"/>
      <c r="FU811"/>
      <c r="FV811"/>
      <c r="FW811"/>
      <c r="FX811"/>
      <c r="FY811"/>
      <c r="FZ811"/>
      <c r="GA811"/>
      <c r="GB811"/>
      <c r="GC811"/>
      <c r="GD811"/>
      <c r="GE811"/>
      <c r="GF811"/>
      <c r="GG811"/>
      <c r="GH811"/>
      <c r="GI811"/>
      <c r="GJ811"/>
      <c r="GK811"/>
      <c r="GL811"/>
      <c r="GM811"/>
      <c r="GN811"/>
      <c r="GO811"/>
      <c r="GP811"/>
      <c r="GQ811"/>
      <c r="GR811"/>
      <c r="GS811"/>
      <c r="GT811"/>
      <c r="GU811"/>
      <c r="GV811"/>
      <c r="GW811"/>
      <c r="GX811"/>
      <c r="GY811"/>
      <c r="GZ811"/>
      <c r="HA811"/>
      <c r="HB811"/>
      <c r="HC811"/>
      <c r="HD811"/>
      <c r="HE811"/>
      <c r="HF811"/>
      <c r="HG811"/>
      <c r="HH811"/>
      <c r="HI811"/>
      <c r="HJ811"/>
      <c r="HK811"/>
      <c r="HL811"/>
      <c r="HM811"/>
      <c r="HN811"/>
      <c r="HO811"/>
      <c r="HP811"/>
      <c r="HQ811"/>
      <c r="HR811"/>
      <c r="HS811"/>
      <c r="HT811"/>
      <c r="HU811"/>
      <c r="HV811"/>
      <c r="HW811"/>
      <c r="HX811"/>
      <c r="HY811"/>
      <c r="HZ811"/>
      <c r="IA811"/>
      <c r="IB811"/>
      <c r="IC811"/>
      <c r="ID811"/>
      <c r="IE811"/>
      <c r="IF811"/>
      <c r="IG811"/>
      <c r="IH811"/>
      <c r="II811"/>
      <c r="IJ811"/>
      <c r="IK811"/>
      <c r="IL811"/>
      <c r="IM811"/>
      <c r="IN811"/>
      <c r="IO811"/>
      <c r="IP811"/>
      <c r="IQ811"/>
    </row>
    <row r="812" spans="1:252" s="129" customFormat="1" ht="12.75" customHeight="1" x14ac:dyDescent="0.2">
      <c r="A812" s="739"/>
      <c r="B812" s="979" t="s">
        <v>906</v>
      </c>
      <c r="C812" s="983">
        <v>100000</v>
      </c>
      <c r="D812" s="983">
        <v>100000</v>
      </c>
      <c r="E812" s="707">
        <v>0</v>
      </c>
      <c r="F812" s="707"/>
      <c r="G812" s="1243">
        <f t="shared" si="288"/>
        <v>0</v>
      </c>
      <c r="H812" s="1248">
        <f t="shared" si="289"/>
        <v>0</v>
      </c>
      <c r="I812" s="1258">
        <v>0</v>
      </c>
      <c r="J812" s="92">
        <v>0</v>
      </c>
    </row>
    <row r="813" spans="1:252" ht="12.75" customHeight="1" x14ac:dyDescent="0.2">
      <c r="A813" s="739"/>
      <c r="B813" s="1104" t="s">
        <v>1449</v>
      </c>
      <c r="C813" s="983">
        <v>200000</v>
      </c>
      <c r="D813" s="983">
        <v>200000</v>
      </c>
      <c r="E813" s="707">
        <v>35780</v>
      </c>
      <c r="F813" s="707"/>
      <c r="G813" s="1243">
        <f t="shared" si="288"/>
        <v>17.89</v>
      </c>
      <c r="H813" s="1248">
        <f t="shared" si="289"/>
        <v>17.89</v>
      </c>
      <c r="I813" s="1258">
        <f t="shared" si="291"/>
        <v>93.994640886880674</v>
      </c>
      <c r="J813" s="96">
        <v>38066</v>
      </c>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c r="EF813"/>
      <c r="EG813"/>
      <c r="EH813"/>
      <c r="EI813"/>
      <c r="EJ813"/>
      <c r="EK813"/>
      <c r="EL813"/>
      <c r="EM813"/>
      <c r="EN813"/>
      <c r="EO813"/>
      <c r="EP813"/>
      <c r="EQ813"/>
      <c r="ER813"/>
      <c r="ES813"/>
      <c r="ET813"/>
      <c r="EU813"/>
      <c r="EV813"/>
      <c r="EW813"/>
      <c r="EX813"/>
      <c r="EY813"/>
      <c r="EZ813"/>
      <c r="FA813"/>
      <c r="FB813"/>
      <c r="FC813"/>
      <c r="FD813"/>
      <c r="FE813"/>
      <c r="FF813"/>
      <c r="FG813"/>
      <c r="FH813"/>
      <c r="FI813"/>
      <c r="FJ813"/>
      <c r="FK813"/>
      <c r="FL813"/>
      <c r="FM813"/>
      <c r="FN813"/>
      <c r="FO813"/>
      <c r="FP813"/>
      <c r="FQ813"/>
      <c r="FR813"/>
      <c r="FS813"/>
      <c r="FT813"/>
      <c r="FU813"/>
      <c r="FV813"/>
      <c r="FW813"/>
      <c r="FX813"/>
      <c r="FY813"/>
      <c r="FZ813"/>
      <c r="GA813"/>
      <c r="GB813"/>
      <c r="GC813"/>
      <c r="GD813"/>
      <c r="GE813"/>
      <c r="GF813"/>
      <c r="GG813"/>
      <c r="GH813"/>
      <c r="GI813"/>
      <c r="GJ813"/>
      <c r="GK813"/>
      <c r="GL813"/>
      <c r="GM813"/>
      <c r="GN813"/>
      <c r="GO813"/>
      <c r="GP813"/>
      <c r="GQ813"/>
      <c r="GR813"/>
      <c r="GS813"/>
      <c r="GT813"/>
      <c r="GU813"/>
      <c r="GV813"/>
      <c r="GW813"/>
      <c r="GX813"/>
      <c r="GY813"/>
      <c r="GZ813"/>
      <c r="HA813"/>
      <c r="HB813"/>
      <c r="HC813"/>
      <c r="HD813"/>
      <c r="HE813"/>
      <c r="HF813"/>
      <c r="HG813"/>
      <c r="HH813"/>
      <c r="HI813"/>
      <c r="HJ813"/>
      <c r="HK813"/>
      <c r="HL813"/>
      <c r="HM813"/>
      <c r="HN813"/>
      <c r="HO813"/>
      <c r="HP813"/>
      <c r="HQ813"/>
      <c r="HR813"/>
      <c r="HS813"/>
      <c r="HT813"/>
      <c r="HU813"/>
      <c r="HV813"/>
      <c r="HW813"/>
      <c r="HX813"/>
      <c r="HY813"/>
      <c r="HZ813"/>
      <c r="IA813"/>
      <c r="IB813"/>
      <c r="IC813"/>
      <c r="ID813"/>
      <c r="IE813"/>
      <c r="IF813"/>
      <c r="IG813"/>
      <c r="IH813"/>
      <c r="II813"/>
      <c r="IJ813"/>
      <c r="IK813"/>
      <c r="IL813"/>
      <c r="IM813"/>
      <c r="IN813"/>
      <c r="IO813"/>
      <c r="IP813"/>
      <c r="IQ813"/>
    </row>
    <row r="814" spans="1:252" ht="12.75" customHeight="1" x14ac:dyDescent="0.2">
      <c r="A814" s="739"/>
      <c r="B814" s="1107" t="s">
        <v>1450</v>
      </c>
      <c r="C814" s="983">
        <v>350000</v>
      </c>
      <c r="D814" s="983">
        <v>350000</v>
      </c>
      <c r="E814" s="707">
        <v>129321</v>
      </c>
      <c r="F814" s="707"/>
      <c r="G814" s="1243">
        <f t="shared" si="288"/>
        <v>36.948857142857143</v>
      </c>
      <c r="H814" s="1248">
        <f t="shared" si="289"/>
        <v>36.948857142857143</v>
      </c>
      <c r="I814" s="1258">
        <f t="shared" si="291"/>
        <v>3918.818181818182</v>
      </c>
      <c r="J814" s="96">
        <v>3300</v>
      </c>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c r="EW814"/>
      <c r="EX814"/>
      <c r="EY814"/>
      <c r="EZ814"/>
      <c r="FA814"/>
      <c r="FB814"/>
      <c r="FC814"/>
      <c r="FD814"/>
      <c r="FE814"/>
      <c r="FF814"/>
      <c r="FG814"/>
      <c r="FH814"/>
      <c r="FI814"/>
      <c r="FJ814"/>
      <c r="FK814"/>
      <c r="FL814"/>
      <c r="FM814"/>
      <c r="FN814"/>
      <c r="FO814"/>
      <c r="FP814"/>
      <c r="FQ814"/>
      <c r="FR814"/>
      <c r="FS814"/>
      <c r="FT814"/>
      <c r="FU814"/>
      <c r="FV814"/>
      <c r="FW814"/>
      <c r="FX814"/>
      <c r="FY814"/>
      <c r="FZ814"/>
      <c r="GA814"/>
      <c r="GB814"/>
      <c r="GC814"/>
      <c r="GD814"/>
      <c r="GE814"/>
      <c r="GF814"/>
      <c r="GG814"/>
      <c r="GH814"/>
      <c r="GI814"/>
      <c r="GJ814"/>
      <c r="GK814"/>
      <c r="GL814"/>
      <c r="GM814"/>
      <c r="GN814"/>
      <c r="GO814"/>
      <c r="GP814"/>
      <c r="GQ814"/>
      <c r="GR814"/>
      <c r="GS814"/>
      <c r="GT814"/>
      <c r="GU814"/>
      <c r="GV814"/>
      <c r="GW814"/>
      <c r="GX814"/>
      <c r="GY814"/>
      <c r="GZ814"/>
      <c r="HA814"/>
      <c r="HB814"/>
      <c r="HC814"/>
      <c r="HD814"/>
      <c r="HE814"/>
      <c r="HF814"/>
      <c r="HG814"/>
      <c r="HH814"/>
      <c r="HI814"/>
      <c r="HJ814"/>
      <c r="HK814"/>
      <c r="HL814"/>
      <c r="HM814"/>
      <c r="HN814"/>
      <c r="HO814"/>
      <c r="HP814"/>
      <c r="HQ814"/>
      <c r="HR814"/>
      <c r="HS814"/>
      <c r="HT814"/>
      <c r="HU814"/>
      <c r="HV814"/>
      <c r="HW814"/>
      <c r="HX814"/>
      <c r="HY814"/>
      <c r="HZ814"/>
      <c r="IA814"/>
      <c r="IB814"/>
      <c r="IC814"/>
      <c r="ID814"/>
      <c r="IE814"/>
      <c r="IF814"/>
      <c r="IG814"/>
      <c r="IH814"/>
      <c r="II814"/>
      <c r="IJ814"/>
      <c r="IK814"/>
      <c r="IL814"/>
      <c r="IM814"/>
      <c r="IN814"/>
      <c r="IO814"/>
      <c r="IP814"/>
      <c r="IQ814"/>
    </row>
    <row r="815" spans="1:252" ht="12.75" customHeight="1" x14ac:dyDescent="0.2">
      <c r="A815" s="739"/>
      <c r="B815" s="1057" t="s">
        <v>1451</v>
      </c>
      <c r="C815" s="983">
        <v>2200000</v>
      </c>
      <c r="D815" s="983">
        <v>2200000</v>
      </c>
      <c r="E815" s="740">
        <v>1110000</v>
      </c>
      <c r="F815" s="740"/>
      <c r="G815" s="1243">
        <f t="shared" si="288"/>
        <v>50.454545454545453</v>
      </c>
      <c r="H815" s="1248">
        <f t="shared" si="289"/>
        <v>50.454545454545453</v>
      </c>
      <c r="I815" s="1258">
        <f t="shared" si="291"/>
        <v>102.02205882352942</v>
      </c>
      <c r="J815" s="96">
        <v>1088000</v>
      </c>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c r="EW815"/>
      <c r="EX815"/>
      <c r="EY815"/>
      <c r="EZ815"/>
      <c r="FA815"/>
      <c r="FB815"/>
      <c r="FC815"/>
      <c r="FD815"/>
      <c r="FE815"/>
      <c r="FF815"/>
      <c r="FG815"/>
      <c r="FH815"/>
      <c r="FI815"/>
      <c r="FJ815"/>
      <c r="FK815"/>
      <c r="FL815"/>
      <c r="FM815"/>
      <c r="FN815"/>
      <c r="FO815"/>
      <c r="FP815"/>
      <c r="FQ815"/>
      <c r="FR815"/>
      <c r="FS815"/>
      <c r="FT815"/>
      <c r="FU815"/>
      <c r="FV815"/>
      <c r="FW815"/>
      <c r="FX815"/>
      <c r="FY815"/>
      <c r="FZ815"/>
      <c r="GA815"/>
      <c r="GB815"/>
      <c r="GC815"/>
      <c r="GD815"/>
      <c r="GE815"/>
      <c r="GF815"/>
      <c r="GG815"/>
      <c r="GH815"/>
      <c r="GI815"/>
      <c r="GJ815"/>
      <c r="GK815"/>
      <c r="GL815"/>
      <c r="GM815"/>
      <c r="GN815"/>
      <c r="GO815"/>
      <c r="GP815"/>
      <c r="GQ815"/>
      <c r="GR815"/>
      <c r="GS815"/>
      <c r="GT815"/>
      <c r="GU815"/>
      <c r="GV815"/>
      <c r="GW815"/>
      <c r="GX815"/>
      <c r="GY815"/>
      <c r="GZ815"/>
      <c r="HA815"/>
      <c r="HB815"/>
      <c r="HC815"/>
      <c r="HD815"/>
      <c r="HE815"/>
      <c r="HF815"/>
      <c r="HG815"/>
      <c r="HH815"/>
      <c r="HI815"/>
      <c r="HJ815"/>
      <c r="HK815"/>
      <c r="HL815"/>
      <c r="HM815"/>
      <c r="HN815"/>
      <c r="HO815"/>
      <c r="HP815"/>
      <c r="HQ815"/>
      <c r="HR815"/>
      <c r="HS815"/>
      <c r="HT815"/>
      <c r="HU815"/>
      <c r="HV815"/>
      <c r="HW815"/>
      <c r="HX815"/>
      <c r="HY815"/>
      <c r="HZ815"/>
      <c r="IA815"/>
      <c r="IB815"/>
      <c r="IC815"/>
      <c r="ID815"/>
      <c r="IE815"/>
      <c r="IF815"/>
      <c r="IG815"/>
      <c r="IH815"/>
      <c r="II815"/>
      <c r="IJ815"/>
      <c r="IK815"/>
      <c r="IL815"/>
      <c r="IM815"/>
      <c r="IN815"/>
      <c r="IO815"/>
      <c r="IP815"/>
      <c r="IQ815"/>
    </row>
    <row r="816" spans="1:252" ht="12.75" customHeight="1" x14ac:dyDescent="0.2">
      <c r="A816" s="739"/>
      <c r="B816" s="1107" t="s">
        <v>1452</v>
      </c>
      <c r="C816" s="983">
        <v>20000</v>
      </c>
      <c r="D816" s="983">
        <v>20000</v>
      </c>
      <c r="E816" s="707">
        <v>0</v>
      </c>
      <c r="F816" s="707"/>
      <c r="G816" s="1243">
        <f t="shared" si="288"/>
        <v>0</v>
      </c>
      <c r="H816" s="1248">
        <f t="shared" si="289"/>
        <v>0</v>
      </c>
      <c r="I816" s="1258">
        <v>0</v>
      </c>
      <c r="J816" s="96">
        <v>0</v>
      </c>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c r="EW816"/>
      <c r="EX816"/>
      <c r="EY816"/>
      <c r="EZ816"/>
      <c r="FA816"/>
      <c r="FB816"/>
      <c r="FC816"/>
      <c r="FD816"/>
      <c r="FE816"/>
      <c r="FF816"/>
      <c r="FG816"/>
      <c r="FH816"/>
      <c r="FI816"/>
      <c r="FJ816"/>
      <c r="FK816"/>
      <c r="FL816"/>
      <c r="FM816"/>
      <c r="FN816"/>
      <c r="FO816"/>
      <c r="FP816"/>
      <c r="FQ816"/>
      <c r="FR816"/>
      <c r="FS816"/>
      <c r="FT816"/>
      <c r="FU816"/>
      <c r="FV816"/>
      <c r="FW816"/>
      <c r="FX816"/>
      <c r="FY816"/>
      <c r="FZ816"/>
      <c r="GA816"/>
      <c r="GB816"/>
      <c r="GC816"/>
      <c r="GD816"/>
      <c r="GE816"/>
      <c r="GF816"/>
      <c r="GG816"/>
      <c r="GH816"/>
      <c r="GI816"/>
      <c r="GJ816"/>
      <c r="GK816"/>
      <c r="GL816"/>
      <c r="GM816"/>
      <c r="GN816"/>
      <c r="GO816"/>
      <c r="GP816"/>
      <c r="GQ816"/>
      <c r="GR816"/>
      <c r="GS816"/>
      <c r="GT816"/>
      <c r="GU816"/>
      <c r="GV816"/>
      <c r="GW816"/>
      <c r="GX816"/>
      <c r="GY816"/>
      <c r="GZ816"/>
      <c r="HA816"/>
      <c r="HB816"/>
      <c r="HC816"/>
      <c r="HD816"/>
      <c r="HE816"/>
      <c r="HF816"/>
      <c r="HG816"/>
      <c r="HH816"/>
      <c r="HI816"/>
      <c r="HJ816"/>
      <c r="HK816"/>
      <c r="HL816"/>
      <c r="HM816"/>
      <c r="HN816"/>
      <c r="HO816"/>
      <c r="HP816"/>
      <c r="HQ816"/>
      <c r="HR816"/>
      <c r="HS816"/>
      <c r="HT816"/>
      <c r="HU816"/>
      <c r="HV816"/>
      <c r="HW816"/>
      <c r="HX816"/>
      <c r="HY816"/>
      <c r="HZ816"/>
      <c r="IA816"/>
      <c r="IB816"/>
      <c r="IC816"/>
      <c r="ID816"/>
      <c r="IE816"/>
      <c r="IF816"/>
      <c r="IG816"/>
      <c r="IH816"/>
      <c r="II816"/>
      <c r="IJ816"/>
      <c r="IK816"/>
      <c r="IL816"/>
      <c r="IM816"/>
      <c r="IN816"/>
      <c r="IO816"/>
      <c r="IP816"/>
      <c r="IQ816"/>
    </row>
    <row r="817" spans="1:251" ht="12.75" customHeight="1" x14ac:dyDescent="0.2">
      <c r="A817" s="739"/>
      <c r="B817" s="979" t="s">
        <v>911</v>
      </c>
      <c r="C817" s="983">
        <v>15000</v>
      </c>
      <c r="D817" s="983">
        <v>15000</v>
      </c>
      <c r="E817" s="707">
        <v>9680</v>
      </c>
      <c r="F817" s="707"/>
      <c r="G817" s="1243">
        <f t="shared" si="288"/>
        <v>64.533333333333331</v>
      </c>
      <c r="H817" s="1248">
        <f t="shared" si="289"/>
        <v>64.533333333333331</v>
      </c>
      <c r="I817" s="1258">
        <f t="shared" si="291"/>
        <v>133.33333333333331</v>
      </c>
      <c r="J817" s="96">
        <v>7260</v>
      </c>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c r="EW817"/>
      <c r="EX817"/>
      <c r="EY817"/>
      <c r="EZ817"/>
      <c r="FA817"/>
      <c r="FB817"/>
      <c r="FC817"/>
      <c r="FD817"/>
      <c r="FE817"/>
      <c r="FF817"/>
      <c r="FG817"/>
      <c r="FH817"/>
      <c r="FI817"/>
      <c r="FJ817"/>
      <c r="FK817"/>
      <c r="FL817"/>
      <c r="FM817"/>
      <c r="FN817"/>
      <c r="FO817"/>
      <c r="FP817"/>
      <c r="FQ817"/>
      <c r="FR817"/>
      <c r="FS817"/>
      <c r="FT817"/>
      <c r="FU817"/>
      <c r="FV817"/>
      <c r="FW817"/>
      <c r="FX817"/>
      <c r="FY817"/>
      <c r="FZ817"/>
      <c r="GA817"/>
      <c r="GB817"/>
      <c r="GC817"/>
      <c r="GD817"/>
      <c r="GE817"/>
      <c r="GF817"/>
      <c r="GG817"/>
      <c r="GH817"/>
      <c r="GI817"/>
      <c r="GJ817"/>
      <c r="GK817"/>
      <c r="GL817"/>
      <c r="GM817"/>
      <c r="GN817"/>
      <c r="GO817"/>
      <c r="GP817"/>
      <c r="GQ817"/>
      <c r="GR817"/>
      <c r="GS817"/>
      <c r="GT817"/>
      <c r="GU817"/>
      <c r="GV817"/>
      <c r="GW817"/>
      <c r="GX817"/>
      <c r="GY817"/>
      <c r="GZ817"/>
      <c r="HA817"/>
      <c r="HB817"/>
      <c r="HC817"/>
      <c r="HD817"/>
      <c r="HE817"/>
      <c r="HF817"/>
      <c r="HG817"/>
      <c r="HH817"/>
      <c r="HI817"/>
      <c r="HJ817"/>
      <c r="HK817"/>
      <c r="HL817"/>
      <c r="HM817"/>
      <c r="HN817"/>
      <c r="HO817"/>
      <c r="HP817"/>
      <c r="HQ817"/>
      <c r="HR817"/>
      <c r="HS817"/>
      <c r="HT817"/>
      <c r="HU817"/>
      <c r="HV817"/>
      <c r="HW817"/>
      <c r="HX817"/>
      <c r="HY817"/>
      <c r="HZ817"/>
      <c r="IA817"/>
      <c r="IB817"/>
      <c r="IC817"/>
      <c r="ID817"/>
      <c r="IE817"/>
      <c r="IF817"/>
      <c r="IG817"/>
      <c r="IH817"/>
      <c r="II817"/>
      <c r="IJ817"/>
      <c r="IK817"/>
      <c r="IL817"/>
      <c r="IM817"/>
      <c r="IN817"/>
      <c r="IO817"/>
      <c r="IP817"/>
      <c r="IQ817"/>
    </row>
    <row r="818" spans="1:251" ht="12.75" customHeight="1" x14ac:dyDescent="0.2">
      <c r="A818" s="739"/>
      <c r="B818" s="970" t="s">
        <v>1214</v>
      </c>
      <c r="C818" s="983">
        <v>270000</v>
      </c>
      <c r="D818" s="983">
        <v>270000</v>
      </c>
      <c r="E818" s="707">
        <v>0</v>
      </c>
      <c r="F818" s="707"/>
      <c r="G818" s="1243">
        <f t="shared" si="288"/>
        <v>0</v>
      </c>
      <c r="H818" s="1248">
        <f t="shared" si="289"/>
        <v>0</v>
      </c>
      <c r="I818" s="1258">
        <v>0</v>
      </c>
      <c r="J818" s="96">
        <v>0</v>
      </c>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c r="EN818"/>
      <c r="EO818"/>
      <c r="EP818"/>
      <c r="EQ818"/>
      <c r="ER818"/>
      <c r="ES818"/>
      <c r="ET818"/>
      <c r="EU818"/>
      <c r="EV818"/>
      <c r="EW818"/>
      <c r="EX818"/>
      <c r="EY818"/>
      <c r="EZ818"/>
      <c r="FA818"/>
      <c r="FB818"/>
      <c r="FC818"/>
      <c r="FD818"/>
      <c r="FE818"/>
      <c r="FF818"/>
      <c r="FG818"/>
      <c r="FH818"/>
      <c r="FI818"/>
      <c r="FJ818"/>
      <c r="FK818"/>
      <c r="FL818"/>
      <c r="FM818"/>
      <c r="FN818"/>
      <c r="FO818"/>
      <c r="FP818"/>
      <c r="FQ818"/>
      <c r="FR818"/>
      <c r="FS818"/>
      <c r="FT818"/>
      <c r="FU818"/>
      <c r="FV818"/>
      <c r="FW818"/>
      <c r="FX818"/>
      <c r="FY818"/>
      <c r="FZ818"/>
      <c r="GA818"/>
      <c r="GB818"/>
      <c r="GC818"/>
      <c r="GD818"/>
      <c r="GE818"/>
      <c r="GF818"/>
      <c r="GG818"/>
      <c r="GH818"/>
      <c r="GI818"/>
      <c r="GJ818"/>
      <c r="GK818"/>
      <c r="GL818"/>
      <c r="GM818"/>
      <c r="GN818"/>
      <c r="GO818"/>
      <c r="GP818"/>
      <c r="GQ818"/>
      <c r="GR818"/>
      <c r="GS818"/>
      <c r="GT818"/>
      <c r="GU818"/>
      <c r="GV818"/>
      <c r="GW818"/>
      <c r="GX818"/>
      <c r="GY818"/>
      <c r="GZ818"/>
      <c r="HA818"/>
      <c r="HB818"/>
      <c r="HC818"/>
      <c r="HD818"/>
      <c r="HE818"/>
      <c r="HF818"/>
      <c r="HG818"/>
      <c r="HH818"/>
      <c r="HI818"/>
      <c r="HJ818"/>
      <c r="HK818"/>
      <c r="HL818"/>
      <c r="HM818"/>
      <c r="HN818"/>
      <c r="HO818"/>
      <c r="HP818"/>
      <c r="HQ818"/>
      <c r="HR818"/>
      <c r="HS818"/>
      <c r="HT818"/>
      <c r="HU818"/>
      <c r="HV818"/>
      <c r="HW818"/>
      <c r="HX818"/>
      <c r="HY818"/>
      <c r="HZ818"/>
      <c r="IA818"/>
      <c r="IB818"/>
      <c r="IC818"/>
      <c r="ID818"/>
      <c r="IE818"/>
      <c r="IF818"/>
      <c r="IG818"/>
      <c r="IH818"/>
      <c r="II818"/>
      <c r="IJ818"/>
      <c r="IK818"/>
      <c r="IL818"/>
      <c r="IM818"/>
      <c r="IN818"/>
      <c r="IO818"/>
      <c r="IP818"/>
      <c r="IQ818"/>
    </row>
    <row r="819" spans="1:251" ht="12.75" customHeight="1" x14ac:dyDescent="0.2">
      <c r="A819" s="742"/>
      <c r="B819" s="1085" t="s">
        <v>913</v>
      </c>
      <c r="C819" s="1083">
        <f>C821+C823+C829</f>
        <v>6100000</v>
      </c>
      <c r="D819" s="1083">
        <f>D821+D823+D829</f>
        <v>5890000</v>
      </c>
      <c r="E819" s="740">
        <v>1303620.68</v>
      </c>
      <c r="F819" s="740"/>
      <c r="G819" s="1364">
        <f t="shared" si="288"/>
        <v>21.370830819672129</v>
      </c>
      <c r="H819" s="1365">
        <f t="shared" si="289"/>
        <v>22.132778947368418</v>
      </c>
      <c r="I819" s="1366">
        <f t="shared" si="291"/>
        <v>240.43584225519484</v>
      </c>
      <c r="J819" s="96">
        <v>542190.66</v>
      </c>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c r="EW819"/>
      <c r="EX819"/>
      <c r="EY819"/>
      <c r="EZ819"/>
      <c r="FA819"/>
      <c r="FB819"/>
      <c r="FC819"/>
      <c r="FD819"/>
      <c r="FE819"/>
      <c r="FF819"/>
      <c r="FG819"/>
      <c r="FH819"/>
      <c r="FI819"/>
      <c r="FJ819"/>
      <c r="FK819"/>
      <c r="FL819"/>
      <c r="FM819"/>
      <c r="FN819"/>
      <c r="FO819"/>
      <c r="FP819"/>
      <c r="FQ819"/>
      <c r="FR819"/>
      <c r="FS819"/>
      <c r="FT819"/>
      <c r="FU819"/>
      <c r="FV819"/>
      <c r="FW819"/>
      <c r="FX819"/>
      <c r="FY819"/>
      <c r="FZ819"/>
      <c r="GA819"/>
      <c r="GB819"/>
      <c r="GC819"/>
      <c r="GD819"/>
      <c r="GE819"/>
      <c r="GF819"/>
      <c r="GG819"/>
      <c r="GH819"/>
      <c r="GI819"/>
      <c r="GJ819"/>
      <c r="GK819"/>
      <c r="GL819"/>
      <c r="GM819"/>
      <c r="GN819"/>
      <c r="GO819"/>
      <c r="GP819"/>
      <c r="GQ819"/>
      <c r="GR819"/>
      <c r="GS819"/>
      <c r="GT819"/>
      <c r="GU819"/>
      <c r="GV819"/>
      <c r="GW819"/>
      <c r="GX819"/>
      <c r="GY819"/>
      <c r="GZ819"/>
      <c r="HA819"/>
      <c r="HB819"/>
      <c r="HC819"/>
      <c r="HD819"/>
      <c r="HE819"/>
      <c r="HF819"/>
      <c r="HG819"/>
      <c r="HH819"/>
      <c r="HI819"/>
      <c r="HJ819"/>
      <c r="HK819"/>
      <c r="HL819"/>
      <c r="HM819"/>
      <c r="HN819"/>
      <c r="HO819"/>
      <c r="HP819"/>
      <c r="HQ819"/>
      <c r="HR819"/>
      <c r="HS819"/>
      <c r="HT819"/>
      <c r="HU819"/>
      <c r="HV819"/>
      <c r="HW819"/>
      <c r="HX819"/>
      <c r="HY819"/>
      <c r="HZ819"/>
      <c r="IA819"/>
      <c r="IB819"/>
      <c r="IC819"/>
      <c r="ID819"/>
      <c r="IE819"/>
      <c r="IF819"/>
      <c r="IG819"/>
      <c r="IH819"/>
      <c r="II819"/>
      <c r="IJ819"/>
      <c r="IK819"/>
      <c r="IL819"/>
      <c r="IM819"/>
      <c r="IN819"/>
      <c r="IO819"/>
      <c r="IP819"/>
      <c r="IQ819"/>
    </row>
    <row r="820" spans="1:251" ht="25.5" x14ac:dyDescent="0.2">
      <c r="A820" s="742"/>
      <c r="B820" s="970" t="s">
        <v>1865</v>
      </c>
      <c r="C820" s="983">
        <v>590000</v>
      </c>
      <c r="D820" s="983">
        <v>590000</v>
      </c>
      <c r="E820" s="707">
        <v>115480.93</v>
      </c>
      <c r="F820" s="707"/>
      <c r="G820" s="1243">
        <f t="shared" si="288"/>
        <v>19.573038983050846</v>
      </c>
      <c r="H820" s="1248">
        <f t="shared" si="289"/>
        <v>19.573038983050846</v>
      </c>
      <c r="I820" s="1258">
        <f t="shared" si="291"/>
        <v>231.08664678926618</v>
      </c>
      <c r="J820" s="118">
        <v>49973</v>
      </c>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c r="EW820"/>
      <c r="EX820"/>
      <c r="EY820"/>
      <c r="EZ820"/>
      <c r="FA820"/>
      <c r="FB820"/>
      <c r="FC820"/>
      <c r="FD820"/>
      <c r="FE820"/>
      <c r="FF820"/>
      <c r="FG820"/>
      <c r="FH820"/>
      <c r="FI820"/>
      <c r="FJ820"/>
      <c r="FK820"/>
      <c r="FL820"/>
      <c r="FM820"/>
      <c r="FN820"/>
      <c r="FO820"/>
      <c r="FP820"/>
      <c r="FQ820"/>
      <c r="FR820"/>
      <c r="FS820"/>
      <c r="FT820"/>
      <c r="FU820"/>
      <c r="FV820"/>
      <c r="FW820"/>
      <c r="FX820"/>
      <c r="FY820"/>
      <c r="FZ820"/>
      <c r="GA820"/>
      <c r="GB820"/>
      <c r="GC820"/>
      <c r="GD820"/>
      <c r="GE820"/>
      <c r="GF820"/>
      <c r="GG820"/>
      <c r="GH820"/>
      <c r="GI820"/>
      <c r="GJ820"/>
      <c r="GK820"/>
      <c r="GL820"/>
      <c r="GM820"/>
      <c r="GN820"/>
      <c r="GO820"/>
      <c r="GP820"/>
      <c r="GQ820"/>
      <c r="GR820"/>
      <c r="GS820"/>
      <c r="GT820"/>
      <c r="GU820"/>
      <c r="GV820"/>
      <c r="GW820"/>
      <c r="GX820"/>
      <c r="GY820"/>
      <c r="GZ820"/>
      <c r="HA820"/>
      <c r="HB820"/>
      <c r="HC820"/>
      <c r="HD820"/>
      <c r="HE820"/>
      <c r="HF820"/>
      <c r="HG820"/>
      <c r="HH820"/>
      <c r="HI820"/>
      <c r="HJ820"/>
      <c r="HK820"/>
      <c r="HL820"/>
      <c r="HM820"/>
      <c r="HN820"/>
      <c r="HO820"/>
      <c r="HP820"/>
      <c r="HQ820"/>
      <c r="HR820"/>
      <c r="HS820"/>
      <c r="HT820"/>
      <c r="HU820"/>
      <c r="HV820"/>
      <c r="HW820"/>
      <c r="HX820"/>
      <c r="HY820"/>
      <c r="HZ820"/>
      <c r="IA820"/>
      <c r="IB820"/>
      <c r="IC820"/>
      <c r="ID820"/>
      <c r="IE820"/>
      <c r="IF820"/>
      <c r="IG820"/>
      <c r="IH820"/>
      <c r="II820"/>
      <c r="IJ820"/>
      <c r="IK820"/>
      <c r="IL820"/>
      <c r="IM820"/>
      <c r="IN820"/>
      <c r="IO820"/>
      <c r="IP820"/>
      <c r="IQ820"/>
    </row>
    <row r="821" spans="1:251" ht="12.75" customHeight="1" x14ac:dyDescent="0.2">
      <c r="A821" s="742"/>
      <c r="B821" s="977" t="s">
        <v>1454</v>
      </c>
      <c r="C821" s="1093">
        <f>C822</f>
        <v>3000000</v>
      </c>
      <c r="D821" s="1093">
        <f>D822</f>
        <v>2790000</v>
      </c>
      <c r="E821" s="1174">
        <v>1053712.76</v>
      </c>
      <c r="F821" s="707"/>
      <c r="G821" s="1361">
        <f t="shared" si="288"/>
        <v>35.123758666666667</v>
      </c>
      <c r="H821" s="1362">
        <f t="shared" si="289"/>
        <v>37.767482437275987</v>
      </c>
      <c r="I821" s="1363">
        <f t="shared" si="291"/>
        <v>385.9854791068704</v>
      </c>
      <c r="J821" s="96">
        <v>272992.84999999998</v>
      </c>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c r="EN821"/>
      <c r="EO821"/>
      <c r="EP821"/>
      <c r="EQ821"/>
      <c r="ER821"/>
      <c r="ES821"/>
      <c r="ET821"/>
      <c r="EU821"/>
      <c r="EV821"/>
      <c r="EW821"/>
      <c r="EX821"/>
      <c r="EY821"/>
      <c r="EZ821"/>
      <c r="FA821"/>
      <c r="FB821"/>
      <c r="FC821"/>
      <c r="FD821"/>
      <c r="FE821"/>
      <c r="FF821"/>
      <c r="FG821"/>
      <c r="FH821"/>
      <c r="FI821"/>
      <c r="FJ821"/>
      <c r="FK821"/>
      <c r="FL821"/>
      <c r="FM821"/>
      <c r="FN821"/>
      <c r="FO821"/>
      <c r="FP821"/>
      <c r="FQ821"/>
      <c r="FR821"/>
      <c r="FS821"/>
      <c r="FT821"/>
      <c r="FU821"/>
      <c r="FV821"/>
      <c r="FW821"/>
      <c r="FX821"/>
      <c r="FY821"/>
      <c r="FZ821"/>
      <c r="GA821"/>
      <c r="GB821"/>
      <c r="GC821"/>
      <c r="GD821"/>
      <c r="GE821"/>
      <c r="GF821"/>
      <c r="GG821"/>
      <c r="GH821"/>
      <c r="GI821"/>
      <c r="GJ821"/>
      <c r="GK821"/>
      <c r="GL821"/>
      <c r="GM821"/>
      <c r="GN821"/>
      <c r="GO821"/>
      <c r="GP821"/>
      <c r="GQ821"/>
      <c r="GR821"/>
      <c r="GS821"/>
      <c r="GT821"/>
      <c r="GU821"/>
      <c r="GV821"/>
      <c r="GW821"/>
      <c r="GX821"/>
      <c r="GY821"/>
      <c r="GZ821"/>
      <c r="HA821"/>
      <c r="HB821"/>
      <c r="HC821"/>
      <c r="HD821"/>
      <c r="HE821"/>
      <c r="HF821"/>
      <c r="HG821"/>
      <c r="HH821"/>
      <c r="HI821"/>
      <c r="HJ821"/>
      <c r="HK821"/>
      <c r="HL821"/>
      <c r="HM821"/>
      <c r="HN821"/>
      <c r="HO821"/>
      <c r="HP821"/>
      <c r="HQ821"/>
      <c r="HR821"/>
      <c r="HS821"/>
      <c r="HT821"/>
      <c r="HU821"/>
      <c r="HV821"/>
      <c r="HW821"/>
      <c r="HX821"/>
      <c r="HY821"/>
      <c r="HZ821"/>
      <c r="IA821"/>
      <c r="IB821"/>
      <c r="IC821"/>
      <c r="ID821"/>
      <c r="IE821"/>
      <c r="IF821"/>
      <c r="IG821"/>
      <c r="IH821"/>
      <c r="II821"/>
      <c r="IJ821"/>
      <c r="IK821"/>
      <c r="IL821"/>
      <c r="IM821"/>
      <c r="IN821"/>
      <c r="IO821"/>
      <c r="IP821"/>
      <c r="IQ821"/>
    </row>
    <row r="822" spans="1:251" ht="12.75" customHeight="1" x14ac:dyDescent="0.2">
      <c r="A822" s="742"/>
      <c r="B822" s="1107" t="s">
        <v>916</v>
      </c>
      <c r="C822" s="983">
        <v>3000000</v>
      </c>
      <c r="D822" s="983">
        <f>3000000-210000</f>
        <v>2790000</v>
      </c>
      <c r="E822" s="707">
        <v>1073712.76</v>
      </c>
      <c r="F822" s="707"/>
      <c r="G822" s="1243">
        <f t="shared" si="288"/>
        <v>35.790425333333332</v>
      </c>
      <c r="H822" s="1248">
        <f t="shared" si="289"/>
        <v>38.484328315412185</v>
      </c>
      <c r="I822" s="1258">
        <f t="shared" si="291"/>
        <v>393.31167830952353</v>
      </c>
      <c r="J822" s="96">
        <v>272992.84999999998</v>
      </c>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c r="EF822"/>
      <c r="EG822"/>
      <c r="EH822"/>
      <c r="EI822"/>
      <c r="EJ822"/>
      <c r="EK822"/>
      <c r="EL822"/>
      <c r="EM822"/>
      <c r="EN822"/>
      <c r="EO822"/>
      <c r="EP822"/>
      <c r="EQ822"/>
      <c r="ER822"/>
      <c r="ES822"/>
      <c r="ET822"/>
      <c r="EU822"/>
      <c r="EV822"/>
      <c r="EW822"/>
      <c r="EX822"/>
      <c r="EY822"/>
      <c r="EZ822"/>
      <c r="FA822"/>
      <c r="FB822"/>
      <c r="FC822"/>
      <c r="FD822"/>
      <c r="FE822"/>
      <c r="FF822"/>
      <c r="FG822"/>
      <c r="FH822"/>
      <c r="FI822"/>
      <c r="FJ822"/>
      <c r="FK822"/>
      <c r="FL822"/>
      <c r="FM822"/>
      <c r="FN822"/>
      <c r="FO822"/>
      <c r="FP822"/>
      <c r="FQ822"/>
      <c r="FR822"/>
      <c r="FS822"/>
      <c r="FT822"/>
      <c r="FU822"/>
      <c r="FV822"/>
      <c r="FW822"/>
      <c r="FX822"/>
      <c r="FY822"/>
      <c r="FZ822"/>
      <c r="GA822"/>
      <c r="GB822"/>
      <c r="GC822"/>
      <c r="GD822"/>
      <c r="GE822"/>
      <c r="GF822"/>
      <c r="GG822"/>
      <c r="GH822"/>
      <c r="GI822"/>
      <c r="GJ822"/>
      <c r="GK822"/>
      <c r="GL822"/>
      <c r="GM822"/>
      <c r="GN822"/>
      <c r="GO822"/>
      <c r="GP822"/>
      <c r="GQ822"/>
      <c r="GR822"/>
      <c r="GS822"/>
      <c r="GT822"/>
      <c r="GU822"/>
      <c r="GV822"/>
      <c r="GW822"/>
      <c r="GX822"/>
      <c r="GY822"/>
      <c r="GZ822"/>
      <c r="HA822"/>
      <c r="HB822"/>
      <c r="HC822"/>
      <c r="HD822"/>
      <c r="HE822"/>
      <c r="HF822"/>
      <c r="HG822"/>
      <c r="HH822"/>
      <c r="HI822"/>
      <c r="HJ822"/>
      <c r="HK822"/>
      <c r="HL822"/>
      <c r="HM822"/>
      <c r="HN822"/>
      <c r="HO822"/>
      <c r="HP822"/>
      <c r="HQ822"/>
      <c r="HR822"/>
      <c r="HS822"/>
      <c r="HT822"/>
      <c r="HU822"/>
      <c r="HV822"/>
      <c r="HW822"/>
      <c r="HX822"/>
      <c r="HY822"/>
      <c r="HZ822"/>
      <c r="IA822"/>
      <c r="IB822"/>
      <c r="IC822"/>
      <c r="ID822"/>
      <c r="IE822"/>
      <c r="IF822"/>
      <c r="IG822"/>
      <c r="IH822"/>
      <c r="II822"/>
      <c r="IJ822"/>
      <c r="IK822"/>
      <c r="IL822"/>
      <c r="IM822"/>
      <c r="IN822"/>
      <c r="IO822"/>
      <c r="IP822"/>
      <c r="IQ822"/>
    </row>
    <row r="823" spans="1:251" ht="12.75" customHeight="1" x14ac:dyDescent="0.2">
      <c r="A823" s="742"/>
      <c r="B823" s="1175" t="s">
        <v>1132</v>
      </c>
      <c r="C823" s="1093">
        <f>SUM(C824:C824)</f>
        <v>1350000</v>
      </c>
      <c r="D823" s="1093">
        <f>SUM(D824:D824)</f>
        <v>1350000</v>
      </c>
      <c r="E823" s="1174">
        <v>5417.17</v>
      </c>
      <c r="F823" s="707"/>
      <c r="G823" s="1361">
        <f t="shared" si="288"/>
        <v>0.40127185185185182</v>
      </c>
      <c r="H823" s="1362">
        <f t="shared" si="289"/>
        <v>0.40127185185185182</v>
      </c>
      <c r="I823" s="1363">
        <f t="shared" si="291"/>
        <v>2.3635376873389515</v>
      </c>
      <c r="J823" s="96">
        <v>229197.53</v>
      </c>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c r="EN823"/>
      <c r="EO823"/>
      <c r="EP823"/>
      <c r="EQ823"/>
      <c r="ER823"/>
      <c r="ES823"/>
      <c r="ET823"/>
      <c r="EU823"/>
      <c r="EV823"/>
      <c r="EW823"/>
      <c r="EX823"/>
      <c r="EY823"/>
      <c r="EZ823"/>
      <c r="FA823"/>
      <c r="FB823"/>
      <c r="FC823"/>
      <c r="FD823"/>
      <c r="FE823"/>
      <c r="FF823"/>
      <c r="FG823"/>
      <c r="FH823"/>
      <c r="FI823"/>
      <c r="FJ823"/>
      <c r="FK823"/>
      <c r="FL823"/>
      <c r="FM823"/>
      <c r="FN823"/>
      <c r="FO823"/>
      <c r="FP823"/>
      <c r="FQ823"/>
      <c r="FR823"/>
      <c r="FS823"/>
      <c r="FT823"/>
      <c r="FU823"/>
      <c r="FV823"/>
      <c r="FW823"/>
      <c r="FX823"/>
      <c r="FY823"/>
      <c r="FZ823"/>
      <c r="GA823"/>
      <c r="GB823"/>
      <c r="GC823"/>
      <c r="GD823"/>
      <c r="GE823"/>
      <c r="GF823"/>
      <c r="GG823"/>
      <c r="GH823"/>
      <c r="GI823"/>
      <c r="GJ823"/>
      <c r="GK823"/>
      <c r="GL823"/>
      <c r="GM823"/>
      <c r="GN823"/>
      <c r="GO823"/>
      <c r="GP823"/>
      <c r="GQ823"/>
      <c r="GR823"/>
      <c r="GS823"/>
      <c r="GT823"/>
      <c r="GU823"/>
      <c r="GV823"/>
      <c r="GW823"/>
      <c r="GX823"/>
      <c r="GY823"/>
      <c r="GZ823"/>
      <c r="HA823"/>
      <c r="HB823"/>
      <c r="HC823"/>
      <c r="HD823"/>
      <c r="HE823"/>
      <c r="HF823"/>
      <c r="HG823"/>
      <c r="HH823"/>
      <c r="HI823"/>
      <c r="HJ823"/>
      <c r="HK823"/>
      <c r="HL823"/>
      <c r="HM823"/>
      <c r="HN823"/>
      <c r="HO823"/>
      <c r="HP823"/>
      <c r="HQ823"/>
      <c r="HR823"/>
      <c r="HS823"/>
      <c r="HT823"/>
      <c r="HU823"/>
      <c r="HV823"/>
      <c r="HW823"/>
      <c r="HX823"/>
      <c r="HY823"/>
      <c r="HZ823"/>
      <c r="IA823"/>
      <c r="IB823"/>
      <c r="IC823"/>
      <c r="ID823"/>
      <c r="IE823"/>
      <c r="IF823"/>
      <c r="IG823"/>
      <c r="IH823"/>
      <c r="II823"/>
      <c r="IJ823"/>
      <c r="IK823"/>
      <c r="IL823"/>
      <c r="IM823"/>
      <c r="IN823"/>
      <c r="IO823"/>
      <c r="IP823"/>
      <c r="IQ823"/>
    </row>
    <row r="824" spans="1:251" ht="12.75" customHeight="1" x14ac:dyDescent="0.2">
      <c r="A824" s="742"/>
      <c r="B824" s="1109" t="s">
        <v>1215</v>
      </c>
      <c r="C824" s="983">
        <f>SUM(C825:C828)</f>
        <v>1350000</v>
      </c>
      <c r="D824" s="983">
        <f>SUM(D825:D828)</f>
        <v>1350000</v>
      </c>
      <c r="E824" s="707">
        <v>5417.17</v>
      </c>
      <c r="F824" s="707"/>
      <c r="G824" s="1243">
        <f t="shared" si="288"/>
        <v>0.40127185185185182</v>
      </c>
      <c r="H824" s="1248">
        <f t="shared" si="289"/>
        <v>0.40127185185185182</v>
      </c>
      <c r="I824" s="1258">
        <f t="shared" si="291"/>
        <v>5.2535849233729959</v>
      </c>
      <c r="J824" s="96">
        <v>103113.78</v>
      </c>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c r="EF824"/>
      <c r="EG824"/>
      <c r="EH824"/>
      <c r="EI824"/>
      <c r="EJ824"/>
      <c r="EK824"/>
      <c r="EL824"/>
      <c r="EM824"/>
      <c r="EN824"/>
      <c r="EO824"/>
      <c r="EP824"/>
      <c r="EQ824"/>
      <c r="ER824"/>
      <c r="ES824"/>
      <c r="ET824"/>
      <c r="EU824"/>
      <c r="EV824"/>
      <c r="EW824"/>
      <c r="EX824"/>
      <c r="EY824"/>
      <c r="EZ824"/>
      <c r="FA824"/>
      <c r="FB824"/>
      <c r="FC824"/>
      <c r="FD824"/>
      <c r="FE824"/>
      <c r="FF824"/>
      <c r="FG824"/>
      <c r="FH824"/>
      <c r="FI824"/>
      <c r="FJ824"/>
      <c r="FK824"/>
      <c r="FL824"/>
      <c r="FM824"/>
      <c r="FN824"/>
      <c r="FO824"/>
      <c r="FP824"/>
      <c r="FQ824"/>
      <c r="FR824"/>
      <c r="FS824"/>
      <c r="FT824"/>
      <c r="FU824"/>
      <c r="FV824"/>
      <c r="FW824"/>
      <c r="FX824"/>
      <c r="FY824"/>
      <c r="FZ824"/>
      <c r="GA824"/>
      <c r="GB824"/>
      <c r="GC824"/>
      <c r="GD824"/>
      <c r="GE824"/>
      <c r="GF824"/>
      <c r="GG824"/>
      <c r="GH824"/>
      <c r="GI824"/>
      <c r="GJ824"/>
      <c r="GK824"/>
      <c r="GL824"/>
      <c r="GM824"/>
      <c r="GN824"/>
      <c r="GO824"/>
      <c r="GP824"/>
      <c r="GQ824"/>
      <c r="GR824"/>
      <c r="GS824"/>
      <c r="GT824"/>
      <c r="GU824"/>
      <c r="GV824"/>
      <c r="GW824"/>
      <c r="GX824"/>
      <c r="GY824"/>
      <c r="GZ824"/>
      <c r="HA824"/>
      <c r="HB824"/>
      <c r="HC824"/>
      <c r="HD824"/>
      <c r="HE824"/>
      <c r="HF824"/>
      <c r="HG824"/>
      <c r="HH824"/>
      <c r="HI824"/>
      <c r="HJ824"/>
      <c r="HK824"/>
      <c r="HL824"/>
      <c r="HM824"/>
      <c r="HN824"/>
      <c r="HO824"/>
      <c r="HP824"/>
      <c r="HQ824"/>
      <c r="HR824"/>
      <c r="HS824"/>
      <c r="HT824"/>
      <c r="HU824"/>
      <c r="HV824"/>
      <c r="HW824"/>
      <c r="HX824"/>
      <c r="HY824"/>
      <c r="HZ824"/>
      <c r="IA824"/>
      <c r="IB824"/>
      <c r="IC824"/>
      <c r="ID824"/>
      <c r="IE824"/>
      <c r="IF824"/>
      <c r="IG824"/>
      <c r="IH824"/>
      <c r="II824"/>
      <c r="IJ824"/>
      <c r="IK824"/>
      <c r="IL824"/>
      <c r="IM824"/>
      <c r="IN824"/>
      <c r="IO824"/>
      <c r="IP824"/>
      <c r="IQ824"/>
    </row>
    <row r="825" spans="1:251" ht="12.75" customHeight="1" x14ac:dyDescent="0.2">
      <c r="A825" s="739"/>
      <c r="B825" s="979" t="s">
        <v>932</v>
      </c>
      <c r="C825" s="983">
        <v>100000</v>
      </c>
      <c r="D825" s="983">
        <v>100000</v>
      </c>
      <c r="E825" s="707">
        <v>0</v>
      </c>
      <c r="F825" s="707"/>
      <c r="G825" s="1243">
        <f t="shared" si="288"/>
        <v>0</v>
      </c>
      <c r="H825" s="1248">
        <f t="shared" si="289"/>
        <v>0</v>
      </c>
      <c r="I825" s="1258">
        <v>0</v>
      </c>
      <c r="J825" s="96">
        <v>0</v>
      </c>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c r="EF825"/>
      <c r="EG825"/>
      <c r="EH825"/>
      <c r="EI825"/>
      <c r="EJ825"/>
      <c r="EK825"/>
      <c r="EL825"/>
      <c r="EM825"/>
      <c r="EN825"/>
      <c r="EO825"/>
      <c r="EP825"/>
      <c r="EQ825"/>
      <c r="ER825"/>
      <c r="ES825"/>
      <c r="ET825"/>
      <c r="EU825"/>
      <c r="EV825"/>
      <c r="EW825"/>
      <c r="EX825"/>
      <c r="EY825"/>
      <c r="EZ825"/>
      <c r="FA825"/>
      <c r="FB825"/>
      <c r="FC825"/>
      <c r="FD825"/>
      <c r="FE825"/>
      <c r="FF825"/>
      <c r="FG825"/>
      <c r="FH825"/>
      <c r="FI825"/>
      <c r="FJ825"/>
      <c r="FK825"/>
      <c r="FL825"/>
      <c r="FM825"/>
      <c r="FN825"/>
      <c r="FO825"/>
      <c r="FP825"/>
      <c r="FQ825"/>
      <c r="FR825"/>
      <c r="FS825"/>
      <c r="FT825"/>
      <c r="FU825"/>
      <c r="FV825"/>
      <c r="FW825"/>
      <c r="FX825"/>
      <c r="FY825"/>
      <c r="FZ825"/>
      <c r="GA825"/>
      <c r="GB825"/>
      <c r="GC825"/>
      <c r="GD825"/>
      <c r="GE825"/>
      <c r="GF825"/>
      <c r="GG825"/>
      <c r="GH825"/>
      <c r="GI825"/>
      <c r="GJ825"/>
      <c r="GK825"/>
      <c r="GL825"/>
      <c r="GM825"/>
      <c r="GN825"/>
      <c r="GO825"/>
      <c r="GP825"/>
      <c r="GQ825"/>
      <c r="GR825"/>
      <c r="GS825"/>
      <c r="GT825"/>
      <c r="GU825"/>
      <c r="GV825"/>
      <c r="GW825"/>
      <c r="GX825"/>
      <c r="GY825"/>
      <c r="GZ825"/>
      <c r="HA825"/>
      <c r="HB825"/>
      <c r="HC825"/>
      <c r="HD825"/>
      <c r="HE825"/>
      <c r="HF825"/>
      <c r="HG825"/>
      <c r="HH825"/>
      <c r="HI825"/>
      <c r="HJ825"/>
      <c r="HK825"/>
      <c r="HL825"/>
      <c r="HM825"/>
      <c r="HN825"/>
      <c r="HO825"/>
      <c r="HP825"/>
      <c r="HQ825"/>
      <c r="HR825"/>
      <c r="HS825"/>
      <c r="HT825"/>
      <c r="HU825"/>
      <c r="HV825"/>
      <c r="HW825"/>
      <c r="HX825"/>
      <c r="HY825"/>
      <c r="HZ825"/>
      <c r="IA825"/>
      <c r="IB825"/>
      <c r="IC825"/>
      <c r="ID825"/>
      <c r="IE825"/>
      <c r="IF825"/>
      <c r="IG825"/>
      <c r="IH825"/>
      <c r="II825"/>
      <c r="IJ825"/>
      <c r="IK825"/>
      <c r="IL825"/>
      <c r="IM825"/>
      <c r="IN825"/>
      <c r="IO825"/>
      <c r="IP825"/>
      <c r="IQ825"/>
    </row>
    <row r="826" spans="1:251" ht="12.75" customHeight="1" x14ac:dyDescent="0.2">
      <c r="A826" s="742"/>
      <c r="B826" s="1101" t="s">
        <v>1663</v>
      </c>
      <c r="C826" s="983">
        <v>650000</v>
      </c>
      <c r="D826" s="983">
        <v>650000</v>
      </c>
      <c r="E826" s="1163">
        <v>0</v>
      </c>
      <c r="F826" s="1163"/>
      <c r="G826" s="1243">
        <f t="shared" si="288"/>
        <v>0</v>
      </c>
      <c r="H826" s="1248">
        <f t="shared" si="289"/>
        <v>0</v>
      </c>
      <c r="I826" s="1258">
        <v>0</v>
      </c>
      <c r="J826" s="96">
        <v>0</v>
      </c>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c r="EF826"/>
      <c r="EG826"/>
      <c r="EH826"/>
      <c r="EI826"/>
      <c r="EJ826"/>
      <c r="EK826"/>
      <c r="EL826"/>
      <c r="EM826"/>
      <c r="EN826"/>
      <c r="EO826"/>
      <c r="EP826"/>
      <c r="EQ826"/>
      <c r="ER826"/>
      <c r="ES826"/>
      <c r="ET826"/>
      <c r="EU826"/>
      <c r="EV826"/>
      <c r="EW826"/>
      <c r="EX826"/>
      <c r="EY826"/>
      <c r="EZ826"/>
      <c r="FA826"/>
      <c r="FB826"/>
      <c r="FC826"/>
      <c r="FD826"/>
      <c r="FE826"/>
      <c r="FF826"/>
      <c r="FG826"/>
      <c r="FH826"/>
      <c r="FI826"/>
      <c r="FJ826"/>
      <c r="FK826"/>
      <c r="FL826"/>
      <c r="FM826"/>
      <c r="FN826"/>
      <c r="FO826"/>
      <c r="FP826"/>
      <c r="FQ826"/>
      <c r="FR826"/>
      <c r="FS826"/>
      <c r="FT826"/>
      <c r="FU826"/>
      <c r="FV826"/>
      <c r="FW826"/>
      <c r="FX826"/>
      <c r="FY826"/>
      <c r="FZ826"/>
      <c r="GA826"/>
      <c r="GB826"/>
      <c r="GC826"/>
      <c r="GD826"/>
      <c r="GE826"/>
      <c r="GF826"/>
      <c r="GG826"/>
      <c r="GH826"/>
      <c r="GI826"/>
      <c r="GJ826"/>
      <c r="GK826"/>
      <c r="GL826"/>
      <c r="GM826"/>
      <c r="GN826"/>
      <c r="GO826"/>
      <c r="GP826"/>
      <c r="GQ826"/>
      <c r="GR826"/>
      <c r="GS826"/>
      <c r="GT826"/>
      <c r="GU826"/>
      <c r="GV826"/>
      <c r="GW826"/>
      <c r="GX826"/>
      <c r="GY826"/>
      <c r="GZ826"/>
      <c r="HA826"/>
      <c r="HB826"/>
      <c r="HC826"/>
      <c r="HD826"/>
      <c r="HE826"/>
      <c r="HF826"/>
      <c r="HG826"/>
      <c r="HH826"/>
      <c r="HI826"/>
      <c r="HJ826"/>
      <c r="HK826"/>
      <c r="HL826"/>
      <c r="HM826"/>
      <c r="HN826"/>
      <c r="HO826"/>
      <c r="HP826"/>
      <c r="HQ826"/>
      <c r="HR826"/>
      <c r="HS826"/>
      <c r="HT826"/>
      <c r="HU826"/>
      <c r="HV826"/>
      <c r="HW826"/>
      <c r="HX826"/>
      <c r="HY826"/>
      <c r="HZ826"/>
      <c r="IA826"/>
      <c r="IB826"/>
      <c r="IC826"/>
      <c r="ID826"/>
      <c r="IE826"/>
      <c r="IF826"/>
      <c r="IG826"/>
      <c r="IH826"/>
      <c r="II826"/>
      <c r="IJ826"/>
      <c r="IK826"/>
      <c r="IL826"/>
      <c r="IM826"/>
      <c r="IN826"/>
      <c r="IO826"/>
      <c r="IP826"/>
      <c r="IQ826"/>
    </row>
    <row r="827" spans="1:251" ht="15.75" customHeight="1" x14ac:dyDescent="0.2">
      <c r="A827" s="742"/>
      <c r="B827" s="1101" t="s">
        <v>1083</v>
      </c>
      <c r="C827" s="983">
        <v>500000</v>
      </c>
      <c r="D827" s="983">
        <v>500000</v>
      </c>
      <c r="E827" s="707">
        <v>5417.17</v>
      </c>
      <c r="F827" s="707"/>
      <c r="G827" s="1243">
        <f t="shared" si="288"/>
        <v>1.083434</v>
      </c>
      <c r="H827" s="1248">
        <f t="shared" si="289"/>
        <v>1.083434</v>
      </c>
      <c r="I827" s="1258">
        <v>0</v>
      </c>
      <c r="J827" s="96">
        <v>0</v>
      </c>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c r="EN827"/>
      <c r="EO827"/>
      <c r="EP827"/>
      <c r="EQ827"/>
      <c r="ER827"/>
      <c r="ES827"/>
      <c r="ET827"/>
      <c r="EU827"/>
      <c r="EV827"/>
      <c r="EW827"/>
      <c r="EX827"/>
      <c r="EY827"/>
      <c r="EZ827"/>
      <c r="FA827"/>
      <c r="FB827"/>
      <c r="FC827"/>
      <c r="FD827"/>
      <c r="FE827"/>
      <c r="FF827"/>
      <c r="FG827"/>
      <c r="FH827"/>
      <c r="FI827"/>
      <c r="FJ827"/>
      <c r="FK827"/>
      <c r="FL827"/>
      <c r="FM827"/>
      <c r="FN827"/>
      <c r="FO827"/>
      <c r="FP827"/>
      <c r="FQ827"/>
      <c r="FR827"/>
      <c r="FS827"/>
      <c r="FT827"/>
      <c r="FU827"/>
      <c r="FV827"/>
      <c r="FW827"/>
      <c r="FX827"/>
      <c r="FY827"/>
      <c r="FZ827"/>
      <c r="GA827"/>
      <c r="GB827"/>
      <c r="GC827"/>
      <c r="GD827"/>
      <c r="GE827"/>
      <c r="GF827"/>
      <c r="GG827"/>
      <c r="GH827"/>
      <c r="GI827"/>
      <c r="GJ827"/>
      <c r="GK827"/>
      <c r="GL827"/>
      <c r="GM827"/>
      <c r="GN827"/>
      <c r="GO827"/>
      <c r="GP827"/>
      <c r="GQ827"/>
      <c r="GR827"/>
      <c r="GS827"/>
      <c r="GT827"/>
      <c r="GU827"/>
      <c r="GV827"/>
      <c r="GW827"/>
      <c r="GX827"/>
      <c r="GY827"/>
      <c r="GZ827"/>
      <c r="HA827"/>
      <c r="HB827"/>
      <c r="HC827"/>
      <c r="HD827"/>
      <c r="HE827"/>
      <c r="HF827"/>
      <c r="HG827"/>
      <c r="HH827"/>
      <c r="HI827"/>
      <c r="HJ827"/>
      <c r="HK827"/>
      <c r="HL827"/>
      <c r="HM827"/>
      <c r="HN827"/>
      <c r="HO827"/>
      <c r="HP827"/>
      <c r="HQ827"/>
      <c r="HR827"/>
      <c r="HS827"/>
      <c r="HT827"/>
      <c r="HU827"/>
      <c r="HV827"/>
      <c r="HW827"/>
      <c r="HX827"/>
      <c r="HY827"/>
      <c r="HZ827"/>
      <c r="IA827"/>
      <c r="IB827"/>
      <c r="IC827"/>
      <c r="ID827"/>
      <c r="IE827"/>
      <c r="IF827"/>
      <c r="IG827"/>
      <c r="IH827"/>
      <c r="II827"/>
      <c r="IJ827"/>
      <c r="IK827"/>
      <c r="IL827"/>
      <c r="IM827"/>
      <c r="IN827"/>
      <c r="IO827"/>
      <c r="IP827"/>
      <c r="IQ827"/>
    </row>
    <row r="828" spans="1:251" ht="12.75" customHeight="1" x14ac:dyDescent="0.2">
      <c r="A828" s="742"/>
      <c r="B828" s="1101" t="s">
        <v>1664</v>
      </c>
      <c r="C828" s="983">
        <v>100000</v>
      </c>
      <c r="D828" s="983">
        <v>100000</v>
      </c>
      <c r="E828" s="1163">
        <v>0</v>
      </c>
      <c r="F828" s="1163"/>
      <c r="G828" s="1243">
        <f t="shared" ref="G828:G852" si="293">E828/C828*100</f>
        <v>0</v>
      </c>
      <c r="H828" s="1248">
        <f t="shared" ref="H828:H852" si="294">E828/D828*100</f>
        <v>0</v>
      </c>
      <c r="I828" s="1258">
        <v>0</v>
      </c>
      <c r="J828" s="96">
        <v>0</v>
      </c>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c r="EF828"/>
      <c r="EG828"/>
      <c r="EH828"/>
      <c r="EI828"/>
      <c r="EJ828"/>
      <c r="EK828"/>
      <c r="EL828"/>
      <c r="EM828"/>
      <c r="EN828"/>
      <c r="EO828"/>
      <c r="EP828"/>
      <c r="EQ828"/>
      <c r="ER828"/>
      <c r="ES828"/>
      <c r="ET828"/>
      <c r="EU828"/>
      <c r="EV828"/>
      <c r="EW828"/>
      <c r="EX828"/>
      <c r="EY828"/>
      <c r="EZ828"/>
      <c r="FA828"/>
      <c r="FB828"/>
      <c r="FC828"/>
      <c r="FD828"/>
      <c r="FE828"/>
      <c r="FF828"/>
      <c r="FG828"/>
      <c r="FH828"/>
      <c r="FI828"/>
      <c r="FJ828"/>
      <c r="FK828"/>
      <c r="FL828"/>
      <c r="FM828"/>
      <c r="FN828"/>
      <c r="FO828"/>
      <c r="FP828"/>
      <c r="FQ828"/>
      <c r="FR828"/>
      <c r="FS828"/>
      <c r="FT828"/>
      <c r="FU828"/>
      <c r="FV828"/>
      <c r="FW828"/>
      <c r="FX828"/>
      <c r="FY828"/>
      <c r="FZ828"/>
      <c r="GA828"/>
      <c r="GB828"/>
      <c r="GC828"/>
      <c r="GD828"/>
      <c r="GE828"/>
      <c r="GF828"/>
      <c r="GG828"/>
      <c r="GH828"/>
      <c r="GI828"/>
      <c r="GJ828"/>
      <c r="GK828"/>
      <c r="GL828"/>
      <c r="GM828"/>
      <c r="GN828"/>
      <c r="GO828"/>
      <c r="GP828"/>
      <c r="GQ828"/>
      <c r="GR828"/>
      <c r="GS828"/>
      <c r="GT828"/>
      <c r="GU828"/>
      <c r="GV828"/>
      <c r="GW828"/>
      <c r="GX828"/>
      <c r="GY828"/>
      <c r="GZ828"/>
      <c r="HA828"/>
      <c r="HB828"/>
      <c r="HC828"/>
      <c r="HD828"/>
      <c r="HE828"/>
      <c r="HF828"/>
      <c r="HG828"/>
      <c r="HH828"/>
      <c r="HI828"/>
      <c r="HJ828"/>
      <c r="HK828"/>
      <c r="HL828"/>
      <c r="HM828"/>
      <c r="HN828"/>
      <c r="HO828"/>
      <c r="HP828"/>
      <c r="HQ828"/>
      <c r="HR828"/>
      <c r="HS828"/>
      <c r="HT828"/>
      <c r="HU828"/>
      <c r="HV828"/>
      <c r="HW828"/>
      <c r="HX828"/>
      <c r="HY828"/>
      <c r="HZ828"/>
      <c r="IA828"/>
      <c r="IB828"/>
      <c r="IC828"/>
      <c r="ID828"/>
      <c r="IE828"/>
      <c r="IF828"/>
      <c r="IG828"/>
      <c r="IH828"/>
      <c r="II828"/>
      <c r="IJ828"/>
      <c r="IK828"/>
      <c r="IL828"/>
      <c r="IM828"/>
      <c r="IN828"/>
      <c r="IO828"/>
      <c r="IP828"/>
      <c r="IQ828"/>
    </row>
    <row r="829" spans="1:251" ht="12.75" customHeight="1" x14ac:dyDescent="0.2">
      <c r="A829" s="742"/>
      <c r="B829" s="1110" t="s">
        <v>2119</v>
      </c>
      <c r="C829" s="1083">
        <f t="shared" ref="C829" si="295">SUM(C831:C835)</f>
        <v>1750000</v>
      </c>
      <c r="D829" s="1083">
        <f>SUM(D831:D835)</f>
        <v>1750000</v>
      </c>
      <c r="E829" s="1367">
        <v>244490.75</v>
      </c>
      <c r="F829" s="1367">
        <f>SUM(E830:E835)</f>
        <v>244490.75</v>
      </c>
      <c r="G829" s="1364">
        <f t="shared" si="293"/>
        <v>13.9709</v>
      </c>
      <c r="H829" s="1365">
        <f t="shared" si="294"/>
        <v>13.9709</v>
      </c>
      <c r="I829" s="1366">
        <f t="shared" si="291"/>
        <v>611.22259644182486</v>
      </c>
      <c r="J829" s="96">
        <v>40000.28</v>
      </c>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c r="EF829"/>
      <c r="EG829"/>
      <c r="EH829"/>
      <c r="EI829"/>
      <c r="EJ829"/>
      <c r="EK829"/>
      <c r="EL829"/>
      <c r="EM829"/>
      <c r="EN829"/>
      <c r="EO829"/>
      <c r="EP829"/>
      <c r="EQ829"/>
      <c r="ER829"/>
      <c r="ES829"/>
      <c r="ET829"/>
      <c r="EU829"/>
      <c r="EV829"/>
      <c r="EW829"/>
      <c r="EX829"/>
      <c r="EY829"/>
      <c r="EZ829"/>
      <c r="FA829"/>
      <c r="FB829"/>
      <c r="FC829"/>
      <c r="FD829"/>
      <c r="FE829"/>
      <c r="FF829"/>
      <c r="FG829"/>
      <c r="FH829"/>
      <c r="FI829"/>
      <c r="FJ829"/>
      <c r="FK829"/>
      <c r="FL829"/>
      <c r="FM829"/>
      <c r="FN829"/>
      <c r="FO829"/>
      <c r="FP829"/>
      <c r="FQ829"/>
      <c r="FR829"/>
      <c r="FS829"/>
      <c r="FT829"/>
      <c r="FU829"/>
      <c r="FV829"/>
      <c r="FW829"/>
      <c r="FX829"/>
      <c r="FY829"/>
      <c r="FZ829"/>
      <c r="GA829"/>
      <c r="GB829"/>
      <c r="GC829"/>
      <c r="GD829"/>
      <c r="GE829"/>
      <c r="GF829"/>
      <c r="GG829"/>
      <c r="GH829"/>
      <c r="GI829"/>
      <c r="GJ829"/>
      <c r="GK829"/>
      <c r="GL829"/>
      <c r="GM829"/>
      <c r="GN829"/>
      <c r="GO829"/>
      <c r="GP829"/>
      <c r="GQ829"/>
      <c r="GR829"/>
      <c r="GS829"/>
      <c r="GT829"/>
      <c r="GU829"/>
      <c r="GV829"/>
      <c r="GW829"/>
      <c r="GX829"/>
      <c r="GY829"/>
      <c r="GZ829"/>
      <c r="HA829"/>
      <c r="HB829"/>
      <c r="HC829"/>
      <c r="HD829"/>
      <c r="HE829"/>
      <c r="HF829"/>
      <c r="HG829"/>
      <c r="HH829"/>
      <c r="HI829"/>
      <c r="HJ829"/>
      <c r="HK829"/>
      <c r="HL829"/>
      <c r="HM829"/>
      <c r="HN829"/>
      <c r="HO829"/>
      <c r="HP829"/>
      <c r="HQ829"/>
      <c r="HR829"/>
      <c r="HS829"/>
      <c r="HT829"/>
      <c r="HU829"/>
      <c r="HV829"/>
      <c r="HW829"/>
      <c r="HX829"/>
      <c r="HY829"/>
      <c r="HZ829"/>
      <c r="IA829"/>
      <c r="IB829"/>
      <c r="IC829"/>
      <c r="ID829"/>
      <c r="IE829"/>
      <c r="IF829"/>
      <c r="IG829"/>
      <c r="IH829"/>
      <c r="II829"/>
      <c r="IJ829"/>
      <c r="IK829"/>
      <c r="IL829"/>
      <c r="IM829"/>
      <c r="IN829"/>
      <c r="IO829"/>
      <c r="IP829"/>
      <c r="IQ829"/>
    </row>
    <row r="830" spans="1:251" ht="12.75" customHeight="1" x14ac:dyDescent="0.2">
      <c r="A830" s="742"/>
      <c r="B830" s="1101" t="s">
        <v>2120</v>
      </c>
      <c r="C830" s="874">
        <v>100000</v>
      </c>
      <c r="D830" s="874">
        <v>100000</v>
      </c>
      <c r="E830" s="1163">
        <v>1253.56</v>
      </c>
      <c r="F830" s="1163"/>
      <c r="G830" s="1243">
        <f t="shared" si="293"/>
        <v>1.25356</v>
      </c>
      <c r="H830" s="1248">
        <f t="shared" si="294"/>
        <v>1.25356</v>
      </c>
      <c r="I830" s="1258">
        <v>0</v>
      </c>
      <c r="J830" s="96">
        <v>0</v>
      </c>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c r="EF830"/>
      <c r="EG830"/>
      <c r="EH830"/>
      <c r="EI830"/>
      <c r="EJ830"/>
      <c r="EK830"/>
      <c r="EL830"/>
      <c r="EM830"/>
      <c r="EN830"/>
      <c r="EO830"/>
      <c r="EP830"/>
      <c r="EQ830"/>
      <c r="ER830"/>
      <c r="ES830"/>
      <c r="ET830"/>
      <c r="EU830"/>
      <c r="EV830"/>
      <c r="EW830"/>
      <c r="EX830"/>
      <c r="EY830"/>
      <c r="EZ830"/>
      <c r="FA830"/>
      <c r="FB830"/>
      <c r="FC830"/>
      <c r="FD830"/>
      <c r="FE830"/>
      <c r="FF830"/>
      <c r="FG830"/>
      <c r="FH830"/>
      <c r="FI830"/>
      <c r="FJ830"/>
      <c r="FK830"/>
      <c r="FL830"/>
      <c r="FM830"/>
      <c r="FN830"/>
      <c r="FO830"/>
      <c r="FP830"/>
      <c r="FQ830"/>
      <c r="FR830"/>
      <c r="FS830"/>
      <c r="FT830"/>
      <c r="FU830"/>
      <c r="FV830"/>
      <c r="FW830"/>
      <c r="FX830"/>
      <c r="FY830"/>
      <c r="FZ830"/>
      <c r="GA830"/>
      <c r="GB830"/>
      <c r="GC830"/>
      <c r="GD830"/>
      <c r="GE830"/>
      <c r="GF830"/>
      <c r="GG830"/>
      <c r="GH830"/>
      <c r="GI830"/>
      <c r="GJ830"/>
      <c r="GK830"/>
      <c r="GL830"/>
      <c r="GM830"/>
      <c r="GN830"/>
      <c r="GO830"/>
      <c r="GP830"/>
      <c r="GQ830"/>
      <c r="GR830"/>
      <c r="GS830"/>
      <c r="GT830"/>
      <c r="GU830"/>
      <c r="GV830"/>
      <c r="GW830"/>
      <c r="GX830"/>
      <c r="GY830"/>
      <c r="GZ830"/>
      <c r="HA830"/>
      <c r="HB830"/>
      <c r="HC830"/>
      <c r="HD830"/>
      <c r="HE830"/>
      <c r="HF830"/>
      <c r="HG830"/>
      <c r="HH830"/>
      <c r="HI830"/>
      <c r="HJ830"/>
      <c r="HK830"/>
      <c r="HL830"/>
      <c r="HM830"/>
      <c r="HN830"/>
      <c r="HO830"/>
      <c r="HP830"/>
      <c r="HQ830"/>
      <c r="HR830"/>
      <c r="HS830"/>
      <c r="HT830"/>
      <c r="HU830"/>
      <c r="HV830"/>
      <c r="HW830"/>
      <c r="HX830"/>
      <c r="HY830"/>
      <c r="HZ830"/>
      <c r="IA830"/>
      <c r="IB830"/>
      <c r="IC830"/>
      <c r="ID830"/>
      <c r="IE830"/>
      <c r="IF830"/>
      <c r="IG830"/>
      <c r="IH830"/>
      <c r="II830"/>
      <c r="IJ830"/>
      <c r="IK830"/>
      <c r="IL830"/>
      <c r="IM830"/>
      <c r="IN830"/>
      <c r="IO830"/>
      <c r="IP830"/>
      <c r="IQ830"/>
    </row>
    <row r="831" spans="1:251" ht="12.75" customHeight="1" x14ac:dyDescent="0.2">
      <c r="A831" s="742"/>
      <c r="B831" s="1101" t="s">
        <v>2121</v>
      </c>
      <c r="C831" s="874">
        <v>200000</v>
      </c>
      <c r="D831" s="874">
        <v>200000</v>
      </c>
      <c r="E831" s="1163">
        <v>3187.64</v>
      </c>
      <c r="F831" s="1163"/>
      <c r="G831" s="1243">
        <f t="shared" si="293"/>
        <v>1.59382</v>
      </c>
      <c r="H831" s="1248">
        <f t="shared" si="294"/>
        <v>1.59382</v>
      </c>
      <c r="I831" s="1258">
        <f t="shared" si="291"/>
        <v>7.9690442166904836</v>
      </c>
      <c r="J831" s="96">
        <v>40000.28</v>
      </c>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c r="EF831"/>
      <c r="EG831"/>
      <c r="EH831"/>
      <c r="EI831"/>
      <c r="EJ831"/>
      <c r="EK831"/>
      <c r="EL831"/>
      <c r="EM831"/>
      <c r="EN831"/>
      <c r="EO831"/>
      <c r="EP831"/>
      <c r="EQ831"/>
      <c r="ER831"/>
      <c r="ES831"/>
      <c r="ET831"/>
      <c r="EU831"/>
      <c r="EV831"/>
      <c r="EW831"/>
      <c r="EX831"/>
      <c r="EY831"/>
      <c r="EZ831"/>
      <c r="FA831"/>
      <c r="FB831"/>
      <c r="FC831"/>
      <c r="FD831"/>
      <c r="FE831"/>
      <c r="FF831"/>
      <c r="FG831"/>
      <c r="FH831"/>
      <c r="FI831"/>
      <c r="FJ831"/>
      <c r="FK831"/>
      <c r="FL831"/>
      <c r="FM831"/>
      <c r="FN831"/>
      <c r="FO831"/>
      <c r="FP831"/>
      <c r="FQ831"/>
      <c r="FR831"/>
      <c r="FS831"/>
      <c r="FT831"/>
      <c r="FU831"/>
      <c r="FV831"/>
      <c r="FW831"/>
      <c r="FX831"/>
      <c r="FY831"/>
      <c r="FZ831"/>
      <c r="GA831"/>
      <c r="GB831"/>
      <c r="GC831"/>
      <c r="GD831"/>
      <c r="GE831"/>
      <c r="GF831"/>
      <c r="GG831"/>
      <c r="GH831"/>
      <c r="GI831"/>
      <c r="GJ831"/>
      <c r="GK831"/>
      <c r="GL831"/>
      <c r="GM831"/>
      <c r="GN831"/>
      <c r="GO831"/>
      <c r="GP831"/>
      <c r="GQ831"/>
      <c r="GR831"/>
      <c r="GS831"/>
      <c r="GT831"/>
      <c r="GU831"/>
      <c r="GV831"/>
      <c r="GW831"/>
      <c r="GX831"/>
      <c r="GY831"/>
      <c r="GZ831"/>
      <c r="HA831"/>
      <c r="HB831"/>
      <c r="HC831"/>
      <c r="HD831"/>
      <c r="HE831"/>
      <c r="HF831"/>
      <c r="HG831"/>
      <c r="HH831"/>
      <c r="HI831"/>
      <c r="HJ831"/>
      <c r="HK831"/>
      <c r="HL831"/>
      <c r="HM831"/>
      <c r="HN831"/>
      <c r="HO831"/>
      <c r="HP831"/>
      <c r="HQ831"/>
      <c r="HR831"/>
      <c r="HS831"/>
      <c r="HT831"/>
      <c r="HU831"/>
      <c r="HV831"/>
      <c r="HW831"/>
      <c r="HX831"/>
      <c r="HY831"/>
      <c r="HZ831"/>
      <c r="IA831"/>
      <c r="IB831"/>
      <c r="IC831"/>
      <c r="ID831"/>
      <c r="IE831"/>
      <c r="IF831"/>
      <c r="IG831"/>
      <c r="IH831"/>
      <c r="II831"/>
      <c r="IJ831"/>
      <c r="IK831"/>
      <c r="IL831"/>
      <c r="IM831"/>
      <c r="IN831"/>
      <c r="IO831"/>
      <c r="IP831"/>
      <c r="IQ831"/>
    </row>
    <row r="832" spans="1:251" ht="12.75" customHeight="1" x14ac:dyDescent="0.2">
      <c r="A832" s="742"/>
      <c r="B832" s="1101" t="s">
        <v>2122</v>
      </c>
      <c r="C832" s="983">
        <v>450000</v>
      </c>
      <c r="D832" s="983">
        <v>450000</v>
      </c>
      <c r="E832" s="1163">
        <v>0</v>
      </c>
      <c r="F832" s="1163"/>
      <c r="G832" s="1243">
        <f t="shared" si="293"/>
        <v>0</v>
      </c>
      <c r="H832" s="1248">
        <f t="shared" si="294"/>
        <v>0</v>
      </c>
      <c r="I832" s="1258">
        <v>0</v>
      </c>
      <c r="J832" s="96">
        <v>0</v>
      </c>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c r="EF832"/>
      <c r="EG832"/>
      <c r="EH832"/>
      <c r="EI832"/>
      <c r="EJ832"/>
      <c r="EK832"/>
      <c r="EL832"/>
      <c r="EM832"/>
      <c r="EN832"/>
      <c r="EO832"/>
      <c r="EP832"/>
      <c r="EQ832"/>
      <c r="ER832"/>
      <c r="ES832"/>
      <c r="ET832"/>
      <c r="EU832"/>
      <c r="EV832"/>
      <c r="EW832"/>
      <c r="EX832"/>
      <c r="EY832"/>
      <c r="EZ832"/>
      <c r="FA832"/>
      <c r="FB832"/>
      <c r="FC832"/>
      <c r="FD832"/>
      <c r="FE832"/>
      <c r="FF832"/>
      <c r="FG832"/>
      <c r="FH832"/>
      <c r="FI832"/>
      <c r="FJ832"/>
      <c r="FK832"/>
      <c r="FL832"/>
      <c r="FM832"/>
      <c r="FN832"/>
      <c r="FO832"/>
      <c r="FP832"/>
      <c r="FQ832"/>
      <c r="FR832"/>
      <c r="FS832"/>
      <c r="FT832"/>
      <c r="FU832"/>
      <c r="FV832"/>
      <c r="FW832"/>
      <c r="FX832"/>
      <c r="FY832"/>
      <c r="FZ832"/>
      <c r="GA832"/>
      <c r="GB832"/>
      <c r="GC832"/>
      <c r="GD832"/>
      <c r="GE832"/>
      <c r="GF832"/>
      <c r="GG832"/>
      <c r="GH832"/>
      <c r="GI832"/>
      <c r="GJ832"/>
      <c r="GK832"/>
      <c r="GL832"/>
      <c r="GM832"/>
      <c r="GN832"/>
      <c r="GO832"/>
      <c r="GP832"/>
      <c r="GQ832"/>
      <c r="GR832"/>
      <c r="GS832"/>
      <c r="GT832"/>
      <c r="GU832"/>
      <c r="GV832"/>
      <c r="GW832"/>
      <c r="GX832"/>
      <c r="GY832"/>
      <c r="GZ832"/>
      <c r="HA832"/>
      <c r="HB832"/>
      <c r="HC832"/>
      <c r="HD832"/>
      <c r="HE832"/>
      <c r="HF832"/>
      <c r="HG832"/>
      <c r="HH832"/>
      <c r="HI832"/>
      <c r="HJ832"/>
      <c r="HK832"/>
      <c r="HL832"/>
      <c r="HM832"/>
      <c r="HN832"/>
      <c r="HO832"/>
      <c r="HP832"/>
      <c r="HQ832"/>
      <c r="HR832"/>
      <c r="HS832"/>
      <c r="HT832"/>
      <c r="HU832"/>
      <c r="HV832"/>
      <c r="HW832"/>
      <c r="HX832"/>
      <c r="HY832"/>
      <c r="HZ832"/>
      <c r="IA832"/>
      <c r="IB832"/>
      <c r="IC832"/>
      <c r="ID832"/>
      <c r="IE832"/>
      <c r="IF832"/>
      <c r="IG832"/>
      <c r="IH832"/>
      <c r="II832"/>
      <c r="IJ832"/>
      <c r="IK832"/>
      <c r="IL832"/>
      <c r="IM832"/>
      <c r="IN832"/>
      <c r="IO832"/>
      <c r="IP832"/>
      <c r="IQ832"/>
    </row>
    <row r="833" spans="1:251" ht="12.75" customHeight="1" x14ac:dyDescent="0.2">
      <c r="A833" s="742"/>
      <c r="B833" s="1100" t="s">
        <v>2123</v>
      </c>
      <c r="C833" s="874">
        <v>200000</v>
      </c>
      <c r="D833" s="874">
        <v>200000</v>
      </c>
      <c r="E833" s="735">
        <v>36421</v>
      </c>
      <c r="F833" s="735"/>
      <c r="G833" s="1243">
        <f t="shared" si="293"/>
        <v>18.2105</v>
      </c>
      <c r="H833" s="1248">
        <f t="shared" si="294"/>
        <v>18.2105</v>
      </c>
      <c r="I833" s="1258">
        <v>0</v>
      </c>
      <c r="J833" s="96">
        <v>0</v>
      </c>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c r="EW833"/>
      <c r="EX833"/>
      <c r="EY833"/>
      <c r="EZ833"/>
      <c r="FA833"/>
      <c r="FB833"/>
      <c r="FC833"/>
      <c r="FD833"/>
      <c r="FE833"/>
      <c r="FF833"/>
      <c r="FG833"/>
      <c r="FH833"/>
      <c r="FI833"/>
      <c r="FJ833"/>
      <c r="FK833"/>
      <c r="FL833"/>
      <c r="FM833"/>
      <c r="FN833"/>
      <c r="FO833"/>
      <c r="FP833"/>
      <c r="FQ833"/>
      <c r="FR833"/>
      <c r="FS833"/>
      <c r="FT833"/>
      <c r="FU833"/>
      <c r="FV833"/>
      <c r="FW833"/>
      <c r="FX833"/>
      <c r="FY833"/>
      <c r="FZ833"/>
      <c r="GA833"/>
      <c r="GB833"/>
      <c r="GC833"/>
      <c r="GD833"/>
      <c r="GE833"/>
      <c r="GF833"/>
      <c r="GG833"/>
      <c r="GH833"/>
      <c r="GI833"/>
      <c r="GJ833"/>
      <c r="GK833"/>
      <c r="GL833"/>
      <c r="GM833"/>
      <c r="GN833"/>
      <c r="GO833"/>
      <c r="GP833"/>
      <c r="GQ833"/>
      <c r="GR833"/>
      <c r="GS833"/>
      <c r="GT833"/>
      <c r="GU833"/>
      <c r="GV833"/>
      <c r="GW833"/>
      <c r="GX833"/>
      <c r="GY833"/>
      <c r="GZ833"/>
      <c r="HA833"/>
      <c r="HB833"/>
      <c r="HC833"/>
      <c r="HD833"/>
      <c r="HE833"/>
      <c r="HF833"/>
      <c r="HG833"/>
      <c r="HH833"/>
      <c r="HI833"/>
      <c r="HJ833"/>
      <c r="HK833"/>
      <c r="HL833"/>
      <c r="HM833"/>
      <c r="HN833"/>
      <c r="HO833"/>
      <c r="HP833"/>
      <c r="HQ833"/>
      <c r="HR833"/>
      <c r="HS833"/>
      <c r="HT833"/>
      <c r="HU833"/>
      <c r="HV833"/>
      <c r="HW833"/>
      <c r="HX833"/>
      <c r="HY833"/>
      <c r="HZ833"/>
      <c r="IA833"/>
      <c r="IB833"/>
      <c r="IC833"/>
      <c r="ID833"/>
      <c r="IE833"/>
      <c r="IF833"/>
      <c r="IG833"/>
      <c r="IH833"/>
      <c r="II833"/>
      <c r="IJ833"/>
      <c r="IK833"/>
      <c r="IL833"/>
      <c r="IM833"/>
      <c r="IN833"/>
      <c r="IO833"/>
      <c r="IP833"/>
      <c r="IQ833"/>
    </row>
    <row r="834" spans="1:251" ht="12.75" customHeight="1" x14ac:dyDescent="0.2">
      <c r="A834" s="742"/>
      <c r="B834" s="1107" t="s">
        <v>2124</v>
      </c>
      <c r="C834" s="1097">
        <v>400000</v>
      </c>
      <c r="D834" s="1097">
        <v>400000</v>
      </c>
      <c r="E834" s="1176">
        <v>0</v>
      </c>
      <c r="F834" s="1176"/>
      <c r="G834" s="1243">
        <f t="shared" si="293"/>
        <v>0</v>
      </c>
      <c r="H834" s="1248">
        <f t="shared" si="294"/>
        <v>0</v>
      </c>
      <c r="I834" s="1258">
        <v>0</v>
      </c>
      <c r="J834" s="96">
        <v>0</v>
      </c>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c r="EW834"/>
      <c r="EX834"/>
      <c r="EY834"/>
      <c r="EZ834"/>
      <c r="FA834"/>
      <c r="FB834"/>
      <c r="FC834"/>
      <c r="FD834"/>
      <c r="FE834"/>
      <c r="FF834"/>
      <c r="FG834"/>
      <c r="FH834"/>
      <c r="FI834"/>
      <c r="FJ834"/>
      <c r="FK834"/>
      <c r="FL834"/>
      <c r="FM834"/>
      <c r="FN834"/>
      <c r="FO834"/>
      <c r="FP834"/>
      <c r="FQ834"/>
      <c r="FR834"/>
      <c r="FS834"/>
      <c r="FT834"/>
      <c r="FU834"/>
      <c r="FV834"/>
      <c r="FW834"/>
      <c r="FX834"/>
      <c r="FY834"/>
      <c r="FZ834"/>
      <c r="GA834"/>
      <c r="GB834"/>
      <c r="GC834"/>
      <c r="GD834"/>
      <c r="GE834"/>
      <c r="GF834"/>
      <c r="GG834"/>
      <c r="GH834"/>
      <c r="GI834"/>
      <c r="GJ834"/>
      <c r="GK834"/>
      <c r="GL834"/>
      <c r="GM834"/>
      <c r="GN834"/>
      <c r="GO834"/>
      <c r="GP834"/>
      <c r="GQ834"/>
      <c r="GR834"/>
      <c r="GS834"/>
      <c r="GT834"/>
      <c r="GU834"/>
      <c r="GV834"/>
      <c r="GW834"/>
      <c r="GX834"/>
      <c r="GY834"/>
      <c r="GZ834"/>
      <c r="HA834"/>
      <c r="HB834"/>
      <c r="HC834"/>
      <c r="HD834"/>
      <c r="HE834"/>
      <c r="HF834"/>
      <c r="HG834"/>
      <c r="HH834"/>
      <c r="HI834"/>
      <c r="HJ834"/>
      <c r="HK834"/>
      <c r="HL834"/>
      <c r="HM834"/>
      <c r="HN834"/>
      <c r="HO834"/>
      <c r="HP834"/>
      <c r="HQ834"/>
      <c r="HR834"/>
      <c r="HS834"/>
      <c r="HT834"/>
      <c r="HU834"/>
      <c r="HV834"/>
      <c r="HW834"/>
      <c r="HX834"/>
      <c r="HY834"/>
      <c r="HZ834"/>
      <c r="IA834"/>
      <c r="IB834"/>
      <c r="IC834"/>
      <c r="ID834"/>
      <c r="IE834"/>
      <c r="IF834"/>
      <c r="IG834"/>
      <c r="IH834"/>
      <c r="II834"/>
      <c r="IJ834"/>
      <c r="IK834"/>
      <c r="IL834"/>
      <c r="IM834"/>
      <c r="IN834"/>
      <c r="IO834"/>
      <c r="IP834"/>
      <c r="IQ834"/>
    </row>
    <row r="835" spans="1:251" ht="12.75" customHeight="1" x14ac:dyDescent="0.2">
      <c r="A835" s="739"/>
      <c r="B835" s="1100" t="s">
        <v>2125</v>
      </c>
      <c r="C835" s="874">
        <v>500000</v>
      </c>
      <c r="D835" s="874">
        <v>500000</v>
      </c>
      <c r="E835" s="1367">
        <v>203628.55</v>
      </c>
      <c r="F835" s="1367"/>
      <c r="G835" s="1243">
        <f t="shared" si="293"/>
        <v>40.725709999999999</v>
      </c>
      <c r="H835" s="1248">
        <f t="shared" si="294"/>
        <v>40.725709999999999</v>
      </c>
      <c r="I835" s="1258">
        <v>0</v>
      </c>
      <c r="J835" s="96">
        <v>0</v>
      </c>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c r="EN835"/>
      <c r="EO835"/>
      <c r="EP835"/>
      <c r="EQ835"/>
      <c r="ER835"/>
      <c r="ES835"/>
      <c r="ET835"/>
      <c r="EU835"/>
      <c r="EV835"/>
      <c r="EW835"/>
      <c r="EX835"/>
      <c r="EY835"/>
      <c r="EZ835"/>
      <c r="FA835"/>
      <c r="FB835"/>
      <c r="FC835"/>
      <c r="FD835"/>
      <c r="FE835"/>
      <c r="FF835"/>
      <c r="FG835"/>
      <c r="FH835"/>
      <c r="FI835"/>
      <c r="FJ835"/>
      <c r="FK835"/>
      <c r="FL835"/>
      <c r="FM835"/>
      <c r="FN835"/>
      <c r="FO835"/>
      <c r="FP835"/>
      <c r="FQ835"/>
      <c r="FR835"/>
      <c r="FS835"/>
      <c r="FT835"/>
      <c r="FU835"/>
      <c r="FV835"/>
      <c r="FW835"/>
      <c r="FX835"/>
      <c r="FY835"/>
      <c r="FZ835"/>
      <c r="GA835"/>
      <c r="GB835"/>
      <c r="GC835"/>
      <c r="GD835"/>
      <c r="GE835"/>
      <c r="GF835"/>
      <c r="GG835"/>
      <c r="GH835"/>
      <c r="GI835"/>
      <c r="GJ835"/>
      <c r="GK835"/>
      <c r="GL835"/>
      <c r="GM835"/>
      <c r="GN835"/>
      <c r="GO835"/>
      <c r="GP835"/>
      <c r="GQ835"/>
      <c r="GR835"/>
      <c r="GS835"/>
      <c r="GT835"/>
      <c r="GU835"/>
      <c r="GV835"/>
      <c r="GW835"/>
      <c r="GX835"/>
      <c r="GY835"/>
      <c r="GZ835"/>
      <c r="HA835"/>
      <c r="HB835"/>
      <c r="HC835"/>
      <c r="HD835"/>
      <c r="HE835"/>
      <c r="HF835"/>
      <c r="HG835"/>
      <c r="HH835"/>
      <c r="HI835"/>
      <c r="HJ835"/>
      <c r="HK835"/>
      <c r="HL835"/>
      <c r="HM835"/>
      <c r="HN835"/>
      <c r="HO835"/>
      <c r="HP835"/>
      <c r="HQ835"/>
      <c r="HR835"/>
      <c r="HS835"/>
      <c r="HT835"/>
      <c r="HU835"/>
      <c r="HV835"/>
      <c r="HW835"/>
      <c r="HX835"/>
      <c r="HY835"/>
      <c r="HZ835"/>
      <c r="IA835"/>
      <c r="IB835"/>
      <c r="IC835"/>
      <c r="ID835"/>
      <c r="IE835"/>
      <c r="IF835"/>
      <c r="IG835"/>
      <c r="IH835"/>
      <c r="II835"/>
      <c r="IJ835"/>
      <c r="IK835"/>
      <c r="IL835"/>
      <c r="IM835"/>
      <c r="IN835"/>
      <c r="IO835"/>
      <c r="IP835"/>
      <c r="IQ835"/>
    </row>
    <row r="836" spans="1:251" ht="12.75" customHeight="1" x14ac:dyDescent="0.2">
      <c r="A836" s="739">
        <v>3634</v>
      </c>
      <c r="B836" s="1111" t="s">
        <v>2169</v>
      </c>
      <c r="C836" s="940">
        <f t="shared" ref="C836:D836" si="296">SUM(C837:C841)</f>
        <v>4050000</v>
      </c>
      <c r="D836" s="940">
        <f t="shared" si="296"/>
        <v>4050000</v>
      </c>
      <c r="E836" s="701">
        <v>1736653.71</v>
      </c>
      <c r="F836" s="707">
        <f>SUM(E837:E841)</f>
        <v>1736653.71</v>
      </c>
      <c r="G836" s="825">
        <f t="shared" si="293"/>
        <v>42.880338518518521</v>
      </c>
      <c r="H836" s="1244">
        <f t="shared" si="294"/>
        <v>42.880338518518521</v>
      </c>
      <c r="I836" s="1257">
        <f t="shared" si="291"/>
        <v>310.11939763268327</v>
      </c>
      <c r="J836" s="96">
        <v>559995.18999999994</v>
      </c>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c r="EF836"/>
      <c r="EG836"/>
      <c r="EH836"/>
      <c r="EI836"/>
      <c r="EJ836"/>
      <c r="EK836"/>
      <c r="EL836"/>
      <c r="EM836"/>
      <c r="EN836"/>
      <c r="EO836"/>
      <c r="EP836"/>
      <c r="EQ836"/>
      <c r="ER836"/>
      <c r="ES836"/>
      <c r="ET836"/>
      <c r="EU836"/>
      <c r="EV836"/>
      <c r="EW836"/>
      <c r="EX836"/>
      <c r="EY836"/>
      <c r="EZ836"/>
      <c r="FA836"/>
      <c r="FB836"/>
      <c r="FC836"/>
      <c r="FD836"/>
      <c r="FE836"/>
      <c r="FF836"/>
      <c r="FG836"/>
      <c r="FH836"/>
      <c r="FI836"/>
      <c r="FJ836"/>
      <c r="FK836"/>
      <c r="FL836"/>
      <c r="FM836"/>
      <c r="FN836"/>
      <c r="FO836"/>
      <c r="FP836"/>
      <c r="FQ836"/>
      <c r="FR836"/>
      <c r="FS836"/>
      <c r="FT836"/>
      <c r="FU836"/>
      <c r="FV836"/>
      <c r="FW836"/>
      <c r="FX836"/>
      <c r="FY836"/>
      <c r="FZ836"/>
      <c r="GA836"/>
      <c r="GB836"/>
      <c r="GC836"/>
      <c r="GD836"/>
      <c r="GE836"/>
      <c r="GF836"/>
      <c r="GG836"/>
      <c r="GH836"/>
      <c r="GI836"/>
      <c r="GJ836"/>
      <c r="GK836"/>
      <c r="GL836"/>
      <c r="GM836"/>
      <c r="GN836"/>
      <c r="GO836"/>
      <c r="GP836"/>
      <c r="GQ836"/>
      <c r="GR836"/>
      <c r="GS836"/>
      <c r="GT836"/>
      <c r="GU836"/>
      <c r="GV836"/>
      <c r="GW836"/>
      <c r="GX836"/>
      <c r="GY836"/>
      <c r="GZ836"/>
      <c r="HA836"/>
      <c r="HB836"/>
      <c r="HC836"/>
      <c r="HD836"/>
      <c r="HE836"/>
      <c r="HF836"/>
      <c r="HG836"/>
      <c r="HH836"/>
      <c r="HI836"/>
      <c r="HJ836"/>
      <c r="HK836"/>
      <c r="HL836"/>
      <c r="HM836"/>
      <c r="HN836"/>
      <c r="HO836"/>
      <c r="HP836"/>
      <c r="HQ836"/>
      <c r="HR836"/>
      <c r="HS836"/>
      <c r="HT836"/>
      <c r="HU836"/>
      <c r="HV836"/>
      <c r="HW836"/>
      <c r="HX836"/>
      <c r="HY836"/>
      <c r="HZ836"/>
      <c r="IA836"/>
      <c r="IB836"/>
      <c r="IC836"/>
      <c r="ID836"/>
      <c r="IE836"/>
      <c r="IF836"/>
      <c r="IG836"/>
      <c r="IH836"/>
      <c r="II836"/>
      <c r="IJ836"/>
      <c r="IK836"/>
      <c r="IL836"/>
      <c r="IM836"/>
      <c r="IN836"/>
      <c r="IO836"/>
      <c r="IP836"/>
      <c r="IQ836"/>
    </row>
    <row r="837" spans="1:251" ht="25.5" x14ac:dyDescent="0.2">
      <c r="A837" s="739"/>
      <c r="B837" s="1101" t="s">
        <v>1135</v>
      </c>
      <c r="C837" s="874">
        <v>350000</v>
      </c>
      <c r="D837" s="874">
        <v>350000</v>
      </c>
      <c r="E837" s="1163">
        <v>61400.24</v>
      </c>
      <c r="F837" s="1163"/>
      <c r="G837" s="1243">
        <f t="shared" si="293"/>
        <v>17.542925714285715</v>
      </c>
      <c r="H837" s="1248">
        <f t="shared" si="294"/>
        <v>17.542925714285715</v>
      </c>
      <c r="I837" s="1258">
        <f t="shared" si="291"/>
        <v>114.44552200094724</v>
      </c>
      <c r="J837" s="118">
        <v>53650.19</v>
      </c>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c r="DU837"/>
      <c r="DV837"/>
      <c r="DW837"/>
      <c r="DX837"/>
      <c r="DY837"/>
      <c r="DZ837"/>
      <c r="EA837"/>
      <c r="EB837"/>
      <c r="EC837"/>
      <c r="ED837"/>
      <c r="EE837"/>
      <c r="EF837"/>
      <c r="EG837"/>
      <c r="EH837"/>
      <c r="EI837"/>
      <c r="EJ837"/>
      <c r="EK837"/>
      <c r="EL837"/>
      <c r="EM837"/>
      <c r="EN837"/>
      <c r="EO837"/>
      <c r="EP837"/>
      <c r="EQ837"/>
      <c r="ER837"/>
      <c r="ES837"/>
      <c r="ET837"/>
      <c r="EU837"/>
      <c r="EV837"/>
      <c r="EW837"/>
      <c r="EX837"/>
      <c r="EY837"/>
      <c r="EZ837"/>
      <c r="FA837"/>
      <c r="FB837"/>
      <c r="FC837"/>
      <c r="FD837"/>
      <c r="FE837"/>
      <c r="FF837"/>
      <c r="FG837"/>
      <c r="FH837"/>
      <c r="FI837"/>
      <c r="FJ837"/>
      <c r="FK837"/>
      <c r="FL837"/>
      <c r="FM837"/>
      <c r="FN837"/>
      <c r="FO837"/>
      <c r="FP837"/>
      <c r="FQ837"/>
      <c r="FR837"/>
      <c r="FS837"/>
      <c r="FT837"/>
      <c r="FU837"/>
      <c r="FV837"/>
      <c r="FW837"/>
      <c r="FX837"/>
      <c r="FY837"/>
      <c r="FZ837"/>
      <c r="GA837"/>
      <c r="GB837"/>
      <c r="GC837"/>
      <c r="GD837"/>
      <c r="GE837"/>
      <c r="GF837"/>
      <c r="GG837"/>
      <c r="GH837"/>
      <c r="GI837"/>
      <c r="GJ837"/>
      <c r="GK837"/>
      <c r="GL837"/>
      <c r="GM837"/>
      <c r="GN837"/>
      <c r="GO837"/>
      <c r="GP837"/>
      <c r="GQ837"/>
      <c r="GR837"/>
      <c r="GS837"/>
      <c r="GT837"/>
      <c r="GU837"/>
      <c r="GV837"/>
      <c r="GW837"/>
      <c r="GX837"/>
      <c r="GY837"/>
      <c r="GZ837"/>
      <c r="HA837"/>
      <c r="HB837"/>
      <c r="HC837"/>
      <c r="HD837"/>
      <c r="HE837"/>
      <c r="HF837"/>
      <c r="HG837"/>
      <c r="HH837"/>
      <c r="HI837"/>
      <c r="HJ837"/>
      <c r="HK837"/>
      <c r="HL837"/>
      <c r="HM837"/>
      <c r="HN837"/>
      <c r="HO837"/>
      <c r="HP837"/>
      <c r="HQ837"/>
      <c r="HR837"/>
      <c r="HS837"/>
      <c r="HT837"/>
      <c r="HU837"/>
      <c r="HV837"/>
      <c r="HW837"/>
      <c r="HX837"/>
      <c r="HY837"/>
      <c r="HZ837"/>
      <c r="IA837"/>
      <c r="IB837"/>
      <c r="IC837"/>
      <c r="ID837"/>
      <c r="IE837"/>
      <c r="IF837"/>
      <c r="IG837"/>
      <c r="IH837"/>
      <c r="II837"/>
      <c r="IJ837"/>
      <c r="IK837"/>
      <c r="IL837"/>
      <c r="IM837"/>
      <c r="IN837"/>
      <c r="IO837"/>
      <c r="IP837"/>
      <c r="IQ837"/>
    </row>
    <row r="838" spans="1:251" x14ac:dyDescent="0.2">
      <c r="A838" s="739"/>
      <c r="B838" s="1101" t="s">
        <v>2127</v>
      </c>
      <c r="C838" s="874">
        <v>300000</v>
      </c>
      <c r="D838" s="874">
        <v>300000</v>
      </c>
      <c r="E838" s="707">
        <v>0</v>
      </c>
      <c r="F838" s="707"/>
      <c r="G838" s="1243">
        <f t="shared" si="293"/>
        <v>0</v>
      </c>
      <c r="H838" s="1248">
        <f t="shared" si="294"/>
        <v>0</v>
      </c>
      <c r="I838" s="1258">
        <v>0</v>
      </c>
      <c r="J838" s="96">
        <v>0</v>
      </c>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c r="DU838"/>
      <c r="DV838"/>
      <c r="DW838"/>
      <c r="DX838"/>
      <c r="DY838"/>
      <c r="DZ838"/>
      <c r="EA838"/>
      <c r="EB838"/>
      <c r="EC838"/>
      <c r="ED838"/>
      <c r="EE838"/>
      <c r="EF838"/>
      <c r="EG838"/>
      <c r="EH838"/>
      <c r="EI838"/>
      <c r="EJ838"/>
      <c r="EK838"/>
      <c r="EL838"/>
      <c r="EM838"/>
      <c r="EN838"/>
      <c r="EO838"/>
      <c r="EP838"/>
      <c r="EQ838"/>
      <c r="ER838"/>
      <c r="ES838"/>
      <c r="ET838"/>
      <c r="EU838"/>
      <c r="EV838"/>
      <c r="EW838"/>
      <c r="EX838"/>
      <c r="EY838"/>
      <c r="EZ838"/>
      <c r="FA838"/>
      <c r="FB838"/>
      <c r="FC838"/>
      <c r="FD838"/>
      <c r="FE838"/>
      <c r="FF838"/>
      <c r="FG838"/>
      <c r="FH838"/>
      <c r="FI838"/>
      <c r="FJ838"/>
      <c r="FK838"/>
      <c r="FL838"/>
      <c r="FM838"/>
      <c r="FN838"/>
      <c r="FO838"/>
      <c r="FP838"/>
      <c r="FQ838"/>
      <c r="FR838"/>
      <c r="FS838"/>
      <c r="FT838"/>
      <c r="FU838"/>
      <c r="FV838"/>
      <c r="FW838"/>
      <c r="FX838"/>
      <c r="FY838"/>
      <c r="FZ838"/>
      <c r="GA838"/>
      <c r="GB838"/>
      <c r="GC838"/>
      <c r="GD838"/>
      <c r="GE838"/>
      <c r="GF838"/>
      <c r="GG838"/>
      <c r="GH838"/>
      <c r="GI838"/>
      <c r="GJ838"/>
      <c r="GK838"/>
      <c r="GL838"/>
      <c r="GM838"/>
      <c r="GN838"/>
      <c r="GO838"/>
      <c r="GP838"/>
      <c r="GQ838"/>
      <c r="GR838"/>
      <c r="GS838"/>
      <c r="GT838"/>
      <c r="GU838"/>
      <c r="GV838"/>
      <c r="GW838"/>
      <c r="GX838"/>
      <c r="GY838"/>
      <c r="GZ838"/>
      <c r="HA838"/>
      <c r="HB838"/>
      <c r="HC838"/>
      <c r="HD838"/>
      <c r="HE838"/>
      <c r="HF838"/>
      <c r="HG838"/>
      <c r="HH838"/>
      <c r="HI838"/>
      <c r="HJ838"/>
      <c r="HK838"/>
      <c r="HL838"/>
      <c r="HM838"/>
      <c r="HN838"/>
      <c r="HO838"/>
      <c r="HP838"/>
      <c r="HQ838"/>
      <c r="HR838"/>
      <c r="HS838"/>
      <c r="HT838"/>
      <c r="HU838"/>
      <c r="HV838"/>
      <c r="HW838"/>
      <c r="HX838"/>
      <c r="HY838"/>
      <c r="HZ838"/>
      <c r="IA838"/>
      <c r="IB838"/>
      <c r="IC838"/>
      <c r="ID838"/>
      <c r="IE838"/>
      <c r="IF838"/>
      <c r="IG838"/>
      <c r="IH838"/>
      <c r="II838"/>
      <c r="IJ838"/>
      <c r="IK838"/>
      <c r="IL838"/>
      <c r="IM838"/>
      <c r="IN838"/>
      <c r="IO838"/>
      <c r="IP838"/>
      <c r="IQ838"/>
    </row>
    <row r="839" spans="1:251" ht="25.5" x14ac:dyDescent="0.2">
      <c r="A839" s="879"/>
      <c r="B839" s="1112" t="s">
        <v>1462</v>
      </c>
      <c r="C839" s="960">
        <v>900000</v>
      </c>
      <c r="D839" s="960">
        <v>900000</v>
      </c>
      <c r="E839" s="701">
        <v>763548.72</v>
      </c>
      <c r="F839" s="707"/>
      <c r="G839" s="825">
        <f t="shared" si="293"/>
        <v>84.838746666666665</v>
      </c>
      <c r="H839" s="1244">
        <f t="shared" si="294"/>
        <v>84.838746666666665</v>
      </c>
      <c r="I839" s="1257">
        <v>0</v>
      </c>
      <c r="J839" s="118">
        <v>0</v>
      </c>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c r="DT839"/>
      <c r="DU839"/>
      <c r="DV839"/>
      <c r="DW839"/>
      <c r="DX839"/>
      <c r="DY839"/>
      <c r="DZ839"/>
      <c r="EA839"/>
      <c r="EB839"/>
      <c r="EC839"/>
      <c r="ED839"/>
      <c r="EE839"/>
      <c r="EF839"/>
      <c r="EG839"/>
      <c r="EH839"/>
      <c r="EI839"/>
      <c r="EJ839"/>
      <c r="EK839"/>
      <c r="EL839"/>
      <c r="EM839"/>
      <c r="EN839"/>
      <c r="EO839"/>
      <c r="EP839"/>
      <c r="EQ839"/>
      <c r="ER839"/>
      <c r="ES839"/>
      <c r="ET839"/>
      <c r="EU839"/>
      <c r="EV839"/>
      <c r="EW839"/>
      <c r="EX839"/>
      <c r="EY839"/>
      <c r="EZ839"/>
      <c r="FA839"/>
      <c r="FB839"/>
      <c r="FC839"/>
      <c r="FD839"/>
      <c r="FE839"/>
      <c r="FF839"/>
      <c r="FG839"/>
      <c r="FH839"/>
      <c r="FI839"/>
      <c r="FJ839"/>
      <c r="FK839"/>
      <c r="FL839"/>
      <c r="FM839"/>
      <c r="FN839"/>
      <c r="FO839"/>
      <c r="FP839"/>
      <c r="FQ839"/>
      <c r="FR839"/>
      <c r="FS839"/>
      <c r="FT839"/>
      <c r="FU839"/>
      <c r="FV839"/>
      <c r="FW839"/>
      <c r="FX839"/>
      <c r="FY839"/>
      <c r="FZ839"/>
      <c r="GA839"/>
      <c r="GB839"/>
      <c r="GC839"/>
      <c r="GD839"/>
      <c r="GE839"/>
      <c r="GF839"/>
      <c r="GG839"/>
      <c r="GH839"/>
      <c r="GI839"/>
      <c r="GJ839"/>
      <c r="GK839"/>
      <c r="GL839"/>
      <c r="GM839"/>
      <c r="GN839"/>
      <c r="GO839"/>
      <c r="GP839"/>
      <c r="GQ839"/>
      <c r="GR839"/>
      <c r="GS839"/>
      <c r="GT839"/>
      <c r="GU839"/>
      <c r="GV839"/>
      <c r="GW839"/>
      <c r="GX839"/>
      <c r="GY839"/>
      <c r="GZ839"/>
      <c r="HA839"/>
      <c r="HB839"/>
      <c r="HC839"/>
      <c r="HD839"/>
      <c r="HE839"/>
      <c r="HF839"/>
      <c r="HG839"/>
      <c r="HH839"/>
      <c r="HI839"/>
      <c r="HJ839"/>
      <c r="HK839"/>
      <c r="HL839"/>
      <c r="HM839"/>
      <c r="HN839"/>
      <c r="HO839"/>
      <c r="HP839"/>
      <c r="HQ839"/>
      <c r="HR839"/>
      <c r="HS839"/>
      <c r="HT839"/>
      <c r="HU839"/>
      <c r="HV839"/>
      <c r="HW839"/>
      <c r="HX839"/>
      <c r="HY839"/>
      <c r="HZ839"/>
      <c r="IA839"/>
      <c r="IB839"/>
      <c r="IC839"/>
      <c r="ID839"/>
      <c r="IE839"/>
      <c r="IF839"/>
      <c r="IG839"/>
      <c r="IH839"/>
      <c r="II839"/>
      <c r="IJ839"/>
      <c r="IK839"/>
      <c r="IL839"/>
      <c r="IM839"/>
      <c r="IN839"/>
      <c r="IO839"/>
      <c r="IP839"/>
      <c r="IQ839"/>
    </row>
    <row r="840" spans="1:251" ht="63.75" x14ac:dyDescent="0.2">
      <c r="A840" s="880"/>
      <c r="B840" s="1113" t="s">
        <v>1739</v>
      </c>
      <c r="C840" s="959">
        <v>2200000</v>
      </c>
      <c r="D840" s="959">
        <v>2200000</v>
      </c>
      <c r="E840" s="707">
        <v>911704.75</v>
      </c>
      <c r="F840" s="707"/>
      <c r="G840" s="1243">
        <f t="shared" si="293"/>
        <v>41.441125</v>
      </c>
      <c r="H840" s="1248">
        <f t="shared" si="294"/>
        <v>41.441125</v>
      </c>
      <c r="I840" s="1258">
        <v>0</v>
      </c>
      <c r="J840" s="118">
        <v>0</v>
      </c>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c r="DU840"/>
      <c r="DV840"/>
      <c r="DW840"/>
      <c r="DX840"/>
      <c r="DY840"/>
      <c r="DZ840"/>
      <c r="EA840"/>
      <c r="EB840"/>
      <c r="EC840"/>
      <c r="ED840"/>
      <c r="EE840"/>
      <c r="EF840"/>
      <c r="EG840"/>
      <c r="EH840"/>
      <c r="EI840"/>
      <c r="EJ840"/>
      <c r="EK840"/>
      <c r="EL840"/>
      <c r="EM840"/>
      <c r="EN840"/>
      <c r="EO840"/>
      <c r="EP840"/>
      <c r="EQ840"/>
      <c r="ER840"/>
      <c r="ES840"/>
      <c r="ET840"/>
      <c r="EU840"/>
      <c r="EV840"/>
      <c r="EW840"/>
      <c r="EX840"/>
      <c r="EY840"/>
      <c r="EZ840"/>
      <c r="FA840"/>
      <c r="FB840"/>
      <c r="FC840"/>
      <c r="FD840"/>
      <c r="FE840"/>
      <c r="FF840"/>
      <c r="FG840"/>
      <c r="FH840"/>
      <c r="FI840"/>
      <c r="FJ840"/>
      <c r="FK840"/>
      <c r="FL840"/>
      <c r="FM840"/>
      <c r="FN840"/>
      <c r="FO840"/>
      <c r="FP840"/>
      <c r="FQ840"/>
      <c r="FR840"/>
      <c r="FS840"/>
      <c r="FT840"/>
      <c r="FU840"/>
      <c r="FV840"/>
      <c r="FW840"/>
      <c r="FX840"/>
      <c r="FY840"/>
      <c r="FZ840"/>
      <c r="GA840"/>
      <c r="GB840"/>
      <c r="GC840"/>
      <c r="GD840"/>
      <c r="GE840"/>
      <c r="GF840"/>
      <c r="GG840"/>
      <c r="GH840"/>
      <c r="GI840"/>
      <c r="GJ840"/>
      <c r="GK840"/>
      <c r="GL840"/>
      <c r="GM840"/>
      <c r="GN840"/>
      <c r="GO840"/>
      <c r="GP840"/>
      <c r="GQ840"/>
      <c r="GR840"/>
      <c r="GS840"/>
      <c r="GT840"/>
      <c r="GU840"/>
      <c r="GV840"/>
      <c r="GW840"/>
      <c r="GX840"/>
      <c r="GY840"/>
      <c r="GZ840"/>
      <c r="HA840"/>
      <c r="HB840"/>
      <c r="HC840"/>
      <c r="HD840"/>
      <c r="HE840"/>
      <c r="HF840"/>
      <c r="HG840"/>
      <c r="HH840"/>
      <c r="HI840"/>
      <c r="HJ840"/>
      <c r="HK840"/>
      <c r="HL840"/>
      <c r="HM840"/>
      <c r="HN840"/>
      <c r="HO840"/>
      <c r="HP840"/>
      <c r="HQ840"/>
      <c r="HR840"/>
      <c r="HS840"/>
      <c r="HT840"/>
      <c r="HU840"/>
      <c r="HV840"/>
      <c r="HW840"/>
      <c r="HX840"/>
      <c r="HY840"/>
      <c r="HZ840"/>
      <c r="IA840"/>
      <c r="IB840"/>
      <c r="IC840"/>
      <c r="ID840"/>
      <c r="IE840"/>
      <c r="IF840"/>
      <c r="IG840"/>
      <c r="IH840"/>
      <c r="II840"/>
      <c r="IJ840"/>
      <c r="IK840"/>
      <c r="IL840"/>
      <c r="IM840"/>
      <c r="IN840"/>
      <c r="IO840"/>
      <c r="IP840"/>
      <c r="IQ840"/>
    </row>
    <row r="841" spans="1:251" ht="13.5" customHeight="1" x14ac:dyDescent="0.2">
      <c r="A841" s="878"/>
      <c r="B841" s="1094" t="s">
        <v>951</v>
      </c>
      <c r="C841" s="1086">
        <f>SUM(C842:C842)</f>
        <v>300000</v>
      </c>
      <c r="D841" s="1086">
        <f>SUM(D842:D842)</f>
        <v>300000</v>
      </c>
      <c r="E841" s="1367">
        <v>0</v>
      </c>
      <c r="F841" s="1367"/>
      <c r="G841" s="1364">
        <f t="shared" si="293"/>
        <v>0</v>
      </c>
      <c r="H841" s="1365">
        <f t="shared" si="294"/>
        <v>0</v>
      </c>
      <c r="I841" s="1366">
        <f t="shared" si="291"/>
        <v>0</v>
      </c>
      <c r="J841" s="96">
        <v>506345</v>
      </c>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c r="DU841"/>
      <c r="DV841"/>
      <c r="DW841"/>
      <c r="DX841"/>
      <c r="DY841"/>
      <c r="DZ841"/>
      <c r="EA841"/>
      <c r="EB841"/>
      <c r="EC841"/>
      <c r="ED841"/>
      <c r="EE841"/>
      <c r="EF841"/>
      <c r="EG841"/>
      <c r="EH841"/>
      <c r="EI841"/>
      <c r="EJ841"/>
      <c r="EK841"/>
      <c r="EL841"/>
      <c r="EM841"/>
      <c r="EN841"/>
      <c r="EO841"/>
      <c r="EP841"/>
      <c r="EQ841"/>
      <c r="ER841"/>
      <c r="ES841"/>
      <c r="ET841"/>
      <c r="EU841"/>
      <c r="EV841"/>
      <c r="EW841"/>
      <c r="EX841"/>
      <c r="EY841"/>
      <c r="EZ841"/>
      <c r="FA841"/>
      <c r="FB841"/>
      <c r="FC841"/>
      <c r="FD841"/>
      <c r="FE841"/>
      <c r="FF841"/>
      <c r="FG841"/>
      <c r="FH841"/>
      <c r="FI841"/>
      <c r="FJ841"/>
      <c r="FK841"/>
      <c r="FL841"/>
      <c r="FM841"/>
      <c r="FN841"/>
      <c r="FO841"/>
      <c r="FP841"/>
      <c r="FQ841"/>
      <c r="FR841"/>
      <c r="FS841"/>
      <c r="FT841"/>
      <c r="FU841"/>
      <c r="FV841"/>
      <c r="FW841"/>
      <c r="FX841"/>
      <c r="FY841"/>
      <c r="FZ841"/>
      <c r="GA841"/>
      <c r="GB841"/>
      <c r="GC841"/>
      <c r="GD841"/>
      <c r="GE841"/>
      <c r="GF841"/>
      <c r="GG841"/>
      <c r="GH841"/>
      <c r="GI841"/>
      <c r="GJ841"/>
      <c r="GK841"/>
      <c r="GL841"/>
      <c r="GM841"/>
      <c r="GN841"/>
      <c r="GO841"/>
      <c r="GP841"/>
      <c r="GQ841"/>
      <c r="GR841"/>
      <c r="GS841"/>
      <c r="GT841"/>
      <c r="GU841"/>
      <c r="GV841"/>
      <c r="GW841"/>
      <c r="GX841"/>
      <c r="GY841"/>
      <c r="GZ841"/>
      <c r="HA841"/>
      <c r="HB841"/>
      <c r="HC841"/>
      <c r="HD841"/>
      <c r="HE841"/>
      <c r="HF841"/>
      <c r="HG841"/>
      <c r="HH841"/>
      <c r="HI841"/>
      <c r="HJ841"/>
      <c r="HK841"/>
      <c r="HL841"/>
      <c r="HM841"/>
      <c r="HN841"/>
      <c r="HO841"/>
      <c r="HP841"/>
      <c r="HQ841"/>
      <c r="HR841"/>
      <c r="HS841"/>
      <c r="HT841"/>
      <c r="HU841"/>
      <c r="HV841"/>
      <c r="HW841"/>
      <c r="HX841"/>
      <c r="HY841"/>
      <c r="HZ841"/>
      <c r="IA841"/>
      <c r="IB841"/>
      <c r="IC841"/>
      <c r="ID841"/>
      <c r="IE841"/>
      <c r="IF841"/>
      <c r="IG841"/>
      <c r="IH841"/>
      <c r="II841"/>
      <c r="IJ841"/>
      <c r="IK841"/>
      <c r="IL841"/>
      <c r="IM841"/>
      <c r="IN841"/>
      <c r="IO841"/>
      <c r="IP841"/>
      <c r="IQ841"/>
    </row>
    <row r="842" spans="1:251" ht="13.5" customHeight="1" x14ac:dyDescent="0.2">
      <c r="A842" s="726"/>
      <c r="B842" s="1114" t="s">
        <v>1740</v>
      </c>
      <c r="C842" s="983">
        <v>300000</v>
      </c>
      <c r="D842" s="983">
        <v>300000</v>
      </c>
      <c r="E842" s="707">
        <v>0</v>
      </c>
      <c r="F842" s="707"/>
      <c r="G842" s="1243">
        <f t="shared" si="293"/>
        <v>0</v>
      </c>
      <c r="H842" s="1248">
        <f t="shared" si="294"/>
        <v>0</v>
      </c>
      <c r="I842" s="1258">
        <v>0</v>
      </c>
      <c r="J842" s="96">
        <v>0</v>
      </c>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c r="DU842"/>
      <c r="DV842"/>
      <c r="DW842"/>
      <c r="DX842"/>
      <c r="DY842"/>
      <c r="DZ842"/>
      <c r="EA842"/>
      <c r="EB842"/>
      <c r="EC842"/>
      <c r="ED842"/>
      <c r="EE842"/>
      <c r="EF842"/>
      <c r="EG842"/>
      <c r="EH842"/>
      <c r="EI842"/>
      <c r="EJ842"/>
      <c r="EK842"/>
      <c r="EL842"/>
      <c r="EM842"/>
      <c r="EN842"/>
      <c r="EO842"/>
      <c r="EP842"/>
      <c r="EQ842"/>
      <c r="ER842"/>
      <c r="ES842"/>
      <c r="ET842"/>
      <c r="EU842"/>
      <c r="EV842"/>
      <c r="EW842"/>
      <c r="EX842"/>
      <c r="EY842"/>
      <c r="EZ842"/>
      <c r="FA842"/>
      <c r="FB842"/>
      <c r="FC842"/>
      <c r="FD842"/>
      <c r="FE842"/>
      <c r="FF842"/>
      <c r="FG842"/>
      <c r="FH842"/>
      <c r="FI842"/>
      <c r="FJ842"/>
      <c r="FK842"/>
      <c r="FL842"/>
      <c r="FM842"/>
      <c r="FN842"/>
      <c r="FO842"/>
      <c r="FP842"/>
      <c r="FQ842"/>
      <c r="FR842"/>
      <c r="FS842"/>
      <c r="FT842"/>
      <c r="FU842"/>
      <c r="FV842"/>
      <c r="FW842"/>
      <c r="FX842"/>
      <c r="FY842"/>
      <c r="FZ842"/>
      <c r="GA842"/>
      <c r="GB842"/>
      <c r="GC842"/>
      <c r="GD842"/>
      <c r="GE842"/>
      <c r="GF842"/>
      <c r="GG842"/>
      <c r="GH842"/>
      <c r="GI842"/>
      <c r="GJ842"/>
      <c r="GK842"/>
      <c r="GL842"/>
      <c r="GM842"/>
      <c r="GN842"/>
      <c r="GO842"/>
      <c r="GP842"/>
      <c r="GQ842"/>
      <c r="GR842"/>
      <c r="GS842"/>
      <c r="GT842"/>
      <c r="GU842"/>
      <c r="GV842"/>
      <c r="GW842"/>
      <c r="GX842"/>
      <c r="GY842"/>
      <c r="GZ842"/>
      <c r="HA842"/>
      <c r="HB842"/>
      <c r="HC842"/>
      <c r="HD842"/>
      <c r="HE842"/>
      <c r="HF842"/>
      <c r="HG842"/>
      <c r="HH842"/>
      <c r="HI842"/>
      <c r="HJ842"/>
      <c r="HK842"/>
      <c r="HL842"/>
      <c r="HM842"/>
      <c r="HN842"/>
      <c r="HO842"/>
      <c r="HP842"/>
      <c r="HQ842"/>
      <c r="HR842"/>
      <c r="HS842"/>
      <c r="HT842"/>
      <c r="HU842"/>
      <c r="HV842"/>
      <c r="HW842"/>
      <c r="HX842"/>
      <c r="HY842"/>
      <c r="HZ842"/>
      <c r="IA842"/>
      <c r="IB842"/>
      <c r="IC842"/>
      <c r="ID842"/>
      <c r="IE842"/>
      <c r="IF842"/>
      <c r="IG842"/>
      <c r="IH842"/>
      <c r="II842"/>
      <c r="IJ842"/>
      <c r="IK842"/>
      <c r="IL842"/>
      <c r="IM842"/>
      <c r="IN842"/>
      <c r="IO842"/>
      <c r="IP842"/>
      <c r="IQ842"/>
    </row>
    <row r="843" spans="1:251" s="607" customFormat="1" ht="13.5" customHeight="1" x14ac:dyDescent="0.2">
      <c r="A843" s="739">
        <v>4351</v>
      </c>
      <c r="B843" s="1115" t="s">
        <v>2170</v>
      </c>
      <c r="C843" s="862">
        <v>15000</v>
      </c>
      <c r="D843" s="862">
        <v>15000</v>
      </c>
      <c r="E843" s="701">
        <v>-4738.21</v>
      </c>
      <c r="F843" s="707"/>
      <c r="G843" s="825">
        <f t="shared" si="293"/>
        <v>-31.588066666666663</v>
      </c>
      <c r="H843" s="1244">
        <f t="shared" si="294"/>
        <v>-31.588066666666663</v>
      </c>
      <c r="I843" s="1257">
        <f t="shared" si="291"/>
        <v>-47.189002601355256</v>
      </c>
      <c r="J843" s="96">
        <v>10040.92</v>
      </c>
    </row>
    <row r="844" spans="1:251" s="607" customFormat="1" ht="13.5" customHeight="1" x14ac:dyDescent="0.2">
      <c r="A844" s="739">
        <v>4374</v>
      </c>
      <c r="B844" s="1115" t="s">
        <v>2126</v>
      </c>
      <c r="C844" s="862">
        <f>SUM(C845:C846)</f>
        <v>940000</v>
      </c>
      <c r="D844" s="862">
        <f>SUM(D845:D846)</f>
        <v>940000</v>
      </c>
      <c r="E844" s="701">
        <v>61704.45</v>
      </c>
      <c r="F844" s="707">
        <f>SUM(E845:E846)</f>
        <v>61704.45</v>
      </c>
      <c r="G844" s="825">
        <f t="shared" si="293"/>
        <v>6.564303191489361</v>
      </c>
      <c r="H844" s="1244">
        <f t="shared" si="294"/>
        <v>6.564303191489361</v>
      </c>
      <c r="I844" s="1257">
        <f t="shared" si="291"/>
        <v>23.757941058142425</v>
      </c>
      <c r="J844" s="96">
        <v>259721.37</v>
      </c>
    </row>
    <row r="845" spans="1:251" s="607" customFormat="1" ht="12.75" customHeight="1" x14ac:dyDescent="0.2">
      <c r="A845" s="726"/>
      <c r="B845" s="1114" t="s">
        <v>1464</v>
      </c>
      <c r="C845" s="874">
        <v>800000</v>
      </c>
      <c r="D845" s="874">
        <v>800000</v>
      </c>
      <c r="E845" s="707">
        <v>56440.45</v>
      </c>
      <c r="F845" s="707"/>
      <c r="G845" s="1243">
        <f t="shared" si="293"/>
        <v>7.0550562499999998</v>
      </c>
      <c r="H845" s="1248">
        <f t="shared" si="294"/>
        <v>7.0550562499999998</v>
      </c>
      <c r="I845" s="1258">
        <f t="shared" si="291"/>
        <v>21.73115365901543</v>
      </c>
      <c r="J845" s="96">
        <v>259721.37</v>
      </c>
    </row>
    <row r="846" spans="1:251" ht="13.5" customHeight="1" x14ac:dyDescent="0.2">
      <c r="A846" s="739"/>
      <c r="B846" s="1057" t="s">
        <v>1136</v>
      </c>
      <c r="C846" s="983">
        <v>140000</v>
      </c>
      <c r="D846" s="983">
        <v>140000</v>
      </c>
      <c r="E846" s="735">
        <v>5264</v>
      </c>
      <c r="F846" s="735"/>
      <c r="G846" s="1243">
        <f t="shared" si="293"/>
        <v>3.7600000000000002</v>
      </c>
      <c r="H846" s="1248">
        <f t="shared" si="294"/>
        <v>3.7600000000000002</v>
      </c>
      <c r="I846" s="1258">
        <v>0</v>
      </c>
      <c r="J846" s="96">
        <v>0</v>
      </c>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c r="EF846"/>
      <c r="EG846"/>
      <c r="EH846"/>
      <c r="EI846"/>
      <c r="EJ846"/>
      <c r="EK846"/>
      <c r="EL846"/>
      <c r="EM846"/>
      <c r="EN846"/>
      <c r="EO846"/>
      <c r="EP846"/>
      <c r="EQ846"/>
      <c r="ER846"/>
      <c r="ES846"/>
      <c r="ET846"/>
      <c r="EU846"/>
      <c r="EV846"/>
      <c r="EW846"/>
      <c r="EX846"/>
      <c r="EY846"/>
      <c r="EZ846"/>
      <c r="FA846"/>
      <c r="FB846"/>
      <c r="FC846"/>
      <c r="FD846"/>
      <c r="FE846"/>
      <c r="FF846"/>
      <c r="FG846"/>
      <c r="FH846"/>
      <c r="FI846"/>
      <c r="FJ846"/>
      <c r="FK846"/>
      <c r="FL846"/>
      <c r="FM846"/>
      <c r="FN846"/>
      <c r="FO846"/>
      <c r="FP846"/>
      <c r="FQ846"/>
      <c r="FR846"/>
      <c r="FS846"/>
      <c r="FT846"/>
      <c r="FU846"/>
      <c r="FV846"/>
      <c r="FW846"/>
      <c r="FX846"/>
      <c r="FY846"/>
      <c r="FZ846"/>
      <c r="GA846"/>
      <c r="GB846"/>
      <c r="GC846"/>
      <c r="GD846"/>
      <c r="GE846"/>
      <c r="GF846"/>
      <c r="GG846"/>
      <c r="GH846"/>
      <c r="GI846"/>
      <c r="GJ846"/>
      <c r="GK846"/>
      <c r="GL846"/>
      <c r="GM846"/>
      <c r="GN846"/>
      <c r="GO846"/>
      <c r="GP846"/>
      <c r="GQ846"/>
      <c r="GR846"/>
      <c r="GS846"/>
      <c r="GT846"/>
      <c r="GU846"/>
      <c r="GV846"/>
      <c r="GW846"/>
      <c r="GX846"/>
      <c r="GY846"/>
      <c r="GZ846"/>
      <c r="HA846"/>
      <c r="HB846"/>
      <c r="HC846"/>
      <c r="HD846"/>
      <c r="HE846"/>
      <c r="HF846"/>
      <c r="HG846"/>
      <c r="HH846"/>
      <c r="HI846"/>
      <c r="HJ846"/>
      <c r="HK846"/>
      <c r="HL846"/>
      <c r="HM846"/>
      <c r="HN846"/>
      <c r="HO846"/>
      <c r="HP846"/>
      <c r="HQ846"/>
      <c r="HR846"/>
      <c r="HS846"/>
      <c r="HT846"/>
      <c r="HU846"/>
      <c r="HV846"/>
      <c r="HW846"/>
      <c r="HX846"/>
      <c r="HY846"/>
      <c r="HZ846"/>
      <c r="IA846"/>
      <c r="IB846"/>
      <c r="IC846"/>
      <c r="ID846"/>
      <c r="IE846"/>
      <c r="IF846"/>
      <c r="IG846"/>
      <c r="IH846"/>
      <c r="II846"/>
      <c r="IJ846"/>
      <c r="IK846"/>
      <c r="IL846"/>
      <c r="IM846"/>
      <c r="IN846"/>
      <c r="IO846"/>
      <c r="IP846"/>
      <c r="IQ846"/>
    </row>
    <row r="847" spans="1:251" ht="13.5" customHeight="1" x14ac:dyDescent="0.2">
      <c r="A847" s="739">
        <v>6171</v>
      </c>
      <c r="B847" s="1116" t="s">
        <v>975</v>
      </c>
      <c r="C847" s="940">
        <f>SUM(C848:C852)</f>
        <v>1530000</v>
      </c>
      <c r="D847" s="940">
        <f>SUM(D848:D852)</f>
        <v>1530000</v>
      </c>
      <c r="E847" s="701">
        <v>162276</v>
      </c>
      <c r="F847" s="707">
        <f>SUM(E848:E852)</f>
        <v>162276</v>
      </c>
      <c r="G847" s="825">
        <f t="shared" si="293"/>
        <v>10.606274509803921</v>
      </c>
      <c r="H847" s="1244">
        <f t="shared" si="294"/>
        <v>10.606274509803921</v>
      </c>
      <c r="I847" s="1257">
        <f t="shared" si="291"/>
        <v>135.67887093133115</v>
      </c>
      <c r="J847" s="96">
        <v>119603</v>
      </c>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c r="EX847"/>
      <c r="EY847"/>
      <c r="EZ847"/>
      <c r="FA847"/>
      <c r="FB847"/>
      <c r="FC847"/>
      <c r="FD847"/>
      <c r="FE847"/>
      <c r="FF847"/>
      <c r="FG847"/>
      <c r="FH847"/>
      <c r="FI847"/>
      <c r="FJ847"/>
      <c r="FK847"/>
      <c r="FL847"/>
      <c r="FM847"/>
      <c r="FN847"/>
      <c r="FO847"/>
      <c r="FP847"/>
      <c r="FQ847"/>
      <c r="FR847"/>
      <c r="FS847"/>
      <c r="FT847"/>
      <c r="FU847"/>
      <c r="FV847"/>
      <c r="FW847"/>
      <c r="FX847"/>
      <c r="FY847"/>
      <c r="FZ847"/>
      <c r="GA847"/>
      <c r="GB847"/>
      <c r="GC847"/>
      <c r="GD847"/>
      <c r="GE847"/>
      <c r="GF847"/>
      <c r="GG847"/>
      <c r="GH847"/>
      <c r="GI847"/>
      <c r="GJ847"/>
      <c r="GK847"/>
      <c r="GL847"/>
      <c r="GM847"/>
      <c r="GN847"/>
      <c r="GO847"/>
      <c r="GP847"/>
      <c r="GQ847"/>
      <c r="GR847"/>
      <c r="GS847"/>
      <c r="GT847"/>
      <c r="GU847"/>
      <c r="GV847"/>
      <c r="GW847"/>
      <c r="GX847"/>
      <c r="GY847"/>
      <c r="GZ847"/>
      <c r="HA847"/>
      <c r="HB847"/>
      <c r="HC847"/>
      <c r="HD847"/>
      <c r="HE847"/>
      <c r="HF847"/>
      <c r="HG847"/>
      <c r="HH847"/>
      <c r="HI847"/>
      <c r="HJ847"/>
      <c r="HK847"/>
      <c r="HL847"/>
      <c r="HM847"/>
      <c r="HN847"/>
      <c r="HO847"/>
      <c r="HP847"/>
      <c r="HQ847"/>
      <c r="HR847"/>
      <c r="HS847"/>
      <c r="HT847"/>
      <c r="HU847"/>
      <c r="HV847"/>
      <c r="HW847"/>
      <c r="HX847"/>
      <c r="HY847"/>
      <c r="HZ847"/>
      <c r="IA847"/>
      <c r="IB847"/>
      <c r="IC847"/>
      <c r="ID847"/>
      <c r="IE847"/>
      <c r="IF847"/>
      <c r="IG847"/>
      <c r="IH847"/>
      <c r="II847"/>
      <c r="IJ847"/>
      <c r="IK847"/>
      <c r="IL847"/>
      <c r="IM847"/>
      <c r="IN847"/>
      <c r="IO847"/>
      <c r="IP847"/>
      <c r="IQ847"/>
    </row>
    <row r="848" spans="1:251" s="607" customFormat="1" ht="12.75" customHeight="1" x14ac:dyDescent="0.2">
      <c r="A848" s="881"/>
      <c r="B848" s="1109" t="s">
        <v>1465</v>
      </c>
      <c r="C848" s="1117">
        <v>300000</v>
      </c>
      <c r="D848" s="1117">
        <v>300000</v>
      </c>
      <c r="E848" s="707">
        <v>104196</v>
      </c>
      <c r="F848" s="707"/>
      <c r="G848" s="1243">
        <f t="shared" si="293"/>
        <v>34.731999999999999</v>
      </c>
      <c r="H848" s="1248">
        <f t="shared" si="294"/>
        <v>34.731999999999999</v>
      </c>
      <c r="I848" s="1258">
        <f t="shared" si="291"/>
        <v>169.69479821504186</v>
      </c>
      <c r="J848" s="96">
        <v>61402</v>
      </c>
    </row>
    <row r="849" spans="1:250" s="607" customFormat="1" ht="13.5" customHeight="1" x14ac:dyDescent="0.2">
      <c r="A849" s="743"/>
      <c r="B849" s="1118" t="s">
        <v>1714</v>
      </c>
      <c r="C849" s="983">
        <v>180000</v>
      </c>
      <c r="D849" s="983">
        <v>180000</v>
      </c>
      <c r="E849" s="707">
        <v>58080</v>
      </c>
      <c r="F849" s="707"/>
      <c r="G849" s="1243">
        <f t="shared" si="293"/>
        <v>32.266666666666666</v>
      </c>
      <c r="H849" s="1248">
        <f t="shared" si="294"/>
        <v>32.266666666666666</v>
      </c>
      <c r="I849" s="1258">
        <f t="shared" ref="I849" si="297">E849/J849*100</f>
        <v>99.792099792099805</v>
      </c>
      <c r="J849" s="96">
        <v>58201</v>
      </c>
    </row>
    <row r="850" spans="1:250" s="607" customFormat="1" ht="13.5" customHeight="1" x14ac:dyDescent="0.2">
      <c r="A850" s="726"/>
      <c r="B850" s="1057" t="s">
        <v>1088</v>
      </c>
      <c r="C850" s="983">
        <v>500000</v>
      </c>
      <c r="D850" s="983">
        <v>500000</v>
      </c>
      <c r="E850" s="707">
        <v>0</v>
      </c>
      <c r="F850" s="707"/>
      <c r="G850" s="1243">
        <f t="shared" si="293"/>
        <v>0</v>
      </c>
      <c r="H850" s="1248">
        <f t="shared" si="294"/>
        <v>0</v>
      </c>
      <c r="I850" s="1258">
        <v>0</v>
      </c>
      <c r="J850" s="96">
        <v>0</v>
      </c>
    </row>
    <row r="851" spans="1:250" s="607" customFormat="1" ht="13.5" customHeight="1" x14ac:dyDescent="0.2">
      <c r="A851" s="743"/>
      <c r="B851" s="1119" t="s">
        <v>1466</v>
      </c>
      <c r="C851" s="999">
        <v>300000</v>
      </c>
      <c r="D851" s="999">
        <v>300000</v>
      </c>
      <c r="E851" s="707">
        <v>0</v>
      </c>
      <c r="F851" s="707"/>
      <c r="G851" s="1243">
        <f t="shared" si="293"/>
        <v>0</v>
      </c>
      <c r="H851" s="1248">
        <f t="shared" si="294"/>
        <v>0</v>
      </c>
      <c r="I851" s="1258">
        <v>0</v>
      </c>
      <c r="J851" s="96">
        <v>0</v>
      </c>
    </row>
    <row r="852" spans="1:250" s="607" customFormat="1" ht="13.5" customHeight="1" x14ac:dyDescent="0.2">
      <c r="A852" s="882"/>
      <c r="B852" s="1120" t="s">
        <v>1715</v>
      </c>
      <c r="C852" s="960">
        <v>250000</v>
      </c>
      <c r="D852" s="960">
        <v>250000</v>
      </c>
      <c r="E852" s="735">
        <v>0</v>
      </c>
      <c r="F852" s="735"/>
      <c r="G852" s="1243">
        <f t="shared" si="293"/>
        <v>0</v>
      </c>
      <c r="H852" s="1248">
        <f t="shared" si="294"/>
        <v>0</v>
      </c>
      <c r="I852" s="1258">
        <v>0</v>
      </c>
      <c r="J852" s="96">
        <v>0</v>
      </c>
    </row>
    <row r="853" spans="1:250" s="607" customFormat="1" ht="13.5" customHeight="1" thickBot="1" x14ac:dyDescent="0.25">
      <c r="A853" s="1177"/>
      <c r="B853" s="1121"/>
      <c r="C853" s="1178"/>
      <c r="D853" s="1178"/>
      <c r="E853" s="1142"/>
      <c r="F853" s="1142"/>
      <c r="G853" s="1142"/>
      <c r="H853" s="1142"/>
      <c r="I853" s="1371"/>
      <c r="J853" s="1615"/>
    </row>
    <row r="854" spans="1:250" s="664" customFormat="1" ht="21" thickBot="1" x14ac:dyDescent="0.35">
      <c r="A854" s="772"/>
      <c r="B854" s="814" t="s">
        <v>52</v>
      </c>
      <c r="C854" s="945">
        <f>SUM(C855+C859)</f>
        <v>350000</v>
      </c>
      <c r="D854" s="945">
        <f>SUM(D855+D859)</f>
        <v>350000</v>
      </c>
      <c r="E854" s="1372">
        <v>18150</v>
      </c>
      <c r="F854" s="1281">
        <f>SUM(E855,E859)</f>
        <v>18150</v>
      </c>
      <c r="G854" s="1349">
        <f>E854/C854*100</f>
        <v>5.1857142857142859</v>
      </c>
      <c r="H854" s="1349">
        <f>E854/D854*100</f>
        <v>5.1857142857142859</v>
      </c>
      <c r="I854" s="1297">
        <f>E854/J854*100</f>
        <v>11.778066190785204</v>
      </c>
      <c r="J854" s="1616">
        <v>154100</v>
      </c>
      <c r="IJ854" s="116"/>
      <c r="IK854" s="116"/>
      <c r="IL854" s="116"/>
      <c r="IM854" s="116"/>
      <c r="IN854" s="116"/>
      <c r="IO854" s="116"/>
      <c r="IP854" s="116"/>
    </row>
    <row r="855" spans="1:250" s="664" customFormat="1" x14ac:dyDescent="0.2">
      <c r="A855" s="773">
        <v>2169</v>
      </c>
      <c r="B855" s="785" t="s">
        <v>1393</v>
      </c>
      <c r="C855" s="870">
        <f>SUM(C856:C858)</f>
        <v>250000</v>
      </c>
      <c r="D855" s="870">
        <f>SUM(D856:D858)</f>
        <v>205000</v>
      </c>
      <c r="E855" s="1218">
        <v>0</v>
      </c>
      <c r="F855" s="1163">
        <f>SUM(E856:E858)</f>
        <v>0</v>
      </c>
      <c r="G855" s="825">
        <f t="shared" ref="G855:G856" si="298">E855/C855*100</f>
        <v>0</v>
      </c>
      <c r="H855" s="1244">
        <f t="shared" ref="H855:H856" si="299">E855/D855*100</f>
        <v>0</v>
      </c>
      <c r="I855" s="1257">
        <v>0</v>
      </c>
      <c r="J855" s="1616">
        <v>21000</v>
      </c>
      <c r="IJ855" s="116"/>
      <c r="IK855" s="116"/>
      <c r="IL855" s="116"/>
      <c r="IM855" s="116"/>
      <c r="IN855" s="116"/>
      <c r="IO855" s="116"/>
      <c r="IP855" s="116"/>
    </row>
    <row r="856" spans="1:250" s="664" customFormat="1" x14ac:dyDescent="0.2">
      <c r="A856" s="773"/>
      <c r="B856" s="788" t="s">
        <v>982</v>
      </c>
      <c r="C856" s="871">
        <v>47000</v>
      </c>
      <c r="D856" s="871">
        <v>47000</v>
      </c>
      <c r="E856" s="1163">
        <v>0</v>
      </c>
      <c r="F856" s="1163"/>
      <c r="G856" s="1243">
        <f t="shared" si="298"/>
        <v>0</v>
      </c>
      <c r="H856" s="1248">
        <f t="shared" si="299"/>
        <v>0</v>
      </c>
      <c r="I856" s="1258">
        <v>0</v>
      </c>
      <c r="J856" s="1616">
        <v>0</v>
      </c>
      <c r="IJ856" s="116"/>
      <c r="IK856" s="116"/>
      <c r="IL856" s="116"/>
      <c r="IM856" s="116"/>
      <c r="IN856" s="116"/>
      <c r="IO856" s="116"/>
      <c r="IP856" s="116"/>
    </row>
    <row r="857" spans="1:250" s="664" customFormat="1" x14ac:dyDescent="0.2">
      <c r="A857" s="773"/>
      <c r="B857" s="788" t="s">
        <v>983</v>
      </c>
      <c r="C857" s="871">
        <v>200000</v>
      </c>
      <c r="D857" s="871">
        <f>200000-45000</f>
        <v>155000</v>
      </c>
      <c r="E857" s="1163">
        <v>0</v>
      </c>
      <c r="F857" s="1163"/>
      <c r="G857" s="1243">
        <f t="shared" ref="G857:G860" si="300">E857/C857*100</f>
        <v>0</v>
      </c>
      <c r="H857" s="1248">
        <f t="shared" ref="H857:H860" si="301">E857/D857*100</f>
        <v>0</v>
      </c>
      <c r="I857" s="1258">
        <v>0</v>
      </c>
      <c r="J857" s="1616">
        <v>21000</v>
      </c>
      <c r="IJ857" s="116"/>
      <c r="IK857" s="116"/>
      <c r="IL857" s="116"/>
      <c r="IM857" s="116"/>
      <c r="IN857" s="116"/>
      <c r="IO857" s="116"/>
      <c r="IP857" s="116"/>
    </row>
    <row r="858" spans="1:250" s="664" customFormat="1" x14ac:dyDescent="0.2">
      <c r="A858" s="773"/>
      <c r="B858" s="788" t="s">
        <v>984</v>
      </c>
      <c r="C858" s="871">
        <v>3000</v>
      </c>
      <c r="D858" s="871">
        <v>3000</v>
      </c>
      <c r="E858" s="1163">
        <v>0</v>
      </c>
      <c r="F858" s="1163"/>
      <c r="G858" s="1243">
        <f t="shared" si="300"/>
        <v>0</v>
      </c>
      <c r="H858" s="1248">
        <f t="shared" si="301"/>
        <v>0</v>
      </c>
      <c r="I858" s="1258">
        <v>0</v>
      </c>
      <c r="J858" s="1616">
        <v>0</v>
      </c>
      <c r="IJ858" s="116"/>
      <c r="IK858" s="116"/>
      <c r="IL858" s="116"/>
      <c r="IM858" s="116"/>
      <c r="IN858" s="116"/>
      <c r="IO858" s="116"/>
      <c r="IP858" s="116"/>
    </row>
    <row r="859" spans="1:250" s="664" customFormat="1" x14ac:dyDescent="0.2">
      <c r="A859" s="713">
        <v>3635</v>
      </c>
      <c r="B859" s="760" t="s">
        <v>986</v>
      </c>
      <c r="C859" s="701">
        <f t="shared" ref="C859:D859" si="302">SUM(C860:C860)</f>
        <v>100000</v>
      </c>
      <c r="D859" s="701">
        <f t="shared" si="302"/>
        <v>145000</v>
      </c>
      <c r="E859" s="701">
        <v>18150</v>
      </c>
      <c r="F859" s="707"/>
      <c r="G859" s="825">
        <f t="shared" si="300"/>
        <v>18.149999999999999</v>
      </c>
      <c r="H859" s="1244">
        <f t="shared" si="301"/>
        <v>12.517241379310345</v>
      </c>
      <c r="I859" s="1257">
        <f t="shared" ref="I859:I860" si="303">E859/J859*100</f>
        <v>13.636363636363635</v>
      </c>
      <c r="J859" s="1616">
        <v>133100</v>
      </c>
      <c r="IJ859" s="116"/>
      <c r="IK859" s="116"/>
      <c r="IL859" s="116"/>
      <c r="IM859" s="116"/>
      <c r="IN859" s="116"/>
      <c r="IO859" s="116"/>
      <c r="IP859" s="116"/>
    </row>
    <row r="860" spans="1:250" s="664" customFormat="1" x14ac:dyDescent="0.2">
      <c r="A860" s="728"/>
      <c r="B860" s="761" t="s">
        <v>1706</v>
      </c>
      <c r="C860" s="871">
        <v>100000</v>
      </c>
      <c r="D860" s="871">
        <f>100000+45000</f>
        <v>145000</v>
      </c>
      <c r="E860" s="1163">
        <v>18150</v>
      </c>
      <c r="F860" s="1163"/>
      <c r="G860" s="1243">
        <f t="shared" si="300"/>
        <v>18.149999999999999</v>
      </c>
      <c r="H860" s="1248">
        <f t="shared" si="301"/>
        <v>12.517241379310345</v>
      </c>
      <c r="I860" s="1258">
        <f t="shared" si="303"/>
        <v>13.636363636363635</v>
      </c>
      <c r="J860" s="1616">
        <v>133100</v>
      </c>
      <c r="IJ860" s="116"/>
      <c r="IK860" s="116"/>
      <c r="IL860" s="116"/>
      <c r="IM860" s="116"/>
      <c r="IN860" s="116"/>
      <c r="IO860" s="116"/>
      <c r="IP860" s="116"/>
    </row>
    <row r="861" spans="1:250" s="674" customFormat="1" ht="13.5" thickBot="1" x14ac:dyDescent="0.25">
      <c r="A861" s="733"/>
      <c r="B861" s="815"/>
      <c r="C861" s="708"/>
      <c r="D861" s="708"/>
      <c r="E861" s="708"/>
      <c r="F861" s="708"/>
      <c r="G861" s="708"/>
      <c r="H861" s="708"/>
      <c r="I861" s="1376"/>
      <c r="J861" s="1616"/>
      <c r="IJ861" s="1"/>
      <c r="IK861" s="1"/>
      <c r="IL861" s="1"/>
      <c r="IM861" s="1"/>
      <c r="IN861" s="1"/>
      <c r="IO861" s="1"/>
      <c r="IP861" s="1"/>
    </row>
    <row r="862" spans="1:250" s="289" customFormat="1" ht="21" thickBot="1" x14ac:dyDescent="0.35">
      <c r="A862" s="776"/>
      <c r="B862" s="816" t="s">
        <v>54</v>
      </c>
      <c r="C862" s="1456">
        <f>SUM(C863:C864,C866:C870,C873,C877)</f>
        <v>36990000</v>
      </c>
      <c r="D862" s="1456">
        <f>SUM(D863:D864,D866:D870,D873,D877)</f>
        <v>81810309.319999993</v>
      </c>
      <c r="E862" s="1344">
        <v>50399587.770000003</v>
      </c>
      <c r="F862" s="1267">
        <f>SUM(E863:E864,E866:E870,E873,E877)</f>
        <v>50399587.769999996</v>
      </c>
      <c r="G862" s="1349">
        <f>E862/C862*100</f>
        <v>136.25192692619629</v>
      </c>
      <c r="H862" s="1349">
        <f>E862/D862*100</f>
        <v>61.605423801617285</v>
      </c>
      <c r="I862" s="1297">
        <f>E862/J862*100</f>
        <v>114.03636222103411</v>
      </c>
      <c r="J862" s="1520">
        <v>44196067.630000003</v>
      </c>
    </row>
    <row r="863" spans="1:250" s="682" customFormat="1" ht="13.5" customHeight="1" x14ac:dyDescent="0.2">
      <c r="A863" s="1606">
        <v>2223</v>
      </c>
      <c r="B863" s="721" t="s">
        <v>2171</v>
      </c>
      <c r="C863" s="706">
        <v>0</v>
      </c>
      <c r="D863" s="706">
        <v>0</v>
      </c>
      <c r="E863" s="1218">
        <v>1000</v>
      </c>
      <c r="F863" s="1163"/>
      <c r="G863" s="825">
        <v>0</v>
      </c>
      <c r="H863" s="1244">
        <v>0</v>
      </c>
      <c r="I863" s="1257">
        <v>0</v>
      </c>
      <c r="J863" s="1617">
        <v>0</v>
      </c>
    </row>
    <row r="864" spans="1:250" s="116" customFormat="1" ht="13.5" customHeight="1" x14ac:dyDescent="0.2">
      <c r="A864" s="725">
        <v>3113</v>
      </c>
      <c r="B864" s="760" t="s">
        <v>2172</v>
      </c>
      <c r="C864" s="1218">
        <f>C865</f>
        <v>0</v>
      </c>
      <c r="D864" s="1218">
        <f>D865</f>
        <v>770594.41</v>
      </c>
      <c r="E864" s="1218">
        <v>770594.41</v>
      </c>
      <c r="F864" s="1163"/>
      <c r="G864" s="825">
        <v>0</v>
      </c>
      <c r="H864" s="1244">
        <f t="shared" ref="H864" si="304">E864/D864*100</f>
        <v>100</v>
      </c>
      <c r="I864" s="1257">
        <f t="shared" ref="I864:I865" si="305">E864/J864*100</f>
        <v>89.777373798671363</v>
      </c>
      <c r="J864" s="1520">
        <v>858339.22</v>
      </c>
    </row>
    <row r="865" spans="1:10" s="116" customFormat="1" ht="24.75" x14ac:dyDescent="0.2">
      <c r="A865" s="713"/>
      <c r="B865" s="790" t="s">
        <v>2034</v>
      </c>
      <c r="C865" s="871">
        <v>0</v>
      </c>
      <c r="D865" s="871">
        <f>(237967.57+45260.34+71092.03+416274.47)</f>
        <v>770594.41</v>
      </c>
      <c r="E865" s="1163">
        <v>770594.41</v>
      </c>
      <c r="F865" s="1163"/>
      <c r="G865" s="1243">
        <v>0</v>
      </c>
      <c r="H865" s="1248">
        <f t="shared" ref="H865:H873" si="306">E865/D865*100</f>
        <v>100</v>
      </c>
      <c r="I865" s="1258">
        <f t="shared" si="305"/>
        <v>89.777373798671363</v>
      </c>
      <c r="J865" s="1617">
        <v>858339.22</v>
      </c>
    </row>
    <row r="866" spans="1:10" s="116" customFormat="1" ht="13.5" customHeight="1" x14ac:dyDescent="0.2">
      <c r="A866" s="713">
        <v>3612</v>
      </c>
      <c r="B866" s="762" t="s">
        <v>1408</v>
      </c>
      <c r="C866" s="870">
        <v>800000</v>
      </c>
      <c r="D866" s="870">
        <v>800000</v>
      </c>
      <c r="E866" s="1218">
        <v>413544.73</v>
      </c>
      <c r="F866" s="1163"/>
      <c r="G866" s="825">
        <f t="shared" ref="G866:G872" si="307">E866/C866*100</f>
        <v>51.693091250000002</v>
      </c>
      <c r="H866" s="1244">
        <f t="shared" si="306"/>
        <v>51.693091250000002</v>
      </c>
      <c r="I866" s="1257">
        <f t="shared" ref="I866:I873" si="308">E866/J866*100</f>
        <v>93.114779619242043</v>
      </c>
      <c r="J866" s="1520">
        <v>444123.62</v>
      </c>
    </row>
    <row r="867" spans="1:10" s="682" customFormat="1" ht="13.5" customHeight="1" x14ac:dyDescent="0.2">
      <c r="A867" s="842" t="s">
        <v>1711</v>
      </c>
      <c r="B867" s="785" t="s">
        <v>1395</v>
      </c>
      <c r="C867" s="870">
        <v>250000</v>
      </c>
      <c r="D867" s="870">
        <v>250000</v>
      </c>
      <c r="E867" s="1218">
        <v>93764</v>
      </c>
      <c r="F867" s="1163"/>
      <c r="G867" s="825">
        <f t="shared" si="307"/>
        <v>37.505600000000001</v>
      </c>
      <c r="H867" s="1244">
        <f t="shared" si="306"/>
        <v>37.505600000000001</v>
      </c>
      <c r="I867" s="1257">
        <f t="shared" si="308"/>
        <v>313.12072132242446</v>
      </c>
      <c r="J867" s="1617">
        <v>29945</v>
      </c>
    </row>
    <row r="868" spans="1:10" ht="25.5" x14ac:dyDescent="0.2">
      <c r="A868" s="713">
        <v>6171</v>
      </c>
      <c r="B868" s="817" t="s">
        <v>1396</v>
      </c>
      <c r="C868" s="870">
        <v>100000</v>
      </c>
      <c r="D868" s="870">
        <v>100000</v>
      </c>
      <c r="E868" s="1218">
        <v>25810</v>
      </c>
      <c r="F868" s="1163"/>
      <c r="G868" s="825">
        <f t="shared" si="307"/>
        <v>25.81</v>
      </c>
      <c r="H868" s="1244">
        <f t="shared" si="306"/>
        <v>25.81</v>
      </c>
      <c r="I868" s="1257">
        <f t="shared" si="308"/>
        <v>86.191350809818005</v>
      </c>
      <c r="J868" s="1617">
        <v>29945</v>
      </c>
    </row>
    <row r="869" spans="1:10" ht="13.5" customHeight="1" x14ac:dyDescent="0.2">
      <c r="A869" s="713">
        <v>6310</v>
      </c>
      <c r="B869" s="760" t="s">
        <v>2173</v>
      </c>
      <c r="C869" s="870">
        <v>400000</v>
      </c>
      <c r="D869" s="870">
        <v>400000</v>
      </c>
      <c r="E869" s="701">
        <v>287576.08</v>
      </c>
      <c r="F869" s="707"/>
      <c r="G869" s="825">
        <f t="shared" si="307"/>
        <v>71.894019999999998</v>
      </c>
      <c r="H869" s="1244">
        <f t="shared" si="306"/>
        <v>71.894019999999998</v>
      </c>
      <c r="I869" s="1257">
        <f t="shared" si="308"/>
        <v>114.21682897780583</v>
      </c>
      <c r="J869" s="1520">
        <v>251780.83</v>
      </c>
    </row>
    <row r="870" spans="1:10" ht="13.5" customHeight="1" x14ac:dyDescent="0.2">
      <c r="A870" s="713">
        <v>6399</v>
      </c>
      <c r="B870" s="760" t="s">
        <v>1005</v>
      </c>
      <c r="C870" s="701">
        <f t="shared" ref="C870:D870" si="309">SUM(C871:C872)</f>
        <v>32000000</v>
      </c>
      <c r="D870" s="701">
        <f t="shared" si="309"/>
        <v>48435050</v>
      </c>
      <c r="E870" s="1604">
        <v>48300563</v>
      </c>
      <c r="F870" s="699">
        <f>SUM(E871:E872)</f>
        <v>48300563</v>
      </c>
      <c r="G870" s="825">
        <f t="shared" si="307"/>
        <v>150.93925937499998</v>
      </c>
      <c r="H870" s="1244">
        <f t="shared" si="306"/>
        <v>99.722335374898961</v>
      </c>
      <c r="I870" s="1257">
        <f t="shared" si="308"/>
        <v>150.80050876938446</v>
      </c>
      <c r="J870" s="1520">
        <v>32029443</v>
      </c>
    </row>
    <row r="871" spans="1:10" ht="13.5" customHeight="1" x14ac:dyDescent="0.2">
      <c r="A871" s="728"/>
      <c r="B871" s="761" t="s">
        <v>1398</v>
      </c>
      <c r="C871" s="699">
        <v>30000000</v>
      </c>
      <c r="D871" s="699">
        <f>30000000+16435050</f>
        <v>46435050</v>
      </c>
      <c r="E871" s="1163">
        <v>46435050</v>
      </c>
      <c r="F871" s="1163"/>
      <c r="G871" s="1243">
        <f t="shared" si="307"/>
        <v>154.7835</v>
      </c>
      <c r="H871" s="1248">
        <f t="shared" si="306"/>
        <v>100</v>
      </c>
      <c r="I871" s="1258">
        <f t="shared" si="308"/>
        <v>155.04345619488674</v>
      </c>
      <c r="J871" s="1520">
        <v>29949700</v>
      </c>
    </row>
    <row r="872" spans="1:10" ht="13.5" customHeight="1" x14ac:dyDescent="0.2">
      <c r="A872" s="728"/>
      <c r="B872" s="761" t="s">
        <v>1702</v>
      </c>
      <c r="C872" s="871">
        <v>2000000</v>
      </c>
      <c r="D872" s="871">
        <v>2000000</v>
      </c>
      <c r="E872" s="707">
        <v>1865513</v>
      </c>
      <c r="F872" s="707"/>
      <c r="G872" s="1243">
        <f t="shared" si="307"/>
        <v>93.275649999999999</v>
      </c>
      <c r="H872" s="1248">
        <f t="shared" si="306"/>
        <v>93.275649999999999</v>
      </c>
      <c r="I872" s="1258">
        <f t="shared" si="308"/>
        <v>89.699208027145659</v>
      </c>
      <c r="J872" s="1520">
        <v>2079743</v>
      </c>
    </row>
    <row r="873" spans="1:10" s="116" customFormat="1" ht="13.5" customHeight="1" x14ac:dyDescent="0.2">
      <c r="A873" s="713">
        <v>6402</v>
      </c>
      <c r="B873" s="760" t="s">
        <v>2174</v>
      </c>
      <c r="C873" s="701">
        <f>SUM(C874:C876)</f>
        <v>0</v>
      </c>
      <c r="D873" s="701">
        <f>SUM(D874:D876)</f>
        <v>109928</v>
      </c>
      <c r="E873" s="1218">
        <v>109928</v>
      </c>
      <c r="F873" s="1163">
        <f>SUM(E874:E876)</f>
        <v>109928</v>
      </c>
      <c r="G873" s="825">
        <v>0</v>
      </c>
      <c r="H873" s="1244">
        <f t="shared" si="306"/>
        <v>100</v>
      </c>
      <c r="I873" s="1257">
        <f t="shared" si="308"/>
        <v>5.0229303019072269</v>
      </c>
      <c r="J873" s="1520">
        <v>2188523.2999999998</v>
      </c>
    </row>
    <row r="874" spans="1:10" s="2" customFormat="1" ht="13.5" customHeight="1" x14ac:dyDescent="0.2">
      <c r="A874" s="712"/>
      <c r="B874" s="762" t="s">
        <v>2051</v>
      </c>
      <c r="C874" s="871">
        <v>0</v>
      </c>
      <c r="D874" s="871">
        <f>(5068.4+45615.6)</f>
        <v>50684</v>
      </c>
      <c r="E874" s="1163">
        <v>50684</v>
      </c>
      <c r="F874" s="1163"/>
      <c r="G874" s="1243">
        <v>0</v>
      </c>
      <c r="H874" s="1248">
        <f t="shared" ref="H874:H879" si="310">E874/D874*100</f>
        <v>100</v>
      </c>
      <c r="I874" s="1258">
        <v>0</v>
      </c>
      <c r="J874" s="96">
        <v>0</v>
      </c>
    </row>
    <row r="875" spans="1:10" s="2" customFormat="1" ht="13.5" customHeight="1" x14ac:dyDescent="0.2">
      <c r="A875" s="712"/>
      <c r="B875" s="762" t="s">
        <v>2054</v>
      </c>
      <c r="C875" s="871">
        <v>0</v>
      </c>
      <c r="D875" s="871">
        <f>(4089+36801)</f>
        <v>40890</v>
      </c>
      <c r="E875" s="1163">
        <v>40890</v>
      </c>
      <c r="F875" s="1163"/>
      <c r="G875" s="1243">
        <v>0</v>
      </c>
      <c r="H875" s="1248">
        <f t="shared" si="310"/>
        <v>100</v>
      </c>
      <c r="I875" s="1258">
        <v>0</v>
      </c>
      <c r="J875" s="96">
        <v>0</v>
      </c>
    </row>
    <row r="876" spans="1:10" s="2" customFormat="1" ht="13.5" customHeight="1" x14ac:dyDescent="0.2">
      <c r="A876" s="712"/>
      <c r="B876" s="762" t="s">
        <v>2038</v>
      </c>
      <c r="C876" s="871">
        <v>0</v>
      </c>
      <c r="D876" s="871">
        <f>(1835.4+16518.6)</f>
        <v>18354</v>
      </c>
      <c r="E876" s="1163">
        <v>18354</v>
      </c>
      <c r="F876" s="1163"/>
      <c r="G876" s="1243">
        <v>0</v>
      </c>
      <c r="H876" s="1248">
        <f t="shared" si="310"/>
        <v>100</v>
      </c>
      <c r="I876" s="1258">
        <v>0</v>
      </c>
      <c r="J876" s="96">
        <v>0</v>
      </c>
    </row>
    <row r="877" spans="1:10" s="289" customFormat="1" ht="13.5" customHeight="1" x14ac:dyDescent="0.25">
      <c r="A877" s="713">
        <v>6409</v>
      </c>
      <c r="B877" s="760" t="s">
        <v>1014</v>
      </c>
      <c r="C877" s="701">
        <f t="shared" ref="C877:D877" si="311">SUM(C878:C880)</f>
        <v>3440000</v>
      </c>
      <c r="D877" s="701">
        <f t="shared" si="311"/>
        <v>30944736.91</v>
      </c>
      <c r="E877" s="845">
        <v>396807.55</v>
      </c>
      <c r="F877" s="744">
        <f>SUM(E878:E880)</f>
        <v>396807.55</v>
      </c>
      <c r="G877" s="825">
        <f t="shared" ref="G877:G879" si="312">E877/C877*100</f>
        <v>11.535103197674418</v>
      </c>
      <c r="H877" s="1244">
        <f t="shared" si="310"/>
        <v>1.2823103041854234</v>
      </c>
      <c r="I877" s="1257">
        <f t="shared" ref="I877" si="313">E877/J877*100</f>
        <v>78.213939437780994</v>
      </c>
      <c r="J877" s="1520">
        <v>507336.1</v>
      </c>
    </row>
    <row r="878" spans="1:10" s="116" customFormat="1" ht="13.5" customHeight="1" x14ac:dyDescent="0.2">
      <c r="A878" s="745"/>
      <c r="B878" s="764" t="s">
        <v>1877</v>
      </c>
      <c r="C878" s="709">
        <f>3000000+361000-361000</f>
        <v>3000000</v>
      </c>
      <c r="D878" s="709">
        <f>(3000000+361000-361000)-10000-15000-272932-3337434-192228+192228+319987.99-90488+289333-266805-96558+400000-348800+3226272.84-70000-59000+5514060+1548+5904137.5+1844214.7+1284-231352.61+21989-80000-134310+8862-313948-10000-150000+(-36900-30000)-5000-40000+(-1002336.01+943202.2)+16164266.27+13443.03-150000-250000-147000-75000</f>
        <v>30429736.91</v>
      </c>
      <c r="E878" s="744">
        <v>0</v>
      </c>
      <c r="F878" s="744"/>
      <c r="G878" s="1243">
        <f t="shared" si="312"/>
        <v>0</v>
      </c>
      <c r="H878" s="1248">
        <f t="shared" si="310"/>
        <v>0</v>
      </c>
      <c r="I878" s="1258">
        <v>0</v>
      </c>
      <c r="J878" s="1520">
        <v>0</v>
      </c>
    </row>
    <row r="879" spans="1:10" s="116" customFormat="1" ht="38.25" x14ac:dyDescent="0.2">
      <c r="A879" s="753"/>
      <c r="B879" s="819" t="s">
        <v>1399</v>
      </c>
      <c r="C879" s="744">
        <v>440000</v>
      </c>
      <c r="D879" s="744">
        <f>440000+75000</f>
        <v>515000</v>
      </c>
      <c r="E879" s="744">
        <v>470532.55</v>
      </c>
      <c r="F879" s="744"/>
      <c r="G879" s="1243">
        <f t="shared" si="312"/>
        <v>106.9392159090909</v>
      </c>
      <c r="H879" s="1248">
        <f t="shared" si="310"/>
        <v>91.36554368932039</v>
      </c>
      <c r="I879" s="1258">
        <v>0</v>
      </c>
      <c r="J879" s="1617">
        <v>425355.12</v>
      </c>
    </row>
    <row r="880" spans="1:10" s="116" customFormat="1" ht="13.5" customHeight="1" x14ac:dyDescent="0.2">
      <c r="A880" s="1219"/>
      <c r="B880" s="766" t="s">
        <v>2128</v>
      </c>
      <c r="C880" s="709">
        <v>0</v>
      </c>
      <c r="D880" s="709">
        <v>0</v>
      </c>
      <c r="E880" s="744">
        <v>-73725</v>
      </c>
      <c r="F880" s="744"/>
      <c r="G880" s="1243">
        <v>0</v>
      </c>
      <c r="H880" s="1248">
        <v>0</v>
      </c>
      <c r="I880" s="1258">
        <v>0</v>
      </c>
      <c r="J880" s="1520">
        <v>-4835</v>
      </c>
    </row>
    <row r="881" spans="1:10" s="116" customFormat="1" ht="13.5" customHeight="1" thickBot="1" x14ac:dyDescent="0.25">
      <c r="A881" s="746"/>
      <c r="B881" s="867"/>
      <c r="C881" s="866"/>
      <c r="D881" s="866"/>
      <c r="E881" s="711"/>
      <c r="F881" s="711"/>
      <c r="G881" s="711"/>
      <c r="H881" s="711"/>
      <c r="I881" s="1142"/>
      <c r="J881" s="1520"/>
    </row>
    <row r="882" spans="1:10" s="116" customFormat="1" ht="27" thickBot="1" x14ac:dyDescent="0.4">
      <c r="A882" s="778"/>
      <c r="B882" s="1217" t="s">
        <v>55</v>
      </c>
      <c r="C882" s="1632">
        <f>SUM(C245+C350+C542+C545+C551+C560+C564+C568+C653+C657+C674+C683+C714+C721+C745+C854+C862)</f>
        <v>1012540563</v>
      </c>
      <c r="D882" s="1632">
        <f>SUM(D245+D350+D542+D545+D551+D560+D564+D568+D653+D657+D674+D683+D714+D721+D745+D854+D862)</f>
        <v>1085138478.02</v>
      </c>
      <c r="E882" s="1632">
        <v>399038392.61000001</v>
      </c>
      <c r="F882" s="1633"/>
      <c r="G882" s="1634">
        <f>E882/C882*100</f>
        <v>39.409620433151971</v>
      </c>
      <c r="H882" s="1634">
        <f>E882/D882*100</f>
        <v>36.773038712819975</v>
      </c>
      <c r="I882" s="1285">
        <f>E882/J882*100</f>
        <v>106.01051353184567</v>
      </c>
      <c r="J882" s="1617">
        <v>376413979.44</v>
      </c>
    </row>
    <row r="883" spans="1:10" ht="12.75" customHeight="1" x14ac:dyDescent="0.2">
      <c r="B883" s="1216"/>
      <c r="C883" s="12"/>
      <c r="D883" s="12"/>
      <c r="E883" s="12"/>
      <c r="F883" s="12"/>
      <c r="G883" s="12"/>
      <c r="H883" s="12"/>
      <c r="J883" s="1520"/>
    </row>
    <row r="884" spans="1:10" ht="12.75" customHeight="1" x14ac:dyDescent="0.35">
      <c r="B884" s="755"/>
      <c r="C884" s="12"/>
      <c r="D884" s="12"/>
      <c r="E884" s="12"/>
      <c r="F884" s="12"/>
      <c r="G884" s="12"/>
      <c r="H884" s="12"/>
      <c r="J884" s="1520"/>
    </row>
    <row r="885" spans="1:10" s="116" customFormat="1" ht="12.75" customHeight="1" x14ac:dyDescent="0.35">
      <c r="A885" s="1"/>
      <c r="B885" s="755"/>
      <c r="C885" s="1179">
        <f t="shared" ref="C885:I885" si="314">C9-C882</f>
        <v>2.5000572204589844E-3</v>
      </c>
      <c r="D885" s="1179">
        <f t="shared" si="314"/>
        <v>2.5000572204589844E-3</v>
      </c>
      <c r="E885" s="1179">
        <f t="shared" si="314"/>
        <v>0</v>
      </c>
      <c r="F885" s="1179">
        <f t="shared" si="314"/>
        <v>0</v>
      </c>
      <c r="G885" s="1179">
        <f t="shared" si="314"/>
        <v>-9.730882766234572E-11</v>
      </c>
      <c r="H885" s="1179">
        <f t="shared" si="314"/>
        <v>-8.4725115812034346E-11</v>
      </c>
      <c r="I885" s="1179">
        <f t="shared" si="314"/>
        <v>0</v>
      </c>
      <c r="J885" s="1520"/>
    </row>
    <row r="886" spans="1:10" s="116" customFormat="1" x14ac:dyDescent="0.2">
      <c r="A886" s="1"/>
      <c r="B886" s="705"/>
      <c r="C886" s="12"/>
      <c r="D886" s="12"/>
      <c r="E886" s="12"/>
      <c r="F886" s="12"/>
      <c r="G886" s="12"/>
      <c r="H886" s="12"/>
      <c r="I886" s="107"/>
      <c r="J886" s="1"/>
    </row>
    <row r="887" spans="1:10" x14ac:dyDescent="0.2">
      <c r="B887" s="695"/>
      <c r="C887" s="12"/>
      <c r="D887" s="12"/>
      <c r="E887" s="12"/>
      <c r="F887" s="12"/>
      <c r="G887" s="12"/>
      <c r="H887" s="12"/>
    </row>
    <row r="888" spans="1:10" x14ac:dyDescent="0.2">
      <c r="B888" s="12"/>
    </row>
    <row r="889" spans="1:10" x14ac:dyDescent="0.2">
      <c r="B889" s="12"/>
    </row>
    <row r="890" spans="1:10" x14ac:dyDescent="0.2">
      <c r="B890" s="12"/>
    </row>
  </sheetData>
  <sheetProtection selectLockedCells="1" selectUnlockedCells="1"/>
  <printOptions horizontalCentered="1"/>
  <pageMargins left="3.937007874015748E-2" right="3.937007874015748E-2" top="0.55118110236220474" bottom="0.55118110236220474" header="0.31496062992125984" footer="0.31496062992125984"/>
  <pageSetup paperSize="9" scale="65" firstPageNumber="0" fitToHeight="0" orientation="landscape" r:id="rId1"/>
  <headerFooter alignWithMargins="0">
    <oddFooter>&amp;C&amp;P</oddFooter>
  </headerFooter>
  <rowBreaks count="2" manualBreakCount="2">
    <brk id="30" max="16383" man="1"/>
    <brk id="243"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2"/>
  </sheetPr>
  <dimension ref="A1:IR1033"/>
  <sheetViews>
    <sheetView topLeftCell="A457" zoomScaleNormal="100" zoomScaleSheetLayoutView="80" workbookViewId="0">
      <pane ySplit="8625" topLeftCell="A1023"/>
      <selection activeCell="D465" sqref="D465"/>
      <selection pane="bottomLeft" activeCell="B1029" sqref="B1029"/>
    </sheetView>
  </sheetViews>
  <sheetFormatPr defaultColWidth="9.5703125" defaultRowHeight="12.75" x14ac:dyDescent="0.2"/>
  <cols>
    <col min="1" max="1" width="11.85546875" style="1" customWidth="1"/>
    <col min="2" max="2" width="91.85546875" style="1" customWidth="1"/>
    <col min="3" max="5" width="26.85546875" style="1" customWidth="1"/>
    <col min="6" max="6" width="22" style="1" hidden="1" customWidth="1"/>
    <col min="7" max="8" width="10.5703125" style="1" customWidth="1"/>
    <col min="9" max="9" width="12.140625" style="12" customWidth="1"/>
    <col min="10" max="10" width="19.140625" style="1" customWidth="1"/>
    <col min="11" max="16384" width="9.5703125" style="1"/>
  </cols>
  <sheetData>
    <row r="1" spans="1:10" s="12" customFormat="1" ht="49.5" customHeight="1" thickBot="1" x14ac:dyDescent="0.25">
      <c r="A1" s="770" t="s">
        <v>1732</v>
      </c>
      <c r="B1" s="1491" t="s">
        <v>2095</v>
      </c>
      <c r="C1" s="932" t="s">
        <v>1954</v>
      </c>
      <c r="D1" s="932" t="s">
        <v>1959</v>
      </c>
      <c r="E1" s="1221" t="s">
        <v>1955</v>
      </c>
      <c r="F1" s="1222" t="s">
        <v>1958</v>
      </c>
      <c r="G1" s="1223" t="s">
        <v>1952</v>
      </c>
      <c r="H1" s="1223" t="s">
        <v>1953</v>
      </c>
      <c r="I1" s="1223" t="s">
        <v>1960</v>
      </c>
      <c r="J1" s="1235" t="s">
        <v>1961</v>
      </c>
    </row>
    <row r="2" spans="1:10" s="12" customFormat="1" ht="25.5" customHeight="1" x14ac:dyDescent="0.3">
      <c r="A2" s="1378"/>
      <c r="B2" s="1379" t="s">
        <v>56</v>
      </c>
      <c r="C2" s="1380"/>
      <c r="D2" s="1380"/>
      <c r="E2" s="1224"/>
      <c r="F2" s="1225"/>
      <c r="G2" s="824"/>
      <c r="H2" s="1226"/>
      <c r="I2" s="1227"/>
    </row>
    <row r="3" spans="1:10" s="107" customFormat="1" ht="25.5" customHeight="1" x14ac:dyDescent="0.25">
      <c r="A3" s="1381"/>
      <c r="B3" s="1382" t="s">
        <v>57</v>
      </c>
      <c r="C3" s="1395">
        <f>C32</f>
        <v>545682000</v>
      </c>
      <c r="D3" s="1395">
        <f>D32</f>
        <v>565149250</v>
      </c>
      <c r="E3" s="1395"/>
      <c r="F3" s="1395"/>
      <c r="G3" s="1395"/>
      <c r="H3" s="1395"/>
      <c r="I3" s="1395"/>
    </row>
    <row r="4" spans="1:10" s="116" customFormat="1" ht="25.5" customHeight="1" x14ac:dyDescent="0.25">
      <c r="A4" s="1383"/>
      <c r="B4" s="1384" t="s">
        <v>10</v>
      </c>
      <c r="C4" s="1393">
        <f>C64</f>
        <v>163957324.72000003</v>
      </c>
      <c r="D4" s="1393">
        <f>D64</f>
        <v>189794148.43000001</v>
      </c>
      <c r="E4" s="1393"/>
      <c r="F4" s="1393"/>
      <c r="G4" s="1393"/>
      <c r="H4" s="1393"/>
      <c r="I4" s="1393"/>
    </row>
    <row r="5" spans="1:10" s="116" customFormat="1" ht="25.5" customHeight="1" x14ac:dyDescent="0.25">
      <c r="A5" s="1385"/>
      <c r="B5" s="1384" t="s">
        <v>11</v>
      </c>
      <c r="C5" s="1393">
        <f>C168</f>
        <v>72976820.010000005</v>
      </c>
      <c r="D5" s="1393">
        <f>D168</f>
        <v>71051552</v>
      </c>
      <c r="E5" s="1393"/>
      <c r="F5" s="1393"/>
      <c r="G5" s="1393"/>
      <c r="H5" s="1393"/>
      <c r="I5" s="1393"/>
    </row>
    <row r="6" spans="1:10" s="116" customFormat="1" ht="25.5" customHeight="1" x14ac:dyDescent="0.25">
      <c r="A6" s="1385"/>
      <c r="B6" s="1384" t="s">
        <v>196</v>
      </c>
      <c r="C6" s="1394">
        <f>C195</f>
        <v>56420206.439999998</v>
      </c>
      <c r="D6" s="1394">
        <f>D195</f>
        <v>85639315.75999999</v>
      </c>
      <c r="E6" s="1394"/>
      <c r="F6" s="1394"/>
      <c r="G6" s="1394"/>
      <c r="H6" s="1394"/>
      <c r="I6" s="1394"/>
    </row>
    <row r="7" spans="1:10" s="116" customFormat="1" ht="25.5" customHeight="1" x14ac:dyDescent="0.3">
      <c r="A7" s="1386"/>
      <c r="B7" s="1387" t="s">
        <v>13</v>
      </c>
      <c r="C7" s="1461">
        <f>C270</f>
        <v>839036351.17000008</v>
      </c>
      <c r="D7" s="1461">
        <f>D270</f>
        <v>911634266.19000006</v>
      </c>
      <c r="E7" s="1461"/>
      <c r="F7" s="1461"/>
      <c r="G7" s="1461"/>
      <c r="H7" s="1461"/>
      <c r="I7" s="1461"/>
    </row>
    <row r="8" spans="1:10" s="116" customFormat="1" ht="25.5" customHeight="1" thickBot="1" x14ac:dyDescent="0.3">
      <c r="A8" s="1388"/>
      <c r="B8" s="1389" t="s">
        <v>14</v>
      </c>
      <c r="C8" s="1460">
        <f>C272</f>
        <v>173504211.83249995</v>
      </c>
      <c r="D8" s="1460">
        <f>D272</f>
        <v>173504211.83249995</v>
      </c>
      <c r="E8" s="1460"/>
      <c r="F8" s="1460"/>
      <c r="G8" s="1460"/>
      <c r="H8" s="1460"/>
      <c r="I8" s="1460"/>
    </row>
    <row r="9" spans="1:10" s="283" customFormat="1" ht="25.5" customHeight="1" thickBot="1" x14ac:dyDescent="0.45">
      <c r="A9" s="729"/>
      <c r="B9" s="736" t="s">
        <v>15</v>
      </c>
      <c r="C9" s="1462">
        <f>C279</f>
        <v>1012540563.0025001</v>
      </c>
      <c r="D9" s="1462">
        <f>D279</f>
        <v>1085138478.0225</v>
      </c>
      <c r="E9" s="1462"/>
      <c r="F9" s="1462"/>
      <c r="G9" s="1462"/>
      <c r="H9" s="1462"/>
      <c r="I9" s="1462"/>
    </row>
    <row r="10" spans="1:10" s="116" customFormat="1" ht="25.5" customHeight="1" x14ac:dyDescent="0.3">
      <c r="A10" s="1390"/>
      <c r="B10" s="1379" t="s">
        <v>257</v>
      </c>
      <c r="C10" s="1466"/>
      <c r="D10" s="1466"/>
      <c r="E10" s="1228"/>
      <c r="F10" s="1228"/>
      <c r="G10" s="1229"/>
      <c r="H10" s="1229"/>
      <c r="I10" s="1229"/>
    </row>
    <row r="11" spans="1:10" s="1465" customFormat="1" ht="25.5" customHeight="1" x14ac:dyDescent="0.2">
      <c r="A11" s="1463"/>
      <c r="B11" s="1464" t="s">
        <v>17</v>
      </c>
      <c r="C11" s="1468">
        <f>C30-C12</f>
        <v>732444521</v>
      </c>
      <c r="D11" s="1468">
        <f>D30-D12</f>
        <v>805042436.01999998</v>
      </c>
      <c r="E11" s="1230"/>
      <c r="F11" s="1230"/>
      <c r="G11" s="1230"/>
      <c r="H11" s="1230"/>
      <c r="I11" s="1230"/>
    </row>
    <row r="12" spans="1:10" s="1465" customFormat="1" ht="25.5" customHeight="1" x14ac:dyDescent="0.2">
      <c r="A12" s="1463"/>
      <c r="B12" s="1464" t="s">
        <v>18</v>
      </c>
      <c r="C12" s="1467">
        <v>280096042</v>
      </c>
      <c r="D12" s="1467">
        <v>280096042</v>
      </c>
      <c r="E12" s="1231"/>
      <c r="F12" s="1231"/>
      <c r="G12" s="1230"/>
      <c r="H12" s="1230"/>
      <c r="I12" s="1230"/>
    </row>
    <row r="13" spans="1:10" s="1470" customFormat="1" ht="25.5" customHeight="1" x14ac:dyDescent="0.25">
      <c r="A13" s="1469"/>
      <c r="B13" s="1384" t="s">
        <v>258</v>
      </c>
      <c r="C13" s="1391">
        <f>C281</f>
        <v>90523182</v>
      </c>
      <c r="D13" s="1391">
        <f>D281</f>
        <v>90564543</v>
      </c>
      <c r="E13" s="1391"/>
      <c r="F13" s="1391"/>
      <c r="G13" s="1391"/>
      <c r="H13" s="1391"/>
      <c r="I13" s="1391"/>
    </row>
    <row r="14" spans="1:10" s="1470" customFormat="1" ht="25.5" customHeight="1" x14ac:dyDescent="0.25">
      <c r="A14" s="1469"/>
      <c r="B14" s="1384" t="s">
        <v>1044</v>
      </c>
      <c r="C14" s="1391">
        <f>C403</f>
        <v>268131950</v>
      </c>
      <c r="D14" s="1391">
        <f>D403</f>
        <v>267381950</v>
      </c>
      <c r="E14" s="1391"/>
      <c r="F14" s="1391"/>
      <c r="G14" s="1391"/>
      <c r="H14" s="1391"/>
      <c r="I14" s="1391"/>
    </row>
    <row r="15" spans="1:10" s="1470" customFormat="1" ht="25.5" customHeight="1" x14ac:dyDescent="0.25">
      <c r="A15" s="1471"/>
      <c r="B15" s="1472" t="s">
        <v>31</v>
      </c>
      <c r="C15" s="1392">
        <f>C635</f>
        <v>15000</v>
      </c>
      <c r="D15" s="1392">
        <f>D635</f>
        <v>15000</v>
      </c>
      <c r="E15" s="1392"/>
      <c r="F15" s="1392"/>
      <c r="G15" s="1392"/>
      <c r="H15" s="1392"/>
      <c r="I15" s="1392"/>
    </row>
    <row r="16" spans="1:10" s="1473" customFormat="1" ht="25.5" customHeight="1" x14ac:dyDescent="0.25">
      <c r="A16" s="1384"/>
      <c r="B16" s="1384" t="s">
        <v>1098</v>
      </c>
      <c r="C16" s="1392">
        <f>C638</f>
        <v>15625044</v>
      </c>
      <c r="D16" s="1392">
        <f>D638</f>
        <v>16236396.609999999</v>
      </c>
      <c r="E16" s="1392"/>
      <c r="F16" s="1392"/>
      <c r="G16" s="1392"/>
      <c r="H16" s="1392"/>
      <c r="I16" s="1392"/>
    </row>
    <row r="17" spans="1:248" s="1474" customFormat="1" ht="25.5" customHeight="1" x14ac:dyDescent="0.25">
      <c r="A17" s="1471"/>
      <c r="B17" s="1472" t="s">
        <v>33</v>
      </c>
      <c r="C17" s="1392">
        <f>C644</f>
        <v>11266280</v>
      </c>
      <c r="D17" s="1392">
        <f>D644</f>
        <v>11266280</v>
      </c>
      <c r="E17" s="1392"/>
      <c r="F17" s="1392"/>
      <c r="G17" s="1392"/>
      <c r="H17" s="1392"/>
      <c r="I17" s="1392"/>
    </row>
    <row r="18" spans="1:248" s="1474" customFormat="1" ht="25.5" customHeight="1" x14ac:dyDescent="0.25">
      <c r="A18" s="1475"/>
      <c r="B18" s="1384" t="s">
        <v>34</v>
      </c>
      <c r="C18" s="1393">
        <f>C653</f>
        <v>162000</v>
      </c>
      <c r="D18" s="1393">
        <f>D653</f>
        <v>162000</v>
      </c>
      <c r="E18" s="1393"/>
      <c r="F18" s="1393"/>
      <c r="G18" s="1393"/>
      <c r="H18" s="1393"/>
      <c r="I18" s="1393"/>
    </row>
    <row r="19" spans="1:248" s="1474" customFormat="1" ht="25.5" customHeight="1" x14ac:dyDescent="0.25">
      <c r="A19" s="1471"/>
      <c r="B19" s="1384" t="s">
        <v>630</v>
      </c>
      <c r="C19" s="1393">
        <f>C657</f>
        <v>1000000</v>
      </c>
      <c r="D19" s="1393">
        <f>D657</f>
        <v>1224000</v>
      </c>
      <c r="E19" s="1393"/>
      <c r="F19" s="1393"/>
      <c r="G19" s="1393"/>
      <c r="H19" s="1393"/>
      <c r="I19" s="1393"/>
      <c r="J19" s="1473"/>
      <c r="K19" s="1473"/>
      <c r="L19" s="1473"/>
      <c r="M19" s="1473"/>
      <c r="N19" s="1473"/>
      <c r="O19" s="1473"/>
      <c r="P19" s="1473"/>
      <c r="Q19" s="1473"/>
      <c r="R19" s="1473"/>
      <c r="S19" s="1473"/>
      <c r="T19" s="1473"/>
      <c r="U19" s="1473"/>
      <c r="V19" s="1473"/>
      <c r="W19" s="1473"/>
      <c r="X19" s="1473"/>
      <c r="Y19" s="1473"/>
      <c r="Z19" s="1473"/>
      <c r="AA19" s="1473"/>
      <c r="AB19" s="1473"/>
      <c r="AC19" s="1473"/>
      <c r="AD19" s="1473"/>
      <c r="AE19" s="1473"/>
      <c r="AF19" s="1473"/>
      <c r="AG19" s="1473"/>
      <c r="AH19" s="1473"/>
      <c r="AI19" s="1473"/>
      <c r="AJ19" s="1473"/>
      <c r="AK19" s="1473"/>
      <c r="AL19" s="1473"/>
      <c r="AM19" s="1473"/>
      <c r="AN19" s="1473"/>
      <c r="AO19" s="1473"/>
      <c r="AP19" s="1473"/>
      <c r="AQ19" s="1473"/>
      <c r="AR19" s="1473"/>
      <c r="AS19" s="1473"/>
      <c r="AT19" s="1473"/>
      <c r="AU19" s="1473"/>
    </row>
    <row r="20" spans="1:248" s="1478" customFormat="1" ht="25.5" customHeight="1" x14ac:dyDescent="0.25">
      <c r="A20" s="1476"/>
      <c r="B20" s="1477" t="s">
        <v>36</v>
      </c>
      <c r="C20" s="1394">
        <f>C662</f>
        <v>112714300</v>
      </c>
      <c r="D20" s="1394">
        <f>D662</f>
        <v>131296914.09999999</v>
      </c>
      <c r="E20" s="1394"/>
      <c r="F20" s="1394"/>
      <c r="G20" s="1394"/>
      <c r="H20" s="1394"/>
      <c r="I20" s="1394"/>
    </row>
    <row r="21" spans="1:248" s="1470" customFormat="1" ht="25.5" customHeight="1" x14ac:dyDescent="0.25">
      <c r="A21" s="1381"/>
      <c r="B21" s="1384" t="s">
        <v>716</v>
      </c>
      <c r="C21" s="1392">
        <f>C747</f>
        <v>27924400</v>
      </c>
      <c r="D21" s="1392">
        <f>D747</f>
        <v>27924400</v>
      </c>
      <c r="E21" s="1392"/>
      <c r="F21" s="1392"/>
      <c r="G21" s="1392"/>
      <c r="H21" s="1392"/>
      <c r="I21" s="1392"/>
    </row>
    <row r="22" spans="1:248" s="1470" customFormat="1" ht="25.5" customHeight="1" x14ac:dyDescent="0.25">
      <c r="A22" s="1381"/>
      <c r="B22" s="1384" t="s">
        <v>719</v>
      </c>
      <c r="C22" s="1393">
        <f>C751</f>
        <v>35630624</v>
      </c>
      <c r="D22" s="1393">
        <f>D751</f>
        <v>35630624</v>
      </c>
      <c r="E22" s="1393"/>
      <c r="F22" s="1393"/>
      <c r="G22" s="1393"/>
      <c r="H22" s="1393"/>
      <c r="I22" s="1393"/>
    </row>
    <row r="23" spans="1:248" s="1470" customFormat="1" ht="25.5" customHeight="1" x14ac:dyDescent="0.25">
      <c r="A23" s="1381"/>
      <c r="B23" s="1384" t="s">
        <v>735</v>
      </c>
      <c r="C23" s="1395">
        <f>C770</f>
        <v>171743160</v>
      </c>
      <c r="D23" s="1395">
        <f>D770</f>
        <v>172842003.99000001</v>
      </c>
      <c r="E23" s="1395"/>
      <c r="F23" s="1395"/>
      <c r="G23" s="1395"/>
      <c r="H23" s="1395"/>
      <c r="I23" s="1395"/>
    </row>
    <row r="24" spans="1:248" s="1470" customFormat="1" ht="25.5" customHeight="1" x14ac:dyDescent="0.25">
      <c r="A24" s="1381"/>
      <c r="B24" s="1384" t="s">
        <v>43</v>
      </c>
      <c r="C24" s="1395">
        <f>C779</f>
        <v>17006123</v>
      </c>
      <c r="D24" s="1395">
        <f>D779</f>
        <v>17065123</v>
      </c>
      <c r="E24" s="1395"/>
      <c r="F24" s="1395"/>
      <c r="G24" s="1395"/>
      <c r="H24" s="1395"/>
      <c r="I24" s="1395"/>
    </row>
    <row r="25" spans="1:248" s="1470" customFormat="1" ht="25.5" customHeight="1" x14ac:dyDescent="0.25">
      <c r="A25" s="1476"/>
      <c r="B25" s="1479" t="s">
        <v>777</v>
      </c>
      <c r="C25" s="1392">
        <f>C812</f>
        <v>19471500</v>
      </c>
      <c r="D25" s="1392">
        <f>D812</f>
        <v>24044500</v>
      </c>
      <c r="E25" s="1392"/>
      <c r="F25" s="1392"/>
      <c r="G25" s="1392"/>
      <c r="H25" s="1392"/>
      <c r="I25" s="1392"/>
    </row>
    <row r="26" spans="1:248" s="1470" customFormat="1" ht="25.5" customHeight="1" x14ac:dyDescent="0.25">
      <c r="A26" s="1381"/>
      <c r="B26" s="1384" t="s">
        <v>1956</v>
      </c>
      <c r="C26" s="1392">
        <f>C819</f>
        <v>67229000</v>
      </c>
      <c r="D26" s="1392">
        <f>D819</f>
        <v>70566434</v>
      </c>
      <c r="E26" s="1392"/>
      <c r="F26" s="1392"/>
      <c r="G26" s="1392"/>
      <c r="H26" s="1392"/>
      <c r="I26" s="1392"/>
    </row>
    <row r="27" spans="1:248" s="1470" customFormat="1" ht="25.5" customHeight="1" x14ac:dyDescent="0.25">
      <c r="A27" s="1396"/>
      <c r="B27" s="1472" t="s">
        <v>803</v>
      </c>
      <c r="C27" s="1480">
        <f>C844</f>
        <v>136758000</v>
      </c>
      <c r="D27" s="1480">
        <f>D844</f>
        <v>136758000</v>
      </c>
      <c r="E27" s="1480"/>
      <c r="F27" s="1480"/>
      <c r="G27" s="1480"/>
      <c r="H27" s="1480"/>
      <c r="I27" s="1480"/>
      <c r="J27" s="1481"/>
      <c r="K27" s="1481"/>
      <c r="L27" s="1481"/>
      <c r="M27" s="1481"/>
      <c r="N27" s="1481"/>
      <c r="O27" s="1481"/>
      <c r="P27" s="1481"/>
      <c r="Q27" s="1481"/>
      <c r="R27" s="1481"/>
      <c r="S27" s="1481"/>
      <c r="T27" s="1481"/>
      <c r="U27" s="1481"/>
      <c r="V27" s="1481"/>
      <c r="W27" s="1481"/>
      <c r="X27" s="1481"/>
      <c r="Y27" s="1481"/>
      <c r="Z27" s="1481"/>
      <c r="AA27" s="1481"/>
      <c r="AB27" s="1481"/>
      <c r="AC27" s="1481"/>
      <c r="AD27" s="1481"/>
      <c r="AE27" s="1481"/>
      <c r="AF27" s="1481"/>
      <c r="AG27" s="1481"/>
      <c r="AH27" s="1481"/>
      <c r="AI27" s="1481"/>
      <c r="AJ27" s="1481"/>
      <c r="AK27" s="1481"/>
      <c r="AL27" s="1481"/>
      <c r="AM27" s="1481"/>
      <c r="AN27" s="1481"/>
      <c r="AO27" s="1481"/>
      <c r="AP27" s="1481"/>
      <c r="AQ27" s="1481"/>
      <c r="AR27" s="1481"/>
      <c r="AS27" s="1481"/>
      <c r="AT27" s="1481"/>
      <c r="AU27" s="1481"/>
      <c r="AV27" s="1481"/>
      <c r="AW27" s="1481"/>
      <c r="AX27" s="1481"/>
      <c r="AY27" s="1481"/>
      <c r="AZ27" s="1481"/>
      <c r="BA27" s="1481"/>
      <c r="BB27" s="1481"/>
      <c r="BC27" s="1481"/>
      <c r="BD27" s="1481"/>
      <c r="BE27" s="1481"/>
      <c r="BF27" s="1481"/>
      <c r="BG27" s="1481"/>
      <c r="BH27" s="1481"/>
      <c r="BI27" s="1481"/>
      <c r="BJ27" s="1481"/>
      <c r="BK27" s="1481"/>
      <c r="BL27" s="1481"/>
      <c r="BM27" s="1481"/>
      <c r="BN27" s="1481"/>
      <c r="BO27" s="1481"/>
      <c r="BP27" s="1481"/>
      <c r="BQ27" s="1481"/>
      <c r="BR27" s="1481"/>
      <c r="BS27" s="1481"/>
      <c r="BT27" s="1481"/>
      <c r="BU27" s="1481"/>
      <c r="BV27" s="1481"/>
      <c r="BW27" s="1481"/>
      <c r="BX27" s="1481"/>
      <c r="BY27" s="1481"/>
      <c r="BZ27" s="1481"/>
      <c r="CA27" s="1481"/>
      <c r="CB27" s="1481"/>
      <c r="CC27" s="1481"/>
      <c r="CD27" s="1481"/>
      <c r="CE27" s="1481"/>
      <c r="CF27" s="1481"/>
      <c r="CG27" s="1481"/>
      <c r="CH27" s="1481"/>
      <c r="CI27" s="1481"/>
      <c r="CJ27" s="1481"/>
      <c r="CK27" s="1481"/>
      <c r="CL27" s="1481"/>
      <c r="CM27" s="1481"/>
      <c r="CN27" s="1481"/>
      <c r="CO27" s="1481"/>
      <c r="CP27" s="1481"/>
      <c r="CQ27" s="1481"/>
      <c r="CR27" s="1481"/>
      <c r="CS27" s="1481"/>
      <c r="CT27" s="1481"/>
      <c r="CU27" s="1481"/>
      <c r="CV27" s="1481"/>
      <c r="CW27" s="1481"/>
      <c r="CX27" s="1481"/>
      <c r="CY27" s="1481"/>
      <c r="CZ27" s="1481"/>
      <c r="DA27" s="1481"/>
      <c r="DB27" s="1481"/>
      <c r="DC27" s="1481"/>
      <c r="DD27" s="1481"/>
      <c r="DE27" s="1481"/>
      <c r="DF27" s="1481"/>
      <c r="DG27" s="1481"/>
      <c r="DH27" s="1481"/>
      <c r="DI27" s="1481"/>
      <c r="DJ27" s="1481"/>
      <c r="DK27" s="1481"/>
      <c r="DL27" s="1481"/>
      <c r="DM27" s="1481"/>
      <c r="DN27" s="1481"/>
      <c r="DO27" s="1481"/>
      <c r="DP27" s="1481"/>
      <c r="DQ27" s="1481"/>
      <c r="DR27" s="1481"/>
      <c r="DS27" s="1481"/>
      <c r="DT27" s="1481"/>
      <c r="DU27" s="1481"/>
      <c r="DV27" s="1481"/>
      <c r="DW27" s="1481"/>
      <c r="DX27" s="1481"/>
      <c r="DY27" s="1481"/>
      <c r="DZ27" s="1481"/>
      <c r="EA27" s="1481"/>
      <c r="EB27" s="1481"/>
      <c r="EC27" s="1481"/>
      <c r="ED27" s="1481"/>
      <c r="EE27" s="1481"/>
      <c r="EF27" s="1481"/>
      <c r="EG27" s="1481"/>
      <c r="EH27" s="1481"/>
      <c r="EI27" s="1481"/>
      <c r="EJ27" s="1481"/>
      <c r="EK27" s="1481"/>
      <c r="EL27" s="1481"/>
      <c r="EM27" s="1481"/>
      <c r="EN27" s="1481"/>
      <c r="EO27" s="1481"/>
      <c r="EP27" s="1481"/>
      <c r="EQ27" s="1481"/>
      <c r="ER27" s="1481"/>
      <c r="ES27" s="1481"/>
      <c r="ET27" s="1481"/>
      <c r="EU27" s="1481"/>
      <c r="EV27" s="1481"/>
      <c r="EW27" s="1481"/>
      <c r="EX27" s="1481"/>
      <c r="EY27" s="1481"/>
      <c r="EZ27" s="1481"/>
      <c r="FA27" s="1481"/>
      <c r="FB27" s="1481"/>
      <c r="FC27" s="1481"/>
      <c r="FD27" s="1481"/>
      <c r="FE27" s="1481"/>
      <c r="FF27" s="1481"/>
      <c r="FG27" s="1481"/>
      <c r="FH27" s="1481"/>
      <c r="FI27" s="1481"/>
      <c r="FJ27" s="1481"/>
      <c r="FK27" s="1481"/>
      <c r="FL27" s="1481"/>
      <c r="FM27" s="1481"/>
      <c r="FN27" s="1481"/>
      <c r="FO27" s="1481"/>
      <c r="FP27" s="1481"/>
      <c r="FQ27" s="1481"/>
      <c r="FR27" s="1481"/>
      <c r="FS27" s="1481"/>
      <c r="FT27" s="1481"/>
      <c r="FU27" s="1481"/>
      <c r="FV27" s="1481"/>
      <c r="FW27" s="1481"/>
      <c r="FX27" s="1481"/>
      <c r="FY27" s="1481"/>
      <c r="FZ27" s="1481"/>
      <c r="GA27" s="1481"/>
      <c r="GB27" s="1481"/>
      <c r="GC27" s="1481"/>
      <c r="GD27" s="1481"/>
      <c r="GE27" s="1481"/>
      <c r="GF27" s="1481"/>
      <c r="GG27" s="1481"/>
      <c r="GH27" s="1481"/>
      <c r="GI27" s="1481"/>
      <c r="GJ27" s="1481"/>
      <c r="GK27" s="1481"/>
      <c r="GL27" s="1481"/>
      <c r="GM27" s="1481"/>
      <c r="GN27" s="1481"/>
      <c r="GO27" s="1481"/>
      <c r="GP27" s="1481"/>
      <c r="GQ27" s="1481"/>
      <c r="GR27" s="1481"/>
      <c r="GS27" s="1481"/>
      <c r="GT27" s="1481"/>
      <c r="GU27" s="1481"/>
      <c r="GV27" s="1481"/>
      <c r="GW27" s="1481"/>
      <c r="GX27" s="1481"/>
      <c r="GY27" s="1481"/>
      <c r="GZ27" s="1481"/>
      <c r="HA27" s="1481"/>
      <c r="HB27" s="1481"/>
      <c r="HC27" s="1481"/>
      <c r="HD27" s="1481"/>
      <c r="HE27" s="1481"/>
      <c r="HF27" s="1481"/>
      <c r="HG27" s="1481"/>
      <c r="HH27" s="1481"/>
      <c r="HI27" s="1481"/>
      <c r="HJ27" s="1481"/>
      <c r="HK27" s="1481"/>
      <c r="HL27" s="1481"/>
      <c r="HM27" s="1481"/>
      <c r="HN27" s="1481"/>
      <c r="HO27" s="1481"/>
      <c r="HP27" s="1481"/>
      <c r="HQ27" s="1481"/>
      <c r="HR27" s="1481"/>
      <c r="HS27" s="1481"/>
      <c r="HT27" s="1481"/>
      <c r="HU27" s="1481"/>
      <c r="HV27" s="1481"/>
      <c r="HW27" s="1481"/>
      <c r="HX27" s="1481"/>
      <c r="HY27" s="1481"/>
      <c r="HZ27" s="1481"/>
      <c r="IA27" s="1481"/>
      <c r="IB27" s="1481"/>
      <c r="IC27" s="1481"/>
      <c r="ID27" s="1481"/>
      <c r="IE27" s="1481"/>
      <c r="IF27" s="1481"/>
      <c r="IG27" s="1481"/>
      <c r="IH27" s="1481"/>
      <c r="II27" s="1481"/>
      <c r="IJ27" s="1481"/>
      <c r="IK27" s="1481"/>
      <c r="IL27" s="1481"/>
      <c r="IM27" s="1481"/>
      <c r="IN27" s="1481"/>
    </row>
    <row r="28" spans="1:248" s="1483" customFormat="1" ht="25.5" customHeight="1" x14ac:dyDescent="0.25">
      <c r="A28" s="1384"/>
      <c r="B28" s="1482" t="s">
        <v>1957</v>
      </c>
      <c r="C28" s="1392">
        <f>C987</f>
        <v>350000</v>
      </c>
      <c r="D28" s="1392">
        <f>D987</f>
        <v>350000</v>
      </c>
      <c r="E28" s="1392"/>
      <c r="F28" s="1392"/>
      <c r="G28" s="1392"/>
      <c r="H28" s="1392"/>
      <c r="I28" s="1392"/>
      <c r="IH28" s="1474"/>
      <c r="II28" s="1474"/>
      <c r="IJ28" s="1474"/>
      <c r="IK28" s="1474"/>
      <c r="IL28" s="1474"/>
      <c r="IM28" s="1474"/>
      <c r="IN28" s="1474"/>
    </row>
    <row r="29" spans="1:248" s="1474" customFormat="1" ht="25.5" customHeight="1" thickBot="1" x14ac:dyDescent="0.3">
      <c r="A29" s="1389"/>
      <c r="B29" s="1484" t="s">
        <v>54</v>
      </c>
      <c r="C29" s="1485">
        <f>C998</f>
        <v>36990000</v>
      </c>
      <c r="D29" s="1485">
        <f>D998</f>
        <v>81810309.319999993</v>
      </c>
      <c r="E29" s="1485"/>
      <c r="F29" s="1485"/>
      <c r="G29" s="1485"/>
      <c r="H29" s="1485"/>
      <c r="I29" s="1485"/>
    </row>
    <row r="30" spans="1:248" s="116" customFormat="1" ht="25.5" customHeight="1" thickBot="1" x14ac:dyDescent="0.4">
      <c r="A30" s="734"/>
      <c r="B30" s="734" t="s">
        <v>55</v>
      </c>
      <c r="C30" s="715">
        <f>C1025</f>
        <v>1012540563</v>
      </c>
      <c r="D30" s="715">
        <f>D1025</f>
        <v>1085138478.02</v>
      </c>
      <c r="E30" s="1232"/>
      <c r="F30" s="1233"/>
      <c r="G30" s="1232"/>
      <c r="H30" s="1232"/>
      <c r="I30" s="1232"/>
    </row>
    <row r="31" spans="1:248" s="12" customFormat="1" ht="30" customHeight="1" thickBot="1" x14ac:dyDescent="0.35">
      <c r="A31" s="771"/>
      <c r="B31" s="783" t="s">
        <v>56</v>
      </c>
      <c r="C31" s="860"/>
      <c r="D31" s="860"/>
      <c r="E31" s="1234"/>
      <c r="F31" s="1235"/>
      <c r="G31" s="1234"/>
      <c r="H31" s="1234"/>
      <c r="I31" s="1236"/>
    </row>
    <row r="32" spans="1:248" s="107" customFormat="1" ht="30" customHeight="1" thickBot="1" x14ac:dyDescent="0.3">
      <c r="A32" s="822"/>
      <c r="B32" s="784" t="s">
        <v>57</v>
      </c>
      <c r="C32" s="962">
        <f t="shared" ref="C32:D32" si="0">SUM(C33:C44,C48:C53,C60:C62)</f>
        <v>545682000</v>
      </c>
      <c r="D32" s="962">
        <f t="shared" si="0"/>
        <v>565149250</v>
      </c>
      <c r="E32" s="1237"/>
      <c r="F32" s="1238"/>
      <c r="G32" s="1237"/>
      <c r="H32" s="1237"/>
      <c r="I32" s="1239"/>
    </row>
    <row r="33" spans="1:9" s="107" customFormat="1" ht="30" customHeight="1" x14ac:dyDescent="0.2">
      <c r="A33" s="823">
        <v>1111</v>
      </c>
      <c r="B33" s="785" t="s">
        <v>1322</v>
      </c>
      <c r="C33" s="963">
        <v>76180000</v>
      </c>
      <c r="D33" s="963">
        <v>76180000</v>
      </c>
      <c r="E33" s="824"/>
      <c r="F33" s="1226"/>
      <c r="G33" s="1240"/>
      <c r="H33" s="1241"/>
      <c r="I33" s="1242"/>
    </row>
    <row r="34" spans="1:9" s="116" customFormat="1" ht="30" customHeight="1" x14ac:dyDescent="0.2">
      <c r="A34" s="725">
        <v>1111</v>
      </c>
      <c r="B34" s="760" t="s">
        <v>1217</v>
      </c>
      <c r="C34" s="964">
        <v>7440000</v>
      </c>
      <c r="D34" s="964">
        <v>7440000</v>
      </c>
      <c r="E34" s="825"/>
      <c r="F34" s="1243"/>
      <c r="G34" s="825"/>
      <c r="H34" s="1244"/>
      <c r="I34" s="1245"/>
    </row>
    <row r="35" spans="1:9" s="116" customFormat="1" ht="30" customHeight="1" x14ac:dyDescent="0.2">
      <c r="A35" s="725">
        <v>1112</v>
      </c>
      <c r="B35" s="760" t="s">
        <v>1216</v>
      </c>
      <c r="C35" s="964">
        <v>5470000</v>
      </c>
      <c r="D35" s="964">
        <v>5470000</v>
      </c>
      <c r="E35" s="826"/>
      <c r="F35" s="1246"/>
      <c r="G35" s="825"/>
      <c r="H35" s="1244"/>
      <c r="I35" s="1245"/>
    </row>
    <row r="36" spans="1:9" s="116" customFormat="1" ht="30" customHeight="1" x14ac:dyDescent="0.2">
      <c r="A36" s="725">
        <v>1113</v>
      </c>
      <c r="B36" s="760" t="s">
        <v>1218</v>
      </c>
      <c r="C36" s="964">
        <v>14850000</v>
      </c>
      <c r="D36" s="964">
        <v>14850000</v>
      </c>
      <c r="E36" s="826"/>
      <c r="F36" s="1246"/>
      <c r="G36" s="825"/>
      <c r="H36" s="1244"/>
      <c r="I36" s="1245"/>
    </row>
    <row r="37" spans="1:9" s="116" customFormat="1" ht="30" customHeight="1" x14ac:dyDescent="0.2">
      <c r="A37" s="725">
        <v>1121</v>
      </c>
      <c r="B37" s="760" t="s">
        <v>1219</v>
      </c>
      <c r="C37" s="964">
        <f>119931345-1345</f>
        <v>119930000</v>
      </c>
      <c r="D37" s="964">
        <f>119931345-1345</f>
        <v>119930000</v>
      </c>
      <c r="E37" s="826"/>
      <c r="F37" s="1246"/>
      <c r="G37" s="825"/>
      <c r="H37" s="1244"/>
      <c r="I37" s="1245"/>
    </row>
    <row r="38" spans="1:9" s="116" customFormat="1" ht="30" customHeight="1" x14ac:dyDescent="0.2">
      <c r="A38" s="725">
        <v>1122</v>
      </c>
      <c r="B38" s="723" t="s">
        <v>1221</v>
      </c>
      <c r="C38" s="701">
        <v>30000000</v>
      </c>
      <c r="D38" s="701">
        <f>30000000+16435050</f>
        <v>46435050</v>
      </c>
      <c r="E38" s="701"/>
      <c r="F38" s="707"/>
      <c r="G38" s="825"/>
      <c r="H38" s="1244"/>
      <c r="I38" s="1247"/>
    </row>
    <row r="39" spans="1:9" s="116" customFormat="1" ht="30" customHeight="1" x14ac:dyDescent="0.2">
      <c r="A39" s="725">
        <v>1211</v>
      </c>
      <c r="B39" s="760" t="s">
        <v>1220</v>
      </c>
      <c r="C39" s="826">
        <v>233630000</v>
      </c>
      <c r="D39" s="826">
        <v>233630000</v>
      </c>
      <c r="E39" s="826"/>
      <c r="F39" s="1246"/>
      <c r="G39" s="825"/>
      <c r="H39" s="1244"/>
      <c r="I39" s="1245"/>
    </row>
    <row r="40" spans="1:9" s="116" customFormat="1" ht="30" customHeight="1" x14ac:dyDescent="0.2">
      <c r="A40" s="725">
        <v>1334</v>
      </c>
      <c r="B40" s="723" t="s">
        <v>1222</v>
      </c>
      <c r="C40" s="870">
        <v>50000</v>
      </c>
      <c r="D40" s="870">
        <v>50000</v>
      </c>
      <c r="E40" s="1218"/>
      <c r="F40" s="1163"/>
      <c r="G40" s="825"/>
      <c r="H40" s="1244"/>
      <c r="I40" s="1247"/>
    </row>
    <row r="41" spans="1:9" s="116" customFormat="1" ht="30" customHeight="1" x14ac:dyDescent="0.2">
      <c r="A41" s="725">
        <v>1335</v>
      </c>
      <c r="B41" s="760" t="s">
        <v>1223</v>
      </c>
      <c r="C41" s="870">
        <v>2000</v>
      </c>
      <c r="D41" s="870">
        <v>2000</v>
      </c>
      <c r="E41" s="1218"/>
      <c r="F41" s="1163"/>
      <c r="G41" s="825"/>
      <c r="H41" s="1244"/>
      <c r="I41" s="1245"/>
    </row>
    <row r="42" spans="1:9" s="116" customFormat="1" ht="30" customHeight="1" x14ac:dyDescent="0.2">
      <c r="A42" s="725">
        <v>1336</v>
      </c>
      <c r="B42" s="760" t="s">
        <v>1224</v>
      </c>
      <c r="C42" s="870">
        <v>0</v>
      </c>
      <c r="D42" s="870">
        <f>32200</f>
        <v>32200</v>
      </c>
      <c r="E42" s="1218"/>
      <c r="F42" s="1163"/>
      <c r="G42" s="825"/>
      <c r="H42" s="1244"/>
      <c r="I42" s="1245"/>
    </row>
    <row r="43" spans="1:9" s="116" customFormat="1" ht="30" customHeight="1" x14ac:dyDescent="0.2">
      <c r="A43" s="725">
        <v>1341</v>
      </c>
      <c r="B43" s="760" t="s">
        <v>1734</v>
      </c>
      <c r="C43" s="870">
        <v>600000</v>
      </c>
      <c r="D43" s="870">
        <v>600000</v>
      </c>
      <c r="E43" s="1218"/>
      <c r="F43" s="1163"/>
      <c r="G43" s="825"/>
      <c r="H43" s="1244"/>
      <c r="I43" s="1245"/>
    </row>
    <row r="44" spans="1:9" s="116" customFormat="1" ht="30" customHeight="1" x14ac:dyDescent="0.2">
      <c r="A44" s="725">
        <v>1343</v>
      </c>
      <c r="B44" s="760" t="s">
        <v>1225</v>
      </c>
      <c r="C44" s="717">
        <f t="shared" ref="C44:D44" si="1">SUM(C45:C47)</f>
        <v>425000</v>
      </c>
      <c r="D44" s="717">
        <f t="shared" si="1"/>
        <v>425000</v>
      </c>
      <c r="E44" s="717"/>
      <c r="F44" s="759"/>
      <c r="G44" s="825"/>
      <c r="H44" s="1244"/>
      <c r="I44" s="1245"/>
    </row>
    <row r="45" spans="1:9" ht="30" customHeight="1" x14ac:dyDescent="0.2">
      <c r="A45" s="827"/>
      <c r="B45" s="761" t="s">
        <v>1226</v>
      </c>
      <c r="C45" s="871">
        <v>250000</v>
      </c>
      <c r="D45" s="871">
        <v>250000</v>
      </c>
      <c r="E45" s="1163"/>
      <c r="F45" s="1163"/>
      <c r="G45" s="1243"/>
      <c r="H45" s="1248"/>
      <c r="I45" s="1249"/>
    </row>
    <row r="46" spans="1:9" ht="30" customHeight="1" x14ac:dyDescent="0.2">
      <c r="A46" s="727"/>
      <c r="B46" s="761" t="s">
        <v>1402</v>
      </c>
      <c r="C46" s="871">
        <v>90000</v>
      </c>
      <c r="D46" s="871">
        <v>90000</v>
      </c>
      <c r="E46" s="1163"/>
      <c r="F46" s="1163"/>
      <c r="G46" s="1243"/>
      <c r="H46" s="1248"/>
      <c r="I46" s="1249"/>
    </row>
    <row r="47" spans="1:9" ht="30" customHeight="1" x14ac:dyDescent="0.2">
      <c r="A47" s="727"/>
      <c r="B47" s="761" t="s">
        <v>1403</v>
      </c>
      <c r="C47" s="871">
        <v>85000</v>
      </c>
      <c r="D47" s="871">
        <v>85000</v>
      </c>
      <c r="E47" s="1163"/>
      <c r="F47" s="1163"/>
      <c r="G47" s="1243"/>
      <c r="H47" s="1248"/>
      <c r="I47" s="1249"/>
    </row>
    <row r="48" spans="1:9" ht="30" customHeight="1" x14ac:dyDescent="0.2">
      <c r="A48" s="828">
        <v>1345</v>
      </c>
      <c r="B48" s="722" t="s">
        <v>1735</v>
      </c>
      <c r="C48" s="870">
        <v>17500000</v>
      </c>
      <c r="D48" s="870">
        <v>17500000</v>
      </c>
      <c r="E48" s="1218"/>
      <c r="F48" s="1163"/>
      <c r="G48" s="825"/>
      <c r="H48" s="1244"/>
      <c r="I48" s="1247"/>
    </row>
    <row r="49" spans="1:57" s="107" customFormat="1" ht="30" customHeight="1" x14ac:dyDescent="0.2">
      <c r="A49" s="725">
        <v>1346</v>
      </c>
      <c r="B49" s="723" t="s">
        <v>1227</v>
      </c>
      <c r="C49" s="870">
        <v>180000</v>
      </c>
      <c r="D49" s="870">
        <v>180000</v>
      </c>
      <c r="E49" s="1218"/>
      <c r="F49" s="1163"/>
      <c r="G49" s="825"/>
      <c r="H49" s="1244"/>
      <c r="I49" s="1247"/>
    </row>
    <row r="50" spans="1:57" s="107" customFormat="1" ht="30" customHeight="1" x14ac:dyDescent="0.2">
      <c r="A50" s="725">
        <v>1353</v>
      </c>
      <c r="B50" s="760" t="s">
        <v>1228</v>
      </c>
      <c r="C50" s="940">
        <v>750000</v>
      </c>
      <c r="D50" s="940">
        <v>750000</v>
      </c>
      <c r="E50" s="1218"/>
      <c r="F50" s="1163"/>
      <c r="G50" s="825"/>
      <c r="H50" s="1244"/>
      <c r="I50" s="1245"/>
    </row>
    <row r="51" spans="1:57" s="116" customFormat="1" ht="30" customHeight="1" x14ac:dyDescent="0.2">
      <c r="A51" s="725">
        <v>1356</v>
      </c>
      <c r="B51" s="760" t="s">
        <v>1229</v>
      </c>
      <c r="C51" s="701">
        <v>250000</v>
      </c>
      <c r="D51" s="701">
        <v>250000</v>
      </c>
      <c r="E51" s="701"/>
      <c r="F51" s="707"/>
      <c r="G51" s="825"/>
      <c r="H51" s="1244"/>
      <c r="I51" s="1245"/>
    </row>
    <row r="52" spans="1:57" s="116" customFormat="1" ht="30" customHeight="1" x14ac:dyDescent="0.2">
      <c r="A52" s="725">
        <v>1359</v>
      </c>
      <c r="B52" s="760" t="s">
        <v>1747</v>
      </c>
      <c r="C52" s="701">
        <v>0</v>
      </c>
      <c r="D52" s="701">
        <v>0</v>
      </c>
      <c r="E52" s="701"/>
      <c r="F52" s="707"/>
      <c r="G52" s="825"/>
      <c r="H52" s="1244"/>
      <c r="I52" s="1245"/>
    </row>
    <row r="53" spans="1:57" s="116" customFormat="1" ht="30" customHeight="1" x14ac:dyDescent="0.2">
      <c r="A53" s="725">
        <v>1361</v>
      </c>
      <c r="B53" s="760" t="s">
        <v>1231</v>
      </c>
      <c r="C53" s="717">
        <f t="shared" ref="C53:D53" si="2">SUM(C54:C59)</f>
        <v>8825000</v>
      </c>
      <c r="D53" s="717">
        <f t="shared" si="2"/>
        <v>8825000</v>
      </c>
      <c r="E53" s="717"/>
      <c r="F53" s="759"/>
      <c r="G53" s="825"/>
      <c r="H53" s="1244"/>
      <c r="I53" s="1245"/>
    </row>
    <row r="54" spans="1:57" s="12" customFormat="1" ht="30" customHeight="1" x14ac:dyDescent="0.2">
      <c r="A54" s="727"/>
      <c r="B54" s="761" t="s">
        <v>1230</v>
      </c>
      <c r="C54" s="871">
        <v>5500000</v>
      </c>
      <c r="D54" s="871">
        <v>5500000</v>
      </c>
      <c r="E54" s="1163"/>
      <c r="F54" s="1163"/>
      <c r="G54" s="1243"/>
      <c r="H54" s="1248"/>
      <c r="I54" s="1247"/>
    </row>
    <row r="55" spans="1:57" ht="30" customHeight="1" x14ac:dyDescent="0.2">
      <c r="A55" s="726"/>
      <c r="B55" s="763" t="s">
        <v>1748</v>
      </c>
      <c r="C55" s="871">
        <v>416000</v>
      </c>
      <c r="D55" s="871">
        <v>416000</v>
      </c>
      <c r="E55" s="1163"/>
      <c r="F55" s="1163"/>
      <c r="G55" s="1243"/>
      <c r="H55" s="1248"/>
      <c r="I55" s="1245"/>
    </row>
    <row r="56" spans="1:57" ht="30" customHeight="1" x14ac:dyDescent="0.2">
      <c r="A56" s="727"/>
      <c r="B56" s="761" t="s">
        <v>1749</v>
      </c>
      <c r="C56" s="871">
        <v>1000000</v>
      </c>
      <c r="D56" s="871">
        <v>1000000</v>
      </c>
      <c r="E56" s="707"/>
      <c r="F56" s="707"/>
      <c r="G56" s="1243"/>
      <c r="H56" s="1248"/>
      <c r="I56" s="1245"/>
    </row>
    <row r="57" spans="1:57" s="146" customFormat="1" ht="30" customHeight="1" x14ac:dyDescent="0.2">
      <c r="A57" s="829"/>
      <c r="B57" s="763" t="s">
        <v>1930</v>
      </c>
      <c r="C57" s="707">
        <v>1719000</v>
      </c>
      <c r="D57" s="707">
        <v>1719000</v>
      </c>
      <c r="E57" s="707"/>
      <c r="F57" s="707"/>
      <c r="G57" s="1243"/>
      <c r="H57" s="1248"/>
      <c r="I57" s="1245"/>
      <c r="J57" s="145"/>
      <c r="K57" s="145"/>
      <c r="L57" s="145"/>
      <c r="M57" s="145"/>
      <c r="N57" s="145"/>
      <c r="O57" s="145"/>
      <c r="P57" s="145"/>
      <c r="Q57" s="145"/>
      <c r="R57" s="145"/>
      <c r="S57" s="145"/>
      <c r="T57" s="145"/>
      <c r="U57" s="145"/>
      <c r="V57" s="145"/>
      <c r="W57" s="145"/>
      <c r="X57" s="145"/>
      <c r="Y57" s="145"/>
      <c r="Z57" s="145"/>
      <c r="AA57" s="145"/>
      <c r="AB57" s="145"/>
    </row>
    <row r="58" spans="1:57" ht="30" customHeight="1" x14ac:dyDescent="0.2">
      <c r="A58" s="727"/>
      <c r="B58" s="761" t="s">
        <v>1750</v>
      </c>
      <c r="C58" s="707">
        <v>185000</v>
      </c>
      <c r="D58" s="707">
        <v>185000</v>
      </c>
      <c r="E58" s="1163"/>
      <c r="F58" s="1163"/>
      <c r="G58" s="1243"/>
      <c r="H58" s="1248"/>
      <c r="I58" s="1245"/>
    </row>
    <row r="59" spans="1:57" ht="30" customHeight="1" x14ac:dyDescent="0.2">
      <c r="A59" s="726"/>
      <c r="B59" s="761" t="s">
        <v>1751</v>
      </c>
      <c r="C59" s="871">
        <v>5000</v>
      </c>
      <c r="D59" s="871">
        <v>5000</v>
      </c>
      <c r="E59" s="1163"/>
      <c r="F59" s="1163"/>
      <c r="G59" s="1243"/>
      <c r="H59" s="1248"/>
      <c r="I59" s="1245"/>
    </row>
    <row r="60" spans="1:57" ht="30" customHeight="1" x14ac:dyDescent="0.2">
      <c r="A60" s="1556">
        <v>1381</v>
      </c>
      <c r="B60" s="768" t="s">
        <v>1232</v>
      </c>
      <c r="C60" s="870">
        <v>2640000</v>
      </c>
      <c r="D60" s="870">
        <v>2640000</v>
      </c>
      <c r="E60" s="1218"/>
      <c r="F60" s="1163"/>
      <c r="G60" s="825"/>
      <c r="H60" s="1244"/>
      <c r="I60" s="1245"/>
    </row>
    <row r="61" spans="1:57" ht="30" customHeight="1" x14ac:dyDescent="0.2">
      <c r="A61" s="1556">
        <v>1385</v>
      </c>
      <c r="B61" s="768" t="s">
        <v>1233</v>
      </c>
      <c r="C61" s="870">
        <v>3000000</v>
      </c>
      <c r="D61" s="870">
        <f>3000000+3000000</f>
        <v>6000000</v>
      </c>
      <c r="E61" s="1218"/>
      <c r="F61" s="1163"/>
      <c r="G61" s="825"/>
      <c r="H61" s="1244"/>
      <c r="I61" s="1245"/>
    </row>
    <row r="62" spans="1:57" s="116" customFormat="1" ht="30" customHeight="1" x14ac:dyDescent="0.2">
      <c r="A62" s="739">
        <v>1511</v>
      </c>
      <c r="B62" s="760" t="s">
        <v>1234</v>
      </c>
      <c r="C62" s="701">
        <v>23960000</v>
      </c>
      <c r="D62" s="701">
        <v>23960000</v>
      </c>
      <c r="E62" s="701"/>
      <c r="F62" s="707"/>
      <c r="G62" s="825"/>
      <c r="H62" s="1244"/>
      <c r="I62" s="1245"/>
    </row>
    <row r="63" spans="1:57" s="116" customFormat="1" ht="30" customHeight="1" thickBot="1" x14ac:dyDescent="0.25">
      <c r="A63" s="830"/>
      <c r="B63" s="786"/>
      <c r="C63" s="718"/>
      <c r="D63" s="718"/>
      <c r="E63" s="718"/>
      <c r="F63" s="711"/>
      <c r="G63" s="718"/>
      <c r="H63" s="718"/>
      <c r="I63" s="1250"/>
    </row>
    <row r="64" spans="1:57" s="116" customFormat="1" ht="30" customHeight="1" thickBot="1" x14ac:dyDescent="0.3">
      <c r="A64" s="831"/>
      <c r="B64" s="787" t="s">
        <v>10</v>
      </c>
      <c r="C64" s="436">
        <f>SUM(C65,C77:C80,C92:C93,C107:C107,C124:C126,C146:C147)</f>
        <v>163957324.72000003</v>
      </c>
      <c r="D64" s="436">
        <f>SUM(D65,D77:D80,D92:D93,D107:D107,D124:D126,D146:D147)</f>
        <v>189794148.43000001</v>
      </c>
      <c r="E64" s="1251"/>
      <c r="F64" s="1252"/>
      <c r="G64" s="1237"/>
      <c r="H64" s="1237"/>
      <c r="I64" s="1253"/>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row>
    <row r="65" spans="1:57" s="116" customFormat="1" ht="30" customHeight="1" x14ac:dyDescent="0.2">
      <c r="A65" s="773">
        <v>2111</v>
      </c>
      <c r="B65" s="785" t="s">
        <v>1235</v>
      </c>
      <c r="C65" s="706">
        <f>SUM(C66:C76)</f>
        <v>16515400</v>
      </c>
      <c r="D65" s="706">
        <f>SUM(D66:D76)</f>
        <v>16515400</v>
      </c>
      <c r="E65" s="947"/>
      <c r="F65" s="1254"/>
      <c r="G65" s="825"/>
      <c r="H65" s="1244"/>
      <c r="I65" s="1245"/>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row>
    <row r="66" spans="1:57" s="116" customFormat="1" ht="30" customHeight="1" x14ac:dyDescent="0.2">
      <c r="A66" s="1189"/>
      <c r="B66" s="1213" t="s">
        <v>1936</v>
      </c>
      <c r="C66" s="1163">
        <v>0</v>
      </c>
      <c r="D66" s="1163">
        <v>0</v>
      </c>
      <c r="E66" s="1163"/>
      <c r="F66" s="1163"/>
      <c r="G66" s="1243"/>
      <c r="H66" s="1248"/>
      <c r="I66" s="1249"/>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row>
    <row r="67" spans="1:57" ht="30" customHeight="1" x14ac:dyDescent="0.2">
      <c r="A67" s="713"/>
      <c r="B67" s="761" t="s">
        <v>1236</v>
      </c>
      <c r="C67" s="871">
        <v>800000</v>
      </c>
      <c r="D67" s="871">
        <v>800000</v>
      </c>
      <c r="E67" s="1163"/>
      <c r="F67" s="1163"/>
      <c r="G67" s="1243"/>
      <c r="H67" s="1248"/>
      <c r="I67" s="1249"/>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row>
    <row r="68" spans="1:57" s="12" customFormat="1" ht="30" customHeight="1" x14ac:dyDescent="0.2">
      <c r="A68" s="728"/>
      <c r="B68" s="761" t="s">
        <v>1237</v>
      </c>
      <c r="C68" s="871">
        <v>950000</v>
      </c>
      <c r="D68" s="871">
        <v>950000</v>
      </c>
      <c r="E68" s="1163"/>
      <c r="F68" s="1163"/>
      <c r="G68" s="1243"/>
      <c r="H68" s="1248"/>
      <c r="I68" s="1249"/>
    </row>
    <row r="69" spans="1:57" s="12" customFormat="1" ht="30" customHeight="1" x14ac:dyDescent="0.2">
      <c r="A69" s="728"/>
      <c r="B69" s="761" t="s">
        <v>1937</v>
      </c>
      <c r="C69" s="1163">
        <v>0</v>
      </c>
      <c r="D69" s="1163">
        <v>0</v>
      </c>
      <c r="E69" s="1163"/>
      <c r="F69" s="1163"/>
      <c r="G69" s="1243"/>
      <c r="H69" s="1248"/>
      <c r="I69" s="1249"/>
    </row>
    <row r="70" spans="1:57" s="12" customFormat="1" ht="30" customHeight="1" x14ac:dyDescent="0.2">
      <c r="A70" s="728"/>
      <c r="B70" s="761" t="s">
        <v>1938</v>
      </c>
      <c r="C70" s="1163">
        <v>0</v>
      </c>
      <c r="D70" s="1163">
        <v>0</v>
      </c>
      <c r="E70" s="1163"/>
      <c r="F70" s="1163"/>
      <c r="G70" s="1243"/>
      <c r="H70" s="1248"/>
      <c r="I70" s="1249"/>
    </row>
    <row r="71" spans="1:57" s="737" customFormat="1" ht="30" customHeight="1" x14ac:dyDescent="0.2">
      <c r="A71" s="728"/>
      <c r="B71" s="967" t="s">
        <v>1240</v>
      </c>
      <c r="C71" s="874">
        <v>6700000</v>
      </c>
      <c r="D71" s="874">
        <v>6700000</v>
      </c>
      <c r="E71" s="1163"/>
      <c r="F71" s="1163"/>
      <c r="G71" s="1243"/>
      <c r="H71" s="1248"/>
      <c r="I71" s="1249"/>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row>
    <row r="72" spans="1:57" s="737" customFormat="1" ht="30" customHeight="1" x14ac:dyDescent="0.2">
      <c r="A72" s="728"/>
      <c r="B72" s="967" t="s">
        <v>1241</v>
      </c>
      <c r="C72" s="874">
        <v>2049000</v>
      </c>
      <c r="D72" s="874">
        <v>2049000</v>
      </c>
      <c r="E72" s="1163"/>
      <c r="F72" s="1163"/>
      <c r="G72" s="1243"/>
      <c r="H72" s="1248"/>
      <c r="I72" s="1249"/>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row>
    <row r="73" spans="1:57" s="737" customFormat="1" ht="30" customHeight="1" x14ac:dyDescent="0.2">
      <c r="A73" s="728"/>
      <c r="B73" s="967" t="s">
        <v>1939</v>
      </c>
      <c r="C73" s="874">
        <v>2955900</v>
      </c>
      <c r="D73" s="874">
        <v>2955900</v>
      </c>
      <c r="E73" s="1163"/>
      <c r="F73" s="1163"/>
      <c r="G73" s="1243"/>
      <c r="H73" s="1248"/>
      <c r="I73" s="1249"/>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row>
    <row r="74" spans="1:57" ht="30" customHeight="1" x14ac:dyDescent="0.2">
      <c r="A74" s="728"/>
      <c r="B74" s="967" t="s">
        <v>1323</v>
      </c>
      <c r="C74" s="874">
        <v>3000000</v>
      </c>
      <c r="D74" s="874">
        <v>3000000</v>
      </c>
      <c r="E74" s="1163"/>
      <c r="F74" s="1163"/>
      <c r="G74" s="1243"/>
      <c r="H74" s="1248"/>
      <c r="I74" s="1249"/>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row>
    <row r="75" spans="1:57" ht="30" customHeight="1" x14ac:dyDescent="0.2">
      <c r="A75" s="728"/>
      <c r="B75" s="967" t="s">
        <v>1238</v>
      </c>
      <c r="C75" s="874">
        <v>60000</v>
      </c>
      <c r="D75" s="874">
        <v>60000</v>
      </c>
      <c r="E75" s="1163"/>
      <c r="F75" s="1163"/>
      <c r="G75" s="1243"/>
      <c r="H75" s="1248"/>
      <c r="I75" s="1249"/>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row>
    <row r="76" spans="1:57" ht="30" customHeight="1" x14ac:dyDescent="0.2">
      <c r="A76" s="728"/>
      <c r="B76" s="967" t="s">
        <v>1239</v>
      </c>
      <c r="C76" s="874">
        <v>500</v>
      </c>
      <c r="D76" s="874">
        <v>500</v>
      </c>
      <c r="E76" s="1163"/>
      <c r="F76" s="1163"/>
      <c r="G76" s="1243"/>
      <c r="H76" s="1248"/>
      <c r="I76" s="1249"/>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row>
    <row r="77" spans="1:57" s="738" customFormat="1" ht="30" customHeight="1" x14ac:dyDescent="0.2">
      <c r="A77" s="713">
        <v>2119</v>
      </c>
      <c r="B77" s="968" t="s">
        <v>1480</v>
      </c>
      <c r="C77" s="940">
        <v>3000000</v>
      </c>
      <c r="D77" s="940">
        <v>3000000</v>
      </c>
      <c r="E77" s="1218"/>
      <c r="F77" s="1163"/>
      <c r="G77" s="825"/>
      <c r="H77" s="1244"/>
      <c r="I77" s="1255"/>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row>
    <row r="78" spans="1:57" s="116" customFormat="1" ht="30" customHeight="1" x14ac:dyDescent="0.2">
      <c r="A78" s="713">
        <v>2122</v>
      </c>
      <c r="B78" s="905" t="s">
        <v>1698</v>
      </c>
      <c r="C78" s="906">
        <f>SUM(355760+288696.24+157064+934180+398227+74093+156477+126060+522020+175356+962729.12)</f>
        <v>4150662.3600000003</v>
      </c>
      <c r="D78" s="906">
        <f>SUM(355760+288696.24+157064+934180+398227+74093+156477+126060+522020+175356+962729.12)+192228+(1009024.72+835189.98)-1196</f>
        <v>6185909.0600000005</v>
      </c>
      <c r="E78" s="820"/>
      <c r="F78" s="1256"/>
      <c r="G78" s="825"/>
      <c r="H78" s="1244"/>
      <c r="I78" s="1255"/>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row>
    <row r="79" spans="1:57" s="116" customFormat="1" ht="30" customHeight="1" x14ac:dyDescent="0.2">
      <c r="A79" s="713">
        <v>2131</v>
      </c>
      <c r="B79" s="968" t="s">
        <v>1479</v>
      </c>
      <c r="C79" s="940">
        <v>1000000</v>
      </c>
      <c r="D79" s="940">
        <v>1000000</v>
      </c>
      <c r="E79" s="1218"/>
      <c r="F79" s="1163"/>
      <c r="G79" s="825"/>
      <c r="H79" s="1244"/>
      <c r="I79" s="125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row>
    <row r="80" spans="1:57" s="116" customFormat="1" ht="30" customHeight="1" x14ac:dyDescent="0.2">
      <c r="A80" s="713">
        <v>2132</v>
      </c>
      <c r="B80" s="905" t="s">
        <v>1250</v>
      </c>
      <c r="C80" s="862">
        <f>SUM(C81:C91)</f>
        <v>105248875</v>
      </c>
      <c r="D80" s="862">
        <f>SUM(D81:D91)</f>
        <v>105538208</v>
      </c>
      <c r="E80" s="701"/>
      <c r="F80" s="707"/>
      <c r="G80" s="825"/>
      <c r="H80" s="1244"/>
      <c r="I80" s="1255"/>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c r="AZ80" s="107"/>
      <c r="BA80" s="107"/>
      <c r="BB80" s="107"/>
      <c r="BC80" s="107"/>
      <c r="BD80" s="107"/>
      <c r="BE80" s="107"/>
    </row>
    <row r="81" spans="1:57" ht="30" customHeight="1" x14ac:dyDescent="0.2">
      <c r="A81" s="728"/>
      <c r="B81" s="967" t="s">
        <v>1251</v>
      </c>
      <c r="C81" s="874">
        <v>810000</v>
      </c>
      <c r="D81" s="874">
        <v>810000</v>
      </c>
      <c r="E81" s="1163"/>
      <c r="F81" s="1163"/>
      <c r="G81" s="1243"/>
      <c r="H81" s="1248"/>
      <c r="I81" s="1249"/>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row>
    <row r="82" spans="1:57" ht="30" customHeight="1" x14ac:dyDescent="0.2">
      <c r="A82" s="728"/>
      <c r="B82" s="967" t="s">
        <v>1252</v>
      </c>
      <c r="C82" s="874">
        <v>7000</v>
      </c>
      <c r="D82" s="874">
        <v>7000</v>
      </c>
      <c r="E82" s="1163"/>
      <c r="F82" s="1163"/>
      <c r="G82" s="1243"/>
      <c r="H82" s="1248"/>
      <c r="I82" s="1249"/>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row>
    <row r="83" spans="1:57" ht="30" customHeight="1" x14ac:dyDescent="0.2">
      <c r="A83" s="728"/>
      <c r="B83" s="967" t="s">
        <v>1324</v>
      </c>
      <c r="C83" s="874">
        <v>600000</v>
      </c>
      <c r="D83" s="874">
        <v>600000</v>
      </c>
      <c r="E83" s="1163"/>
      <c r="F83" s="1163"/>
      <c r="G83" s="1243"/>
      <c r="H83" s="1248"/>
      <c r="I83" s="1249"/>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row>
    <row r="84" spans="1:57" s="737" customFormat="1" ht="30" customHeight="1" x14ac:dyDescent="0.2">
      <c r="A84" s="728"/>
      <c r="B84" s="967" t="s">
        <v>1253</v>
      </c>
      <c r="C84" s="874">
        <v>340000</v>
      </c>
      <c r="D84" s="874">
        <v>340000</v>
      </c>
      <c r="E84" s="1163"/>
      <c r="F84" s="1163"/>
      <c r="G84" s="1243"/>
      <c r="H84" s="1248"/>
      <c r="I84" s="1249"/>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row>
    <row r="85" spans="1:57" s="737" customFormat="1" ht="30" customHeight="1" x14ac:dyDescent="0.2">
      <c r="A85" s="728"/>
      <c r="B85" s="969" t="s">
        <v>1467</v>
      </c>
      <c r="C85" s="874">
        <v>75480000</v>
      </c>
      <c r="D85" s="874">
        <v>75480000</v>
      </c>
      <c r="E85" s="1163"/>
      <c r="F85" s="1163"/>
      <c r="G85" s="1243"/>
      <c r="H85" s="1248"/>
      <c r="I85" s="1258"/>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row>
    <row r="86" spans="1:57" ht="30" customHeight="1" x14ac:dyDescent="0.2">
      <c r="A86" s="728"/>
      <c r="B86" s="969" t="s">
        <v>1478</v>
      </c>
      <c r="C86" s="874">
        <v>180875</v>
      </c>
      <c r="D86" s="874">
        <v>180875</v>
      </c>
      <c r="E86" s="1163"/>
      <c r="F86" s="1163"/>
      <c r="G86" s="1243"/>
      <c r="H86" s="1248"/>
      <c r="I86" s="1249"/>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row>
    <row r="87" spans="1:57" ht="30" customHeight="1" x14ac:dyDescent="0.2">
      <c r="A87" s="728"/>
      <c r="B87" s="967" t="s">
        <v>1560</v>
      </c>
      <c r="C87" s="874">
        <v>500000</v>
      </c>
      <c r="D87" s="874">
        <v>500000</v>
      </c>
      <c r="E87" s="1163"/>
      <c r="F87" s="1163"/>
      <c r="G87" s="1243"/>
      <c r="H87" s="1248"/>
      <c r="I87" s="1249"/>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row>
    <row r="88" spans="1:57" s="737" customFormat="1" ht="30" customHeight="1" x14ac:dyDescent="0.2">
      <c r="A88" s="728"/>
      <c r="B88" s="970" t="s">
        <v>1468</v>
      </c>
      <c r="C88" s="874">
        <v>15796000</v>
      </c>
      <c r="D88" s="874">
        <v>15796000</v>
      </c>
      <c r="E88" s="1163"/>
      <c r="F88" s="1163"/>
      <c r="G88" s="1243"/>
      <c r="H88" s="1248"/>
      <c r="I88" s="1258"/>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row>
    <row r="89" spans="1:57" s="737" customFormat="1" ht="30" customHeight="1" x14ac:dyDescent="0.2">
      <c r="A89" s="728"/>
      <c r="B89" s="967" t="s">
        <v>1325</v>
      </c>
      <c r="C89" s="874">
        <v>11500000</v>
      </c>
      <c r="D89" s="874">
        <f>11500000+289333</f>
        <v>11789333</v>
      </c>
      <c r="E89" s="1163"/>
      <c r="F89" s="1163"/>
      <c r="G89" s="1243"/>
      <c r="H89" s="1248"/>
      <c r="I89" s="1249"/>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row>
    <row r="90" spans="1:57" s="737" customFormat="1" ht="30" customHeight="1" x14ac:dyDescent="0.2">
      <c r="A90" s="728"/>
      <c r="B90" s="967" t="s">
        <v>1137</v>
      </c>
      <c r="C90" s="874">
        <v>20000</v>
      </c>
      <c r="D90" s="874">
        <v>20000</v>
      </c>
      <c r="E90" s="1163"/>
      <c r="F90" s="1163"/>
      <c r="G90" s="1243"/>
      <c r="H90" s="1248"/>
      <c r="I90" s="1249"/>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row>
    <row r="91" spans="1:57" ht="30" customHeight="1" x14ac:dyDescent="0.2">
      <c r="A91" s="971"/>
      <c r="B91" s="967" t="s">
        <v>1421</v>
      </c>
      <c r="C91" s="874">
        <v>15000</v>
      </c>
      <c r="D91" s="874">
        <v>15000</v>
      </c>
      <c r="E91" s="1163"/>
      <c r="F91" s="1163"/>
      <c r="G91" s="1243"/>
      <c r="H91" s="1248"/>
      <c r="I91" s="1249"/>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row>
    <row r="92" spans="1:57" s="116" customFormat="1" ht="30" customHeight="1" x14ac:dyDescent="0.2">
      <c r="A92" s="972">
        <v>2141</v>
      </c>
      <c r="B92" s="905" t="s">
        <v>118</v>
      </c>
      <c r="C92" s="940">
        <v>10000</v>
      </c>
      <c r="D92" s="940">
        <v>10000</v>
      </c>
      <c r="E92" s="1218"/>
      <c r="F92" s="1163"/>
      <c r="G92" s="825"/>
      <c r="H92" s="1244"/>
      <c r="I92" s="1255"/>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row>
    <row r="93" spans="1:57" s="116" customFormat="1" ht="30" customHeight="1" x14ac:dyDescent="0.2">
      <c r="A93" s="972">
        <v>2212</v>
      </c>
      <c r="B93" s="905" t="s">
        <v>1249</v>
      </c>
      <c r="C93" s="862">
        <f>SUM(C94:C106)</f>
        <v>11730000</v>
      </c>
      <c r="D93" s="862">
        <f>SUM(D94:D106)</f>
        <v>11780700</v>
      </c>
      <c r="E93" s="701"/>
      <c r="F93" s="707"/>
      <c r="G93" s="825"/>
      <c r="H93" s="1244"/>
      <c r="I93" s="1255"/>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row>
    <row r="94" spans="1:57" ht="30" customHeight="1" x14ac:dyDescent="0.2">
      <c r="A94" s="973"/>
      <c r="B94" s="967" t="s">
        <v>1414</v>
      </c>
      <c r="C94" s="874">
        <v>15000</v>
      </c>
      <c r="D94" s="874">
        <v>15000</v>
      </c>
      <c r="E94" s="1163"/>
      <c r="F94" s="1163"/>
      <c r="G94" s="1243"/>
      <c r="H94" s="1248"/>
      <c r="I94" s="1249"/>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row>
    <row r="95" spans="1:57" ht="30" customHeight="1" x14ac:dyDescent="0.2">
      <c r="A95" s="971"/>
      <c r="B95" s="967" t="s">
        <v>121</v>
      </c>
      <c r="C95" s="874">
        <v>100000</v>
      </c>
      <c r="D95" s="874">
        <v>100000</v>
      </c>
      <c r="E95" s="1163"/>
      <c r="F95" s="1163"/>
      <c r="G95" s="1243"/>
      <c r="H95" s="1248"/>
      <c r="I95" s="1249"/>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row>
    <row r="96" spans="1:57" ht="30" customHeight="1" x14ac:dyDescent="0.2">
      <c r="A96" s="971"/>
      <c r="B96" s="967" t="s">
        <v>1481</v>
      </c>
      <c r="C96" s="874">
        <v>0</v>
      </c>
      <c r="D96" s="874">
        <v>0</v>
      </c>
      <c r="E96" s="1259"/>
      <c r="F96" s="1259"/>
      <c r="G96" s="1243"/>
      <c r="H96" s="1248"/>
      <c r="I96" s="1249"/>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row>
    <row r="97" spans="1:57" ht="30" customHeight="1" x14ac:dyDescent="0.2">
      <c r="A97" s="971"/>
      <c r="B97" s="967" t="s">
        <v>1859</v>
      </c>
      <c r="C97" s="974">
        <v>2500000</v>
      </c>
      <c r="D97" s="974">
        <v>2500000</v>
      </c>
      <c r="E97" s="1259"/>
      <c r="F97" s="1259"/>
      <c r="G97" s="1243"/>
      <c r="H97" s="1248"/>
      <c r="I97" s="1249"/>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row>
    <row r="98" spans="1:57" ht="30" customHeight="1" x14ac:dyDescent="0.2">
      <c r="A98" s="971"/>
      <c r="B98" s="967" t="s">
        <v>1326</v>
      </c>
      <c r="C98" s="974">
        <v>7500000</v>
      </c>
      <c r="D98" s="974">
        <v>7500000</v>
      </c>
      <c r="E98" s="1259"/>
      <c r="F98" s="1259"/>
      <c r="G98" s="1243"/>
      <c r="H98" s="1248"/>
      <c r="I98" s="1249"/>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row>
    <row r="99" spans="1:57" ht="30" customHeight="1" x14ac:dyDescent="0.2">
      <c r="A99" s="971"/>
      <c r="B99" s="875" t="s">
        <v>1425</v>
      </c>
      <c r="C99" s="974">
        <v>150000</v>
      </c>
      <c r="D99" s="974">
        <v>150000</v>
      </c>
      <c r="E99" s="1259"/>
      <c r="F99" s="1259"/>
      <c r="G99" s="1243"/>
      <c r="H99" s="1248"/>
      <c r="I99" s="1249"/>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row>
    <row r="100" spans="1:57" s="737" customFormat="1" ht="30" customHeight="1" x14ac:dyDescent="0.2">
      <c r="A100" s="971"/>
      <c r="B100" s="967" t="s">
        <v>1138</v>
      </c>
      <c r="C100" s="874">
        <v>400000</v>
      </c>
      <c r="D100" s="874">
        <v>400000</v>
      </c>
      <c r="E100" s="1163"/>
      <c r="F100" s="1163"/>
      <c r="G100" s="1243"/>
      <c r="H100" s="1248"/>
      <c r="I100" s="1249"/>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row>
    <row r="101" spans="1:57" s="737" customFormat="1" ht="30" customHeight="1" x14ac:dyDescent="0.2">
      <c r="A101" s="971"/>
      <c r="B101" s="967" t="s">
        <v>1313</v>
      </c>
      <c r="C101" s="874">
        <v>50000</v>
      </c>
      <c r="D101" s="874">
        <v>50000</v>
      </c>
      <c r="E101" s="1163"/>
      <c r="F101" s="1163"/>
      <c r="G101" s="1243"/>
      <c r="H101" s="1248"/>
      <c r="I101" s="1249"/>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row>
    <row r="102" spans="1:57" ht="30" customHeight="1" x14ac:dyDescent="0.2">
      <c r="A102" s="971"/>
      <c r="B102" s="967" t="s">
        <v>126</v>
      </c>
      <c r="C102" s="874">
        <v>0</v>
      </c>
      <c r="D102" s="874">
        <v>50700</v>
      </c>
      <c r="E102" s="1163"/>
      <c r="F102" s="1163"/>
      <c r="G102" s="1243"/>
      <c r="H102" s="1248"/>
      <c r="I102" s="1249"/>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row>
    <row r="103" spans="1:57" ht="30" customHeight="1" x14ac:dyDescent="0.2">
      <c r="A103" s="971"/>
      <c r="B103" s="967" t="s">
        <v>1941</v>
      </c>
      <c r="C103" s="874">
        <v>650000</v>
      </c>
      <c r="D103" s="874">
        <v>650000</v>
      </c>
      <c r="E103" s="1163"/>
      <c r="F103" s="1163"/>
      <c r="G103" s="1243"/>
      <c r="H103" s="1248"/>
      <c r="I103" s="1249"/>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row>
    <row r="104" spans="1:57" ht="30" customHeight="1" x14ac:dyDescent="0.2">
      <c r="A104" s="971"/>
      <c r="B104" s="967" t="s">
        <v>1254</v>
      </c>
      <c r="C104" s="974">
        <v>350000</v>
      </c>
      <c r="D104" s="974">
        <v>350000</v>
      </c>
      <c r="E104" s="1163"/>
      <c r="F104" s="1163"/>
      <c r="G104" s="1243"/>
      <c r="H104" s="1248"/>
      <c r="I104" s="1249"/>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row>
    <row r="105" spans="1:57" s="146" customFormat="1" ht="30" customHeight="1" x14ac:dyDescent="0.2">
      <c r="A105" s="973"/>
      <c r="B105" s="967" t="s">
        <v>1426</v>
      </c>
      <c r="C105" s="874">
        <v>15000</v>
      </c>
      <c r="D105" s="874">
        <v>15000</v>
      </c>
      <c r="E105" s="1163"/>
      <c r="F105" s="1163"/>
      <c r="G105" s="1243"/>
      <c r="H105" s="1248"/>
      <c r="I105" s="1249"/>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row>
    <row r="106" spans="1:57" s="146" customFormat="1" ht="30" customHeight="1" x14ac:dyDescent="0.2">
      <c r="A106" s="973"/>
      <c r="B106" s="967" t="s">
        <v>1410</v>
      </c>
      <c r="C106" s="874">
        <v>0</v>
      </c>
      <c r="D106" s="874">
        <v>0</v>
      </c>
      <c r="E106" s="1163"/>
      <c r="F106" s="1163"/>
      <c r="G106" s="1243"/>
      <c r="H106" s="1248"/>
      <c r="I106" s="1249"/>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row>
    <row r="107" spans="1:57" s="12" customFormat="1" ht="30" customHeight="1" x14ac:dyDescent="0.2">
      <c r="A107" s="972">
        <v>2229</v>
      </c>
      <c r="B107" s="905" t="s">
        <v>1327</v>
      </c>
      <c r="C107" s="975">
        <f>SUM(C108:C122)</f>
        <v>1000000</v>
      </c>
      <c r="D107" s="975">
        <f>SUM(D108:D122)</f>
        <v>8067020.7400000002</v>
      </c>
      <c r="E107" s="719"/>
      <c r="F107" s="1260"/>
      <c r="G107" s="825"/>
      <c r="H107" s="1244"/>
      <c r="I107" s="1255"/>
    </row>
    <row r="108" spans="1:57" s="129" customFormat="1" ht="30" customHeight="1" x14ac:dyDescent="0.2">
      <c r="A108" s="1557"/>
      <c r="B108" s="1558" t="s">
        <v>2057</v>
      </c>
      <c r="C108" s="1150">
        <v>0</v>
      </c>
      <c r="D108" s="1150">
        <v>1600000</v>
      </c>
      <c r="E108" s="1163"/>
      <c r="F108" s="1163"/>
      <c r="G108" s="1243"/>
      <c r="H108" s="1248"/>
      <c r="I108" s="1543"/>
    </row>
    <row r="109" spans="1:57" s="12" customFormat="1" ht="30" customHeight="1" x14ac:dyDescent="0.2">
      <c r="A109" s="971"/>
      <c r="B109" s="967" t="s">
        <v>2058</v>
      </c>
      <c r="C109" s="874">
        <v>0</v>
      </c>
      <c r="D109" s="874">
        <f>(13779.02+87878.61+201127.47)</f>
        <v>302785.09999999998</v>
      </c>
      <c r="E109" s="1163"/>
      <c r="F109" s="1163"/>
      <c r="G109" s="1243"/>
      <c r="H109" s="1248"/>
      <c r="I109" s="1249"/>
    </row>
    <row r="110" spans="1:57" s="12" customFormat="1" ht="30" customHeight="1" x14ac:dyDescent="0.2">
      <c r="A110" s="971"/>
      <c r="B110" s="967" t="s">
        <v>2032</v>
      </c>
      <c r="C110" s="874">
        <v>0</v>
      </c>
      <c r="D110" s="874">
        <v>236709.36</v>
      </c>
      <c r="E110" s="1163"/>
      <c r="F110" s="1163"/>
      <c r="G110" s="1243"/>
      <c r="H110" s="1248"/>
      <c r="I110" s="1249"/>
    </row>
    <row r="111" spans="1:57" s="12" customFormat="1" ht="30" customHeight="1" x14ac:dyDescent="0.2">
      <c r="A111" s="971"/>
      <c r="B111" s="967" t="s">
        <v>2031</v>
      </c>
      <c r="C111" s="874">
        <v>0</v>
      </c>
      <c r="D111" s="874">
        <v>159713.54999999999</v>
      </c>
      <c r="E111" s="1163"/>
      <c r="F111" s="1163"/>
      <c r="G111" s="1243"/>
      <c r="H111" s="1248"/>
      <c r="I111" s="1249"/>
    </row>
    <row r="112" spans="1:57" s="12" customFormat="1" ht="30" customHeight="1" x14ac:dyDescent="0.2">
      <c r="A112" s="971"/>
      <c r="B112" s="967" t="s">
        <v>2033</v>
      </c>
      <c r="C112" s="874">
        <v>0</v>
      </c>
      <c r="D112" s="874">
        <v>391374.39</v>
      </c>
      <c r="E112" s="1163"/>
      <c r="F112" s="1163"/>
      <c r="G112" s="1243"/>
      <c r="H112" s="1248"/>
      <c r="I112" s="1249"/>
    </row>
    <row r="113" spans="1:57" s="12" customFormat="1" ht="30" customHeight="1" x14ac:dyDescent="0.2">
      <c r="A113" s="971"/>
      <c r="B113" s="967" t="s">
        <v>1315</v>
      </c>
      <c r="C113" s="874">
        <v>1000000</v>
      </c>
      <c r="D113" s="874">
        <f>1000000+3226272.84</f>
        <v>4226272.84</v>
      </c>
      <c r="E113" s="1163"/>
      <c r="F113" s="1163"/>
      <c r="G113" s="1243"/>
      <c r="H113" s="1248"/>
      <c r="I113" s="1249"/>
    </row>
    <row r="114" spans="1:57" s="12" customFormat="1" ht="30" customHeight="1" x14ac:dyDescent="0.2">
      <c r="A114" s="971"/>
      <c r="B114" s="967" t="s">
        <v>1416</v>
      </c>
      <c r="C114" s="874">
        <v>0</v>
      </c>
      <c r="D114" s="874">
        <v>0</v>
      </c>
      <c r="E114" s="1163"/>
      <c r="F114" s="1163"/>
      <c r="G114" s="1243"/>
      <c r="H114" s="1248"/>
      <c r="I114" s="1249"/>
    </row>
    <row r="115" spans="1:57" ht="30" customHeight="1" x14ac:dyDescent="0.2">
      <c r="A115" s="971"/>
      <c r="B115" s="967" t="s">
        <v>2063</v>
      </c>
      <c r="C115" s="874">
        <v>0</v>
      </c>
      <c r="D115" s="874">
        <v>0</v>
      </c>
      <c r="E115" s="1163"/>
      <c r="F115" s="1163"/>
      <c r="G115" s="1243"/>
      <c r="H115" s="1248"/>
      <c r="I115" s="1249"/>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row>
    <row r="116" spans="1:57" s="12" customFormat="1" ht="30" customHeight="1" x14ac:dyDescent="0.2">
      <c r="A116" s="971"/>
      <c r="B116" s="967" t="s">
        <v>2062</v>
      </c>
      <c r="C116" s="976">
        <v>0</v>
      </c>
      <c r="D116" s="976">
        <f>25251</f>
        <v>25251</v>
      </c>
      <c r="E116" s="1163"/>
      <c r="F116" s="1163"/>
      <c r="G116" s="1243"/>
      <c r="H116" s="1248"/>
      <c r="I116" s="1249"/>
    </row>
    <row r="117" spans="1:57" ht="30" customHeight="1" x14ac:dyDescent="0.2">
      <c r="A117" s="971"/>
      <c r="B117" s="967" t="s">
        <v>2059</v>
      </c>
      <c r="C117" s="874">
        <v>0</v>
      </c>
      <c r="D117" s="874">
        <f>(74693.5+40293)</f>
        <v>114986.5</v>
      </c>
      <c r="E117" s="1163"/>
      <c r="F117" s="1163"/>
      <c r="G117" s="1243"/>
      <c r="H117" s="1248"/>
      <c r="I117" s="1249"/>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row>
    <row r="118" spans="1:57" s="129" customFormat="1" ht="30" customHeight="1" x14ac:dyDescent="0.2">
      <c r="A118" s="1557"/>
      <c r="B118" s="1558" t="s">
        <v>2061</v>
      </c>
      <c r="C118" s="1150">
        <v>0</v>
      </c>
      <c r="D118" s="1150">
        <v>900000</v>
      </c>
      <c r="E118" s="1163"/>
      <c r="F118" s="1163"/>
      <c r="G118" s="1243"/>
      <c r="H118" s="1248"/>
      <c r="I118" s="1543"/>
    </row>
    <row r="119" spans="1:57" ht="30" customHeight="1" x14ac:dyDescent="0.2">
      <c r="A119" s="971"/>
      <c r="B119" s="753" t="s">
        <v>2055</v>
      </c>
      <c r="C119" s="874">
        <v>0</v>
      </c>
      <c r="D119" s="874">
        <f>(1835.4+16518.6)</f>
        <v>18354</v>
      </c>
      <c r="E119" s="1261"/>
      <c r="F119" s="1261"/>
      <c r="G119" s="1243"/>
      <c r="H119" s="1248"/>
      <c r="I119" s="1249"/>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row>
    <row r="120" spans="1:57" s="12" customFormat="1" ht="30" customHeight="1" x14ac:dyDescent="0.2">
      <c r="A120" s="753"/>
      <c r="B120" s="753" t="s">
        <v>2052</v>
      </c>
      <c r="C120" s="1345">
        <v>0</v>
      </c>
      <c r="D120" s="1345">
        <f>(5068.4+45615.6)</f>
        <v>50684</v>
      </c>
      <c r="E120" s="1261"/>
      <c r="F120" s="1261"/>
      <c r="G120" s="1243"/>
      <c r="H120" s="1248"/>
      <c r="I120" s="1543"/>
      <c r="J120" s="1555"/>
      <c r="K120" s="1499"/>
      <c r="L120" s="173"/>
    </row>
    <row r="121" spans="1:57" s="12" customFormat="1" ht="30" customHeight="1" x14ac:dyDescent="0.2">
      <c r="A121" s="753"/>
      <c r="B121" s="753" t="s">
        <v>2053</v>
      </c>
      <c r="C121" s="1345">
        <v>0</v>
      </c>
      <c r="D121" s="1345">
        <f>(4089+36801)</f>
        <v>40890</v>
      </c>
      <c r="E121" s="1261"/>
      <c r="F121" s="1261"/>
      <c r="G121" s="1243"/>
      <c r="H121" s="1248"/>
      <c r="I121" s="1543"/>
      <c r="J121" s="1555"/>
      <c r="K121" s="1499"/>
      <c r="L121" s="173"/>
    </row>
    <row r="122" spans="1:57" ht="30" customHeight="1" x14ac:dyDescent="0.2">
      <c r="A122" s="971"/>
      <c r="B122" s="967" t="s">
        <v>1415</v>
      </c>
      <c r="C122" s="874">
        <v>0</v>
      </c>
      <c r="D122" s="874">
        <v>0</v>
      </c>
      <c r="E122" s="1261"/>
      <c r="F122" s="1261"/>
      <c r="G122" s="1243"/>
      <c r="H122" s="1248"/>
      <c r="I122" s="1249"/>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row>
    <row r="123" spans="1:57" ht="30" customHeight="1" x14ac:dyDescent="0.2">
      <c r="A123" s="1043">
        <v>2310</v>
      </c>
      <c r="B123" s="979" t="s">
        <v>1947</v>
      </c>
      <c r="C123" s="1184">
        <v>0</v>
      </c>
      <c r="D123" s="1184">
        <v>0</v>
      </c>
      <c r="E123" s="1261"/>
      <c r="F123" s="1261"/>
      <c r="G123" s="1243"/>
      <c r="H123" s="1248"/>
      <c r="I123" s="1249"/>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row>
    <row r="124" spans="1:57" ht="30" customHeight="1" x14ac:dyDescent="0.2">
      <c r="A124" s="972">
        <v>2321</v>
      </c>
      <c r="B124" s="905" t="s">
        <v>1328</v>
      </c>
      <c r="C124" s="940">
        <v>100000</v>
      </c>
      <c r="D124" s="940">
        <v>100000</v>
      </c>
      <c r="E124" s="1261"/>
      <c r="F124" s="1261"/>
      <c r="G124" s="1243"/>
      <c r="H124" s="1248"/>
      <c r="I124" s="1249"/>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row>
    <row r="125" spans="1:57" s="737" customFormat="1" ht="30" customHeight="1" x14ac:dyDescent="0.2">
      <c r="A125" s="972">
        <v>2322</v>
      </c>
      <c r="B125" s="905" t="s">
        <v>146</v>
      </c>
      <c r="C125" s="940">
        <v>100000</v>
      </c>
      <c r="D125" s="940">
        <f>100000+112397+186860</f>
        <v>399257</v>
      </c>
      <c r="E125" s="1218"/>
      <c r="F125" s="1163"/>
      <c r="G125" s="825"/>
      <c r="H125" s="1244"/>
      <c r="I125" s="1255"/>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row>
    <row r="126" spans="1:57" s="116" customFormat="1" ht="30" customHeight="1" x14ac:dyDescent="0.2">
      <c r="A126" s="972">
        <v>2324</v>
      </c>
      <c r="B126" s="905" t="s">
        <v>147</v>
      </c>
      <c r="C126" s="862">
        <f t="shared" ref="C126:D126" si="3">SUM(C127:C145)</f>
        <v>3408000</v>
      </c>
      <c r="D126" s="862">
        <f t="shared" si="3"/>
        <v>3839000</v>
      </c>
      <c r="E126" s="1218"/>
      <c r="F126" s="1163"/>
      <c r="G126" s="825"/>
      <c r="H126" s="1244"/>
      <c r="I126" s="1255"/>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c r="AV126" s="107"/>
      <c r="AW126" s="107"/>
      <c r="AX126" s="107"/>
      <c r="AY126" s="107"/>
      <c r="AZ126" s="107"/>
      <c r="BA126" s="107"/>
      <c r="BB126" s="107"/>
      <c r="BC126" s="107"/>
      <c r="BD126" s="107"/>
      <c r="BE126" s="107"/>
    </row>
    <row r="127" spans="1:57" s="116" customFormat="1" ht="30" customHeight="1" x14ac:dyDescent="0.2">
      <c r="A127" s="972"/>
      <c r="B127" s="977" t="s">
        <v>1329</v>
      </c>
      <c r="C127" s="874">
        <v>0</v>
      </c>
      <c r="D127" s="874">
        <v>0</v>
      </c>
      <c r="E127" s="701"/>
      <c r="F127" s="707"/>
      <c r="G127" s="825"/>
      <c r="H127" s="1244"/>
      <c r="I127" s="1255"/>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c r="AV127" s="107"/>
      <c r="AW127" s="107"/>
      <c r="AX127" s="107"/>
      <c r="AY127" s="107"/>
      <c r="AZ127" s="107"/>
      <c r="BA127" s="107"/>
      <c r="BB127" s="107"/>
      <c r="BC127" s="107"/>
      <c r="BD127" s="107"/>
      <c r="BE127" s="107"/>
    </row>
    <row r="128" spans="1:57" s="116" customFormat="1" ht="30" customHeight="1" x14ac:dyDescent="0.2">
      <c r="A128" s="978"/>
      <c r="B128" s="979" t="s">
        <v>1242</v>
      </c>
      <c r="C128" s="874">
        <v>15000</v>
      </c>
      <c r="D128" s="874">
        <v>15000</v>
      </c>
      <c r="E128" s="1163"/>
      <c r="F128" s="1163"/>
      <c r="G128" s="1243"/>
      <c r="H128" s="1248"/>
      <c r="I128" s="1249"/>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row>
    <row r="129" spans="1:45" s="116" customFormat="1" ht="30" customHeight="1" x14ac:dyDescent="0.2">
      <c r="A129" s="978"/>
      <c r="B129" s="979" t="s">
        <v>1942</v>
      </c>
      <c r="C129" s="1150">
        <v>0</v>
      </c>
      <c r="D129" s="1150">
        <v>0</v>
      </c>
      <c r="E129" s="1163"/>
      <c r="F129" s="1163"/>
      <c r="G129" s="1243"/>
      <c r="H129" s="1248"/>
      <c r="I129" s="1249"/>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row>
    <row r="130" spans="1:45" s="116" customFormat="1" ht="30" customHeight="1" x14ac:dyDescent="0.2">
      <c r="A130" s="972"/>
      <c r="B130" s="979" t="s">
        <v>1412</v>
      </c>
      <c r="C130" s="874">
        <v>30000</v>
      </c>
      <c r="D130" s="874">
        <v>30000</v>
      </c>
      <c r="E130" s="1163"/>
      <c r="F130" s="1163"/>
      <c r="G130" s="1243"/>
      <c r="H130" s="1248"/>
      <c r="I130" s="1249"/>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row>
    <row r="131" spans="1:45" s="116" customFormat="1" ht="30" customHeight="1" x14ac:dyDescent="0.2">
      <c r="A131" s="972"/>
      <c r="B131" s="979" t="s">
        <v>1243</v>
      </c>
      <c r="C131" s="874">
        <v>100000</v>
      </c>
      <c r="D131" s="874">
        <v>100000</v>
      </c>
      <c r="E131" s="1163"/>
      <c r="F131" s="1163"/>
      <c r="G131" s="1243"/>
      <c r="H131" s="1248"/>
      <c r="I131" s="1249"/>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row>
    <row r="132" spans="1:45" s="738" customFormat="1" ht="30" customHeight="1" x14ac:dyDescent="0.2">
      <c r="A132" s="972"/>
      <c r="B132" s="979" t="s">
        <v>1244</v>
      </c>
      <c r="C132" s="874">
        <v>150000</v>
      </c>
      <c r="D132" s="874">
        <f>150000+180000</f>
        <v>330000</v>
      </c>
      <c r="E132" s="1163"/>
      <c r="F132" s="1163"/>
      <c r="G132" s="1243"/>
      <c r="H132" s="1248"/>
      <c r="I132" s="1249"/>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07"/>
      <c r="AS132" s="107"/>
    </row>
    <row r="133" spans="1:45" s="738" customFormat="1" ht="30" customHeight="1" x14ac:dyDescent="0.2">
      <c r="A133" s="972"/>
      <c r="B133" s="979" t="s">
        <v>1562</v>
      </c>
      <c r="C133" s="874">
        <v>15000</v>
      </c>
      <c r="D133" s="874">
        <v>15000</v>
      </c>
      <c r="E133" s="1163"/>
      <c r="F133" s="1163"/>
      <c r="G133" s="1243"/>
      <c r="H133" s="1248"/>
      <c r="I133" s="1249"/>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row>
    <row r="134" spans="1:45" s="738" customFormat="1" ht="30" customHeight="1" x14ac:dyDescent="0.2">
      <c r="A134" s="972"/>
      <c r="B134" s="979" t="s">
        <v>2017</v>
      </c>
      <c r="C134" s="874">
        <v>0</v>
      </c>
      <c r="D134" s="874">
        <v>250000</v>
      </c>
      <c r="E134" s="1163"/>
      <c r="F134" s="1163"/>
      <c r="G134" s="1243"/>
      <c r="H134" s="1248"/>
      <c r="I134" s="1249"/>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07"/>
      <c r="AS134" s="107"/>
    </row>
    <row r="135" spans="1:45" s="738" customFormat="1" ht="30" customHeight="1" x14ac:dyDescent="0.2">
      <c r="A135" s="972"/>
      <c r="B135" s="979" t="s">
        <v>1413</v>
      </c>
      <c r="C135" s="874">
        <v>0</v>
      </c>
      <c r="D135" s="874">
        <v>0</v>
      </c>
      <c r="E135" s="1163"/>
      <c r="F135" s="1163"/>
      <c r="G135" s="1243"/>
      <c r="H135" s="1248"/>
      <c r="I135" s="1249"/>
      <c r="J135" s="107"/>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row>
    <row r="136" spans="1:45" ht="30" customHeight="1" x14ac:dyDescent="0.2">
      <c r="A136" s="980"/>
      <c r="B136" s="981" t="s">
        <v>1245</v>
      </c>
      <c r="C136" s="874">
        <v>5000</v>
      </c>
      <c r="D136" s="874">
        <v>5000</v>
      </c>
      <c r="E136" s="1163"/>
      <c r="F136" s="1163"/>
      <c r="G136" s="1243"/>
      <c r="H136" s="1248"/>
      <c r="I136" s="1249"/>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row>
    <row r="137" spans="1:45" s="186" customFormat="1" ht="30" customHeight="1" x14ac:dyDescent="0.2">
      <c r="A137" s="971"/>
      <c r="B137" s="967" t="s">
        <v>1330</v>
      </c>
      <c r="C137" s="874">
        <v>0</v>
      </c>
      <c r="D137" s="874">
        <v>0</v>
      </c>
      <c r="E137" s="1163"/>
      <c r="F137" s="1163"/>
      <c r="G137" s="1243"/>
      <c r="H137" s="1248"/>
      <c r="I137" s="1249"/>
      <c r="J137" s="859"/>
      <c r="K137" s="859"/>
      <c r="L137" s="859"/>
      <c r="M137" s="859"/>
      <c r="N137" s="859"/>
      <c r="O137" s="859"/>
      <c r="P137" s="859"/>
      <c r="Q137" s="859"/>
      <c r="R137" s="859"/>
      <c r="S137" s="859"/>
      <c r="T137" s="859"/>
      <c r="U137" s="859"/>
      <c r="V137" s="859"/>
      <c r="W137" s="859"/>
      <c r="X137" s="859"/>
      <c r="Y137" s="859"/>
      <c r="Z137" s="859"/>
      <c r="AA137" s="859"/>
      <c r="AB137" s="859"/>
      <c r="AC137" s="859"/>
      <c r="AD137" s="859"/>
      <c r="AE137" s="859"/>
      <c r="AF137" s="859"/>
      <c r="AG137" s="859"/>
      <c r="AH137" s="859"/>
      <c r="AI137" s="859"/>
      <c r="AJ137" s="859"/>
      <c r="AK137" s="859"/>
      <c r="AL137" s="859"/>
      <c r="AM137" s="859"/>
      <c r="AN137" s="859"/>
      <c r="AO137" s="859"/>
      <c r="AP137" s="859"/>
      <c r="AQ137" s="859"/>
      <c r="AR137" s="859"/>
      <c r="AS137" s="859"/>
    </row>
    <row r="138" spans="1:45" s="186" customFormat="1" ht="30" customHeight="1" x14ac:dyDescent="0.2">
      <c r="A138" s="971"/>
      <c r="B138" s="967" t="s">
        <v>1246</v>
      </c>
      <c r="C138" s="874">
        <v>3000000</v>
      </c>
      <c r="D138" s="874">
        <f>3000000-3000000</f>
        <v>0</v>
      </c>
      <c r="E138" s="1163"/>
      <c r="F138" s="1163"/>
      <c r="G138" s="1243"/>
      <c r="H138" s="1248"/>
      <c r="I138" s="1249"/>
      <c r="J138" s="859"/>
      <c r="K138" s="859"/>
      <c r="L138" s="859"/>
      <c r="M138" s="859"/>
      <c r="N138" s="859"/>
      <c r="O138" s="859"/>
      <c r="P138" s="859"/>
      <c r="Q138" s="859"/>
      <c r="R138" s="859"/>
      <c r="S138" s="859"/>
      <c r="T138" s="859"/>
      <c r="U138" s="859"/>
      <c r="V138" s="859"/>
      <c r="W138" s="859"/>
      <c r="X138" s="859"/>
      <c r="Y138" s="859"/>
      <c r="Z138" s="859"/>
      <c r="AA138" s="859"/>
      <c r="AB138" s="859"/>
      <c r="AC138" s="859"/>
      <c r="AD138" s="859"/>
      <c r="AE138" s="859"/>
      <c r="AF138" s="859"/>
      <c r="AG138" s="859"/>
      <c r="AH138" s="859"/>
      <c r="AI138" s="859"/>
      <c r="AJ138" s="859"/>
      <c r="AK138" s="859"/>
      <c r="AL138" s="859"/>
      <c r="AM138" s="859"/>
      <c r="AN138" s="859"/>
      <c r="AO138" s="859"/>
      <c r="AP138" s="859"/>
      <c r="AQ138" s="859"/>
      <c r="AR138" s="859"/>
      <c r="AS138" s="859"/>
    </row>
    <row r="139" spans="1:45" s="186" customFormat="1" ht="30" customHeight="1" x14ac:dyDescent="0.2">
      <c r="A139" s="971"/>
      <c r="B139" s="967" t="s">
        <v>2056</v>
      </c>
      <c r="C139" s="874">
        <v>0</v>
      </c>
      <c r="D139" s="874">
        <v>3000000</v>
      </c>
      <c r="E139" s="1163"/>
      <c r="F139" s="1163"/>
      <c r="G139" s="1243"/>
      <c r="H139" s="1248"/>
      <c r="I139" s="1249"/>
      <c r="J139" s="859"/>
      <c r="K139" s="859"/>
      <c r="L139" s="859"/>
      <c r="M139" s="859"/>
      <c r="N139" s="859"/>
      <c r="O139" s="859"/>
      <c r="P139" s="859"/>
      <c r="Q139" s="859"/>
      <c r="R139" s="859"/>
      <c r="S139" s="859"/>
      <c r="T139" s="859"/>
      <c r="U139" s="859"/>
      <c r="V139" s="859"/>
      <c r="W139" s="859"/>
      <c r="X139" s="859"/>
      <c r="Y139" s="859"/>
      <c r="Z139" s="859"/>
      <c r="AA139" s="859"/>
      <c r="AB139" s="859"/>
      <c r="AC139" s="859"/>
      <c r="AD139" s="859"/>
      <c r="AE139" s="859"/>
      <c r="AF139" s="859"/>
      <c r="AG139" s="859"/>
      <c r="AH139" s="859"/>
      <c r="AI139" s="859"/>
      <c r="AJ139" s="859"/>
      <c r="AK139" s="859"/>
      <c r="AL139" s="859"/>
      <c r="AM139" s="859"/>
      <c r="AN139" s="859"/>
      <c r="AO139" s="859"/>
      <c r="AP139" s="859"/>
      <c r="AQ139" s="859"/>
      <c r="AR139" s="859"/>
      <c r="AS139" s="859"/>
    </row>
    <row r="140" spans="1:45" s="186" customFormat="1" ht="30" customHeight="1" x14ac:dyDescent="0.2">
      <c r="A140" s="971"/>
      <c r="B140" s="967" t="s">
        <v>1946</v>
      </c>
      <c r="C140" s="1150">
        <v>0</v>
      </c>
      <c r="D140" s="1150">
        <v>1000</v>
      </c>
      <c r="E140" s="1163"/>
      <c r="F140" s="1163"/>
      <c r="G140" s="1243"/>
      <c r="H140" s="1248"/>
      <c r="I140" s="1249"/>
      <c r="J140" s="859"/>
      <c r="K140" s="859"/>
      <c r="L140" s="859"/>
      <c r="M140" s="859"/>
      <c r="N140" s="859"/>
      <c r="O140" s="859"/>
      <c r="P140" s="859"/>
      <c r="Q140" s="859"/>
      <c r="R140" s="859"/>
      <c r="S140" s="859"/>
      <c r="T140" s="859"/>
      <c r="U140" s="859"/>
      <c r="V140" s="859"/>
      <c r="W140" s="859"/>
      <c r="X140" s="859"/>
      <c r="Y140" s="859"/>
      <c r="Z140" s="859"/>
      <c r="AA140" s="859"/>
      <c r="AB140" s="859"/>
      <c r="AC140" s="859"/>
      <c r="AD140" s="859"/>
      <c r="AE140" s="859"/>
      <c r="AF140" s="859"/>
      <c r="AG140" s="859"/>
      <c r="AH140" s="859"/>
      <c r="AI140" s="859"/>
      <c r="AJ140" s="859"/>
      <c r="AK140" s="859"/>
      <c r="AL140" s="859"/>
      <c r="AM140" s="859"/>
      <c r="AN140" s="859"/>
      <c r="AO140" s="859"/>
      <c r="AP140" s="859"/>
      <c r="AQ140" s="859"/>
      <c r="AR140" s="859"/>
      <c r="AS140" s="859"/>
    </row>
    <row r="141" spans="1:45" s="186" customFormat="1" ht="30" customHeight="1" x14ac:dyDescent="0.2">
      <c r="A141" s="971"/>
      <c r="B141" s="967" t="s">
        <v>1247</v>
      </c>
      <c r="C141" s="874">
        <v>3000</v>
      </c>
      <c r="D141" s="874">
        <v>3000</v>
      </c>
      <c r="E141" s="1163"/>
      <c r="F141" s="1163"/>
      <c r="G141" s="1243"/>
      <c r="H141" s="1248"/>
      <c r="I141" s="1249"/>
      <c r="J141" s="859"/>
      <c r="K141" s="859"/>
      <c r="L141" s="859"/>
      <c r="M141" s="859"/>
      <c r="N141" s="859"/>
      <c r="O141" s="859"/>
      <c r="P141" s="859"/>
      <c r="Q141" s="859"/>
      <c r="R141" s="859"/>
      <c r="S141" s="859"/>
      <c r="T141" s="859"/>
      <c r="U141" s="859"/>
      <c r="V141" s="859"/>
      <c r="W141" s="859"/>
      <c r="X141" s="859"/>
      <c r="Y141" s="859"/>
      <c r="Z141" s="859"/>
      <c r="AA141" s="859"/>
      <c r="AB141" s="859"/>
      <c r="AC141" s="859"/>
      <c r="AD141" s="859"/>
      <c r="AE141" s="859"/>
      <c r="AF141" s="859"/>
      <c r="AG141" s="859"/>
      <c r="AH141" s="859"/>
      <c r="AI141" s="859"/>
      <c r="AJ141" s="859"/>
      <c r="AK141" s="859"/>
      <c r="AL141" s="859"/>
      <c r="AM141" s="859"/>
      <c r="AN141" s="859"/>
      <c r="AO141" s="859"/>
      <c r="AP141" s="859"/>
      <c r="AQ141" s="859"/>
      <c r="AR141" s="859"/>
      <c r="AS141" s="859"/>
    </row>
    <row r="142" spans="1:45" s="186" customFormat="1" ht="30" customHeight="1" x14ac:dyDescent="0.2">
      <c r="A142" s="971"/>
      <c r="B142" s="967" t="s">
        <v>1248</v>
      </c>
      <c r="C142" s="874">
        <v>60000</v>
      </c>
      <c r="D142" s="874">
        <v>60000</v>
      </c>
      <c r="E142" s="1163"/>
      <c r="F142" s="1163"/>
      <c r="G142" s="1243"/>
      <c r="H142" s="1248"/>
      <c r="I142" s="1249"/>
      <c r="J142" s="859"/>
      <c r="K142" s="859"/>
      <c r="L142" s="859"/>
      <c r="M142" s="859"/>
      <c r="N142" s="859"/>
      <c r="O142" s="859"/>
      <c r="P142" s="859"/>
      <c r="Q142" s="859"/>
      <c r="R142" s="859"/>
      <c r="S142" s="859"/>
      <c r="T142" s="859"/>
      <c r="U142" s="859"/>
      <c r="V142" s="859"/>
      <c r="W142" s="859"/>
      <c r="X142" s="859"/>
      <c r="Y142" s="859"/>
      <c r="Z142" s="859"/>
      <c r="AA142" s="859"/>
      <c r="AB142" s="859"/>
      <c r="AC142" s="859"/>
      <c r="AD142" s="859"/>
      <c r="AE142" s="859"/>
      <c r="AF142" s="859"/>
      <c r="AG142" s="859"/>
      <c r="AH142" s="859"/>
      <c r="AI142" s="859"/>
      <c r="AJ142" s="859"/>
      <c r="AK142" s="859"/>
      <c r="AL142" s="859"/>
      <c r="AM142" s="859"/>
      <c r="AN142" s="859"/>
      <c r="AO142" s="859"/>
      <c r="AP142" s="859"/>
      <c r="AQ142" s="859"/>
      <c r="AR142" s="859"/>
      <c r="AS142" s="859"/>
    </row>
    <row r="143" spans="1:45" s="186" customFormat="1" ht="30" customHeight="1" x14ac:dyDescent="0.2">
      <c r="A143" s="971"/>
      <c r="B143" s="967" t="s">
        <v>1945</v>
      </c>
      <c r="C143" s="1150">
        <v>0</v>
      </c>
      <c r="D143" s="1150">
        <v>0</v>
      </c>
      <c r="E143" s="1163"/>
      <c r="F143" s="1163"/>
      <c r="G143" s="1243"/>
      <c r="H143" s="1248"/>
      <c r="I143" s="1249"/>
      <c r="J143" s="859"/>
      <c r="K143" s="859"/>
      <c r="L143" s="859"/>
      <c r="M143" s="859"/>
      <c r="N143" s="859"/>
      <c r="O143" s="859"/>
      <c r="P143" s="859"/>
      <c r="Q143" s="859"/>
      <c r="R143" s="859"/>
      <c r="S143" s="859"/>
      <c r="T143" s="859"/>
      <c r="U143" s="859"/>
      <c r="V143" s="859"/>
      <c r="W143" s="859"/>
      <c r="X143" s="859"/>
      <c r="Y143" s="859"/>
      <c r="Z143" s="859"/>
      <c r="AA143" s="859"/>
      <c r="AB143" s="859"/>
      <c r="AC143" s="859"/>
      <c r="AD143" s="859"/>
      <c r="AE143" s="859"/>
      <c r="AF143" s="859"/>
      <c r="AG143" s="859"/>
      <c r="AH143" s="859"/>
      <c r="AI143" s="859"/>
      <c r="AJ143" s="859"/>
      <c r="AK143" s="859"/>
      <c r="AL143" s="859"/>
      <c r="AM143" s="859"/>
      <c r="AN143" s="859"/>
      <c r="AO143" s="859"/>
      <c r="AP143" s="859"/>
      <c r="AQ143" s="859"/>
      <c r="AR143" s="859"/>
      <c r="AS143" s="859"/>
    </row>
    <row r="144" spans="1:45" s="186" customFormat="1" ht="30" customHeight="1" x14ac:dyDescent="0.2">
      <c r="A144" s="982"/>
      <c r="B144" s="967" t="s">
        <v>1928</v>
      </c>
      <c r="C144" s="874">
        <v>30000</v>
      </c>
      <c r="D144" s="874">
        <v>30000</v>
      </c>
      <c r="E144" s="1163"/>
      <c r="F144" s="1163"/>
      <c r="G144" s="1243"/>
      <c r="H144" s="1248"/>
      <c r="I144" s="1249"/>
      <c r="J144" s="859"/>
      <c r="K144" s="859"/>
      <c r="L144" s="859"/>
      <c r="M144" s="859"/>
      <c r="N144" s="859"/>
      <c r="O144" s="859"/>
      <c r="P144" s="859"/>
      <c r="Q144" s="859"/>
      <c r="R144" s="859"/>
      <c r="S144" s="859"/>
      <c r="T144" s="859"/>
      <c r="U144" s="859"/>
      <c r="V144" s="859"/>
      <c r="W144" s="859"/>
      <c r="X144" s="859"/>
      <c r="Y144" s="859"/>
      <c r="Z144" s="859"/>
      <c r="AA144" s="859"/>
      <c r="AB144" s="859"/>
      <c r="AC144" s="859"/>
      <c r="AD144" s="859"/>
      <c r="AE144" s="859"/>
      <c r="AF144" s="859"/>
      <c r="AG144" s="859"/>
      <c r="AH144" s="859"/>
      <c r="AI144" s="859"/>
      <c r="AJ144" s="859"/>
      <c r="AK144" s="859"/>
      <c r="AL144" s="859"/>
      <c r="AM144" s="859"/>
      <c r="AN144" s="859"/>
      <c r="AO144" s="859"/>
      <c r="AP144" s="859"/>
      <c r="AQ144" s="859"/>
      <c r="AR144" s="859"/>
      <c r="AS144" s="859"/>
    </row>
    <row r="145" spans="1:45" s="186" customFormat="1" ht="30" customHeight="1" x14ac:dyDescent="0.2">
      <c r="A145" s="982"/>
      <c r="B145" s="967" t="s">
        <v>1580</v>
      </c>
      <c r="C145" s="874">
        <v>0</v>
      </c>
      <c r="D145" s="874">
        <v>0</v>
      </c>
      <c r="E145" s="1262"/>
      <c r="F145" s="1262"/>
      <c r="G145" s="1243"/>
      <c r="H145" s="1248"/>
      <c r="I145" s="1249"/>
      <c r="J145" s="859"/>
      <c r="K145" s="859"/>
      <c r="L145" s="859"/>
      <c r="M145" s="859"/>
      <c r="N145" s="859"/>
      <c r="O145" s="859"/>
      <c r="P145" s="859"/>
      <c r="Q145" s="859"/>
      <c r="R145" s="859"/>
      <c r="S145" s="859"/>
      <c r="T145" s="859"/>
      <c r="U145" s="859"/>
      <c r="V145" s="859"/>
      <c r="W145" s="859"/>
      <c r="X145" s="859"/>
      <c r="Y145" s="859"/>
      <c r="Z145" s="859"/>
      <c r="AA145" s="859"/>
      <c r="AB145" s="859"/>
      <c r="AC145" s="859"/>
      <c r="AD145" s="859"/>
      <c r="AE145" s="859"/>
      <c r="AF145" s="859"/>
      <c r="AG145" s="859"/>
      <c r="AH145" s="859"/>
      <c r="AI145" s="859"/>
      <c r="AJ145" s="859"/>
      <c r="AK145" s="859"/>
      <c r="AL145" s="859"/>
      <c r="AM145" s="859"/>
      <c r="AN145" s="859"/>
      <c r="AO145" s="859"/>
      <c r="AP145" s="859"/>
      <c r="AQ145" s="859"/>
      <c r="AR145" s="859"/>
      <c r="AS145" s="859"/>
    </row>
    <row r="146" spans="1:45" s="186" customFormat="1" ht="30" customHeight="1" x14ac:dyDescent="0.2">
      <c r="A146" s="1023">
        <v>2328</v>
      </c>
      <c r="B146" s="1021" t="s">
        <v>1943</v>
      </c>
      <c r="C146" s="940">
        <v>0</v>
      </c>
      <c r="D146" s="940">
        <v>0</v>
      </c>
      <c r="E146" s="701"/>
      <c r="F146" s="707"/>
      <c r="G146" s="825"/>
      <c r="H146" s="1244"/>
      <c r="I146" s="1255"/>
      <c r="J146" s="859"/>
      <c r="K146" s="859"/>
      <c r="L146" s="859"/>
      <c r="M146" s="859"/>
      <c r="N146" s="859"/>
      <c r="O146" s="859"/>
      <c r="P146" s="859"/>
      <c r="Q146" s="859"/>
      <c r="R146" s="859"/>
      <c r="S146" s="859"/>
      <c r="T146" s="859"/>
      <c r="U146" s="859"/>
      <c r="V146" s="859"/>
      <c r="W146" s="859"/>
      <c r="X146" s="859"/>
      <c r="Y146" s="859"/>
      <c r="Z146" s="859"/>
      <c r="AA146" s="859"/>
      <c r="AB146" s="859"/>
      <c r="AC146" s="859"/>
      <c r="AD146" s="859"/>
      <c r="AE146" s="859"/>
      <c r="AF146" s="859"/>
      <c r="AG146" s="859"/>
      <c r="AH146" s="859"/>
      <c r="AI146" s="859"/>
      <c r="AJ146" s="859"/>
      <c r="AK146" s="859"/>
      <c r="AL146" s="859"/>
      <c r="AM146" s="859"/>
      <c r="AN146" s="859"/>
      <c r="AO146" s="859"/>
      <c r="AP146" s="859"/>
      <c r="AQ146" s="859"/>
      <c r="AR146" s="859"/>
      <c r="AS146" s="859"/>
    </row>
    <row r="147" spans="1:45" s="116" customFormat="1" ht="30" customHeight="1" x14ac:dyDescent="0.2">
      <c r="A147" s="972">
        <v>2329</v>
      </c>
      <c r="B147" s="905" t="s">
        <v>164</v>
      </c>
      <c r="C147" s="862">
        <f>SUM(C148:C166)</f>
        <v>17694387.359999999</v>
      </c>
      <c r="D147" s="862">
        <f>SUM(D148:D166)</f>
        <v>33358653.629999999</v>
      </c>
      <c r="E147" s="701"/>
      <c r="F147" s="707"/>
      <c r="G147" s="825"/>
      <c r="H147" s="1244"/>
      <c r="I147" s="1255"/>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row>
    <row r="148" spans="1:45" s="116" customFormat="1" ht="30" customHeight="1" x14ac:dyDescent="0.2">
      <c r="A148" s="972"/>
      <c r="B148" s="979" t="s">
        <v>1716</v>
      </c>
      <c r="C148" s="874">
        <v>200000</v>
      </c>
      <c r="D148" s="874">
        <v>200000</v>
      </c>
      <c r="E148" s="1163"/>
      <c r="F148" s="1163"/>
      <c r="G148" s="1243"/>
      <c r="H148" s="1248"/>
      <c r="I148" s="1249"/>
      <c r="J148" s="107"/>
      <c r="K148" s="107"/>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c r="AP148" s="107"/>
      <c r="AQ148" s="107"/>
      <c r="AR148" s="107"/>
      <c r="AS148" s="107"/>
    </row>
    <row r="149" spans="1:45" ht="30" customHeight="1" x14ac:dyDescent="0.2">
      <c r="A149" s="971"/>
      <c r="B149" s="967" t="s">
        <v>1331</v>
      </c>
      <c r="C149" s="874">
        <v>5000</v>
      </c>
      <c r="D149" s="874">
        <v>5000</v>
      </c>
      <c r="E149" s="1163"/>
      <c r="F149" s="1163"/>
      <c r="G149" s="1243"/>
      <c r="H149" s="1248"/>
      <c r="I149" s="1249"/>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row>
    <row r="150" spans="1:45" ht="30" customHeight="1" x14ac:dyDescent="0.2">
      <c r="A150" s="971"/>
      <c r="B150" s="967" t="s">
        <v>2060</v>
      </c>
      <c r="C150" s="874">
        <v>0</v>
      </c>
      <c r="D150" s="874">
        <v>250000</v>
      </c>
      <c r="E150" s="1163"/>
      <c r="F150" s="1163"/>
      <c r="G150" s="1243"/>
      <c r="H150" s="1248"/>
      <c r="I150" s="1249"/>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row>
    <row r="151" spans="1:45" s="737" customFormat="1" ht="30" customHeight="1" x14ac:dyDescent="0.2">
      <c r="A151" s="971"/>
      <c r="B151" s="967" t="s">
        <v>1017</v>
      </c>
      <c r="C151" s="874">
        <v>500000</v>
      </c>
      <c r="D151" s="874">
        <v>500000</v>
      </c>
      <c r="E151" s="1163"/>
      <c r="F151" s="1163"/>
      <c r="G151" s="1243"/>
      <c r="H151" s="1248"/>
      <c r="I151" s="1249"/>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row>
    <row r="152" spans="1:45" s="737" customFormat="1" ht="30" customHeight="1" x14ac:dyDescent="0.2">
      <c r="A152" s="971"/>
      <c r="B152" s="967" t="s">
        <v>1018</v>
      </c>
      <c r="C152" s="874">
        <v>20000</v>
      </c>
      <c r="D152" s="874">
        <v>20000</v>
      </c>
      <c r="E152" s="1163"/>
      <c r="F152" s="1163"/>
      <c r="G152" s="1243"/>
      <c r="H152" s="1248"/>
      <c r="I152" s="1249"/>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row>
    <row r="153" spans="1:45" ht="30" customHeight="1" x14ac:dyDescent="0.2">
      <c r="A153" s="971"/>
      <c r="B153" s="967" t="s">
        <v>1332</v>
      </c>
      <c r="C153" s="874">
        <v>250000</v>
      </c>
      <c r="D153" s="874">
        <f>250000-250000</f>
        <v>0</v>
      </c>
      <c r="E153" s="1163"/>
      <c r="F153" s="1163"/>
      <c r="G153" s="1243"/>
      <c r="H153" s="1248"/>
      <c r="I153" s="1249"/>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row>
    <row r="154" spans="1:45" ht="30" customHeight="1" x14ac:dyDescent="0.2">
      <c r="A154" s="971"/>
      <c r="B154" s="967" t="s">
        <v>1333</v>
      </c>
      <c r="C154" s="874">
        <v>50000</v>
      </c>
      <c r="D154" s="874">
        <v>50000</v>
      </c>
      <c r="E154" s="1163"/>
      <c r="F154" s="1163"/>
      <c r="G154" s="1243"/>
      <c r="H154" s="1248"/>
      <c r="I154" s="1249"/>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row>
    <row r="155" spans="1:45" ht="30" customHeight="1" x14ac:dyDescent="0.2">
      <c r="A155" s="971"/>
      <c r="B155" s="967" t="s">
        <v>1482</v>
      </c>
      <c r="C155" s="974">
        <v>0</v>
      </c>
      <c r="D155" s="974">
        <v>0</v>
      </c>
      <c r="E155" s="1163"/>
      <c r="F155" s="1163"/>
      <c r="G155" s="1243"/>
      <c r="H155" s="1248"/>
      <c r="I155" s="1249"/>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row>
    <row r="156" spans="1:45" ht="30" customHeight="1" x14ac:dyDescent="0.2">
      <c r="A156" s="971"/>
      <c r="B156" s="967" t="s">
        <v>1483</v>
      </c>
      <c r="C156" s="974">
        <v>40000</v>
      </c>
      <c r="D156" s="974">
        <v>40000</v>
      </c>
      <c r="E156" s="707"/>
      <c r="F156" s="707"/>
      <c r="G156" s="1243"/>
      <c r="H156" s="1248"/>
      <c r="I156" s="1249"/>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row>
    <row r="157" spans="1:45" ht="30" customHeight="1" x14ac:dyDescent="0.2">
      <c r="A157" s="971"/>
      <c r="B157" s="969" t="s">
        <v>1931</v>
      </c>
      <c r="C157" s="983">
        <v>5500000</v>
      </c>
      <c r="D157" s="983">
        <v>5500000</v>
      </c>
      <c r="E157" s="1163"/>
      <c r="F157" s="1163"/>
      <c r="G157" s="1243"/>
      <c r="H157" s="1248"/>
      <c r="I157" s="1258"/>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row>
    <row r="158" spans="1:45" ht="30" customHeight="1" x14ac:dyDescent="0.2">
      <c r="A158" s="971"/>
      <c r="B158" s="969" t="s">
        <v>1746</v>
      </c>
      <c r="C158" s="874">
        <v>8304000</v>
      </c>
      <c r="D158" s="874">
        <v>8304000</v>
      </c>
      <c r="E158" s="707"/>
      <c r="F158" s="707"/>
      <c r="G158" s="1243"/>
      <c r="H158" s="1248"/>
      <c r="I158" s="1258"/>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row>
    <row r="159" spans="1:45" ht="30" customHeight="1" x14ac:dyDescent="0.2">
      <c r="A159" s="971"/>
      <c r="B159" s="969" t="s">
        <v>1932</v>
      </c>
      <c r="C159" s="983">
        <v>1000000</v>
      </c>
      <c r="D159" s="983">
        <v>1000000</v>
      </c>
      <c r="E159" s="1163"/>
      <c r="F159" s="1163"/>
      <c r="G159" s="1243"/>
      <c r="H159" s="1248"/>
      <c r="I159" s="1249"/>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row>
    <row r="160" spans="1:45" ht="30" customHeight="1" x14ac:dyDescent="0.2">
      <c r="A160" s="984"/>
      <c r="B160" s="985" t="s">
        <v>1934</v>
      </c>
      <c r="C160" s="960">
        <v>700000</v>
      </c>
      <c r="D160" s="960">
        <v>700000</v>
      </c>
      <c r="E160" s="1163"/>
      <c r="F160" s="1163"/>
      <c r="G160" s="1243"/>
      <c r="H160" s="1248"/>
      <c r="I160" s="1249"/>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row>
    <row r="161" spans="1:45" ht="30" customHeight="1" x14ac:dyDescent="0.2">
      <c r="A161" s="978"/>
      <c r="B161" s="967" t="s">
        <v>1933</v>
      </c>
      <c r="C161" s="974">
        <v>125387.36</v>
      </c>
      <c r="D161" s="974">
        <v>125387.36</v>
      </c>
      <c r="E161" s="1163"/>
      <c r="F161" s="1163"/>
      <c r="G161" s="1243"/>
      <c r="H161" s="1248"/>
      <c r="I161" s="1249"/>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row>
    <row r="162" spans="1:45" ht="30" customHeight="1" x14ac:dyDescent="0.2">
      <c r="A162" s="971"/>
      <c r="B162" s="967" t="s">
        <v>1019</v>
      </c>
      <c r="C162" s="974">
        <v>0</v>
      </c>
      <c r="D162" s="974">
        <v>0</v>
      </c>
      <c r="E162" s="1163"/>
      <c r="F162" s="1163"/>
      <c r="G162" s="1243"/>
      <c r="H162" s="1248"/>
      <c r="I162" s="1249"/>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row>
    <row r="163" spans="1:45" ht="30" customHeight="1" x14ac:dyDescent="0.2">
      <c r="A163" s="971"/>
      <c r="B163" s="967" t="s">
        <v>1316</v>
      </c>
      <c r="C163" s="974">
        <v>0</v>
      </c>
      <c r="D163" s="974">
        <v>0</v>
      </c>
      <c r="E163" s="1331"/>
      <c r="F163" s="1331"/>
      <c r="G163" s="1243"/>
      <c r="H163" s="1248"/>
      <c r="I163" s="1249"/>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row>
    <row r="164" spans="1:45" ht="30" customHeight="1" x14ac:dyDescent="0.2">
      <c r="A164" s="987"/>
      <c r="B164" s="988" t="s">
        <v>1705</v>
      </c>
      <c r="C164" s="1188">
        <v>0</v>
      </c>
      <c r="D164" s="1188">
        <v>0</v>
      </c>
      <c r="E164" s="744"/>
      <c r="F164" s="744"/>
      <c r="G164" s="1243"/>
      <c r="H164" s="1248"/>
      <c r="I164" s="1249"/>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row>
    <row r="165" spans="1:45" ht="30" customHeight="1" x14ac:dyDescent="0.2">
      <c r="A165" s="987"/>
      <c r="B165" s="988" t="s">
        <v>2083</v>
      </c>
      <c r="C165" s="1138">
        <v>1000000</v>
      </c>
      <c r="D165" s="1138">
        <f>1000000-500000</f>
        <v>500000</v>
      </c>
      <c r="E165" s="744"/>
      <c r="F165" s="744"/>
      <c r="G165" s="1243"/>
      <c r="H165" s="1248"/>
      <c r="I165" s="1249"/>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row>
    <row r="166" spans="1:45" ht="30" customHeight="1" x14ac:dyDescent="0.2">
      <c r="A166" s="987"/>
      <c r="B166" s="988" t="s">
        <v>2084</v>
      </c>
      <c r="C166" s="1138">
        <v>0</v>
      </c>
      <c r="D166" s="1138">
        <v>16164266.27</v>
      </c>
      <c r="E166" s="744"/>
      <c r="F166" s="744"/>
      <c r="G166" s="1243"/>
      <c r="H166" s="1248"/>
      <c r="I166" s="1249"/>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row>
    <row r="167" spans="1:45" ht="30" customHeight="1" thickBot="1" x14ac:dyDescent="0.25">
      <c r="A167" s="989"/>
      <c r="B167" s="988"/>
      <c r="C167" s="990"/>
      <c r="D167" s="990"/>
      <c r="E167" s="1143"/>
      <c r="F167" s="1143"/>
      <c r="G167" s="1143"/>
      <c r="H167" s="1143"/>
      <c r="I167" s="1400"/>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row>
    <row r="168" spans="1:45" s="116" customFormat="1" ht="30" customHeight="1" thickBot="1" x14ac:dyDescent="0.3">
      <c r="A168" s="991"/>
      <c r="B168" s="1215" t="s">
        <v>11</v>
      </c>
      <c r="C168" s="993">
        <f>SUM(C169:C171,C178:C179,C182,C184)</f>
        <v>72976820.010000005</v>
      </c>
      <c r="D168" s="993">
        <f>SUM(D169:D171,D178:D179,D182,D184)</f>
        <v>71051552</v>
      </c>
      <c r="E168" s="1263"/>
      <c r="F168" s="1264"/>
      <c r="G168" s="1237"/>
      <c r="H168" s="1237"/>
      <c r="I168" s="1253"/>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row>
    <row r="169" spans="1:45" s="116" customFormat="1" ht="30" customHeight="1" x14ac:dyDescent="0.2">
      <c r="A169" s="995">
        <v>3111</v>
      </c>
      <c r="B169" s="1214" t="s">
        <v>1929</v>
      </c>
      <c r="C169" s="884">
        <v>49200000</v>
      </c>
      <c r="D169" s="884">
        <v>49200000</v>
      </c>
      <c r="E169" s="1218"/>
      <c r="F169" s="1163"/>
      <c r="G169" s="825"/>
      <c r="H169" s="1244"/>
      <c r="I169" s="125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row>
    <row r="170" spans="1:45" s="116" customFormat="1" ht="30" customHeight="1" x14ac:dyDescent="0.2">
      <c r="A170" s="995">
        <v>3111</v>
      </c>
      <c r="B170" s="996" t="s">
        <v>1754</v>
      </c>
      <c r="C170" s="997">
        <v>600000</v>
      </c>
      <c r="D170" s="997">
        <v>600000</v>
      </c>
      <c r="E170" s="1218"/>
      <c r="F170" s="1163"/>
      <c r="G170" s="825"/>
      <c r="H170" s="1244"/>
      <c r="I170" s="1255"/>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row>
    <row r="171" spans="1:45" s="116" customFormat="1" ht="30" customHeight="1" x14ac:dyDescent="0.2">
      <c r="A171" s="972">
        <v>3112</v>
      </c>
      <c r="B171" s="905" t="s">
        <v>178</v>
      </c>
      <c r="C171" s="862">
        <f t="shared" ref="C171:D171" si="4">SUM(C172:C177)</f>
        <v>14648000</v>
      </c>
      <c r="D171" s="862">
        <f t="shared" si="4"/>
        <v>14648000</v>
      </c>
      <c r="E171" s="701"/>
      <c r="F171" s="707"/>
      <c r="G171" s="825"/>
      <c r="H171" s="1244"/>
      <c r="I171" s="1255"/>
      <c r="J171" s="107"/>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c r="AP171" s="107"/>
      <c r="AQ171" s="107"/>
      <c r="AR171" s="107"/>
      <c r="AS171" s="107"/>
    </row>
    <row r="172" spans="1:45" s="738" customFormat="1" ht="30" customHeight="1" x14ac:dyDescent="0.2">
      <c r="A172" s="972"/>
      <c r="B172" s="988" t="s">
        <v>1020</v>
      </c>
      <c r="C172" s="983">
        <v>3306000</v>
      </c>
      <c r="D172" s="983">
        <v>3306000</v>
      </c>
      <c r="E172" s="707"/>
      <c r="F172" s="707"/>
      <c r="G172" s="1243"/>
      <c r="H172" s="1248"/>
      <c r="I172" s="1249"/>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row>
    <row r="173" spans="1:45" s="738" customFormat="1" ht="30" customHeight="1" x14ac:dyDescent="0.2">
      <c r="A173" s="972"/>
      <c r="B173" s="967" t="s">
        <v>1469</v>
      </c>
      <c r="C173" s="874">
        <v>0</v>
      </c>
      <c r="D173" s="874">
        <v>0</v>
      </c>
      <c r="E173" s="1163"/>
      <c r="F173" s="1163"/>
      <c r="G173" s="1243"/>
      <c r="H173" s="1248"/>
      <c r="I173" s="1249"/>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c r="AQ173" s="107"/>
      <c r="AR173" s="107"/>
      <c r="AS173" s="107"/>
    </row>
    <row r="174" spans="1:45" s="738" customFormat="1" ht="30" customHeight="1" x14ac:dyDescent="0.2">
      <c r="A174" s="972"/>
      <c r="B174" s="988" t="s">
        <v>1021</v>
      </c>
      <c r="C174" s="874">
        <v>4200000</v>
      </c>
      <c r="D174" s="874">
        <v>4200000</v>
      </c>
      <c r="E174" s="1163"/>
      <c r="F174" s="1163"/>
      <c r="G174" s="1243"/>
      <c r="H174" s="1248"/>
      <c r="I174" s="1249"/>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c r="AP174" s="107"/>
      <c r="AQ174" s="107"/>
      <c r="AR174" s="107"/>
      <c r="AS174" s="107"/>
    </row>
    <row r="175" spans="1:45" s="738" customFormat="1" ht="30" customHeight="1" x14ac:dyDescent="0.2">
      <c r="A175" s="972"/>
      <c r="B175" s="988" t="s">
        <v>1862</v>
      </c>
      <c r="C175" s="874">
        <v>5690000</v>
      </c>
      <c r="D175" s="874">
        <v>5690000</v>
      </c>
      <c r="E175" s="1218"/>
      <c r="F175" s="1163"/>
      <c r="G175" s="825"/>
      <c r="H175" s="1244"/>
      <c r="I175" s="1255"/>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row>
    <row r="176" spans="1:45" s="738" customFormat="1" ht="30" customHeight="1" x14ac:dyDescent="0.2">
      <c r="A176" s="972"/>
      <c r="B176" s="988" t="s">
        <v>1733</v>
      </c>
      <c r="C176" s="874">
        <v>842000</v>
      </c>
      <c r="D176" s="874">
        <v>842000</v>
      </c>
      <c r="E176" s="1218"/>
      <c r="F176" s="1163"/>
      <c r="G176" s="825"/>
      <c r="H176" s="1244"/>
      <c r="I176" s="1255"/>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07"/>
      <c r="AP176" s="107"/>
      <c r="AQ176" s="107"/>
      <c r="AR176" s="107"/>
      <c r="AS176" s="107"/>
    </row>
    <row r="177" spans="1:45" s="738" customFormat="1" ht="30" customHeight="1" x14ac:dyDescent="0.2">
      <c r="A177" s="972"/>
      <c r="B177" s="988" t="s">
        <v>1097</v>
      </c>
      <c r="C177" s="874">
        <v>610000</v>
      </c>
      <c r="D177" s="874">
        <v>610000</v>
      </c>
      <c r="E177" s="1163"/>
      <c r="F177" s="1163"/>
      <c r="G177" s="1243"/>
      <c r="H177" s="1248"/>
      <c r="I177" s="1249"/>
      <c r="J177" s="107"/>
      <c r="K177" s="107"/>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07"/>
      <c r="AP177" s="107"/>
      <c r="AQ177" s="107"/>
      <c r="AR177" s="107"/>
      <c r="AS177" s="107"/>
    </row>
    <row r="178" spans="1:45" s="116" customFormat="1" ht="30" customHeight="1" x14ac:dyDescent="0.2">
      <c r="A178" s="972">
        <v>3113</v>
      </c>
      <c r="B178" s="905" t="s">
        <v>1579</v>
      </c>
      <c r="C178" s="940">
        <v>50000</v>
      </c>
      <c r="D178" s="940">
        <v>50000</v>
      </c>
      <c r="E178" s="1163"/>
      <c r="F178" s="1163"/>
      <c r="G178" s="1243"/>
      <c r="H178" s="1248"/>
      <c r="I178" s="1249"/>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row>
    <row r="179" spans="1:45" s="116" customFormat="1" ht="30" customHeight="1" x14ac:dyDescent="0.2">
      <c r="A179" s="972">
        <v>3121</v>
      </c>
      <c r="B179" s="968" t="s">
        <v>1307</v>
      </c>
      <c r="C179" s="940">
        <f t="shared" ref="C179:D179" si="5">SUM(C180:C181)</f>
        <v>0</v>
      </c>
      <c r="D179" s="940">
        <f t="shared" si="5"/>
        <v>0</v>
      </c>
      <c r="E179" s="701"/>
      <c r="F179" s="707"/>
      <c r="G179" s="825"/>
      <c r="H179" s="1244"/>
      <c r="I179" s="1255"/>
      <c r="J179" s="107"/>
      <c r="K179" s="107"/>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07"/>
      <c r="AP179" s="107"/>
      <c r="AQ179" s="107"/>
      <c r="AR179" s="107"/>
      <c r="AS179" s="107"/>
    </row>
    <row r="180" spans="1:45" s="116" customFormat="1" ht="30" customHeight="1" x14ac:dyDescent="0.2">
      <c r="A180" s="972"/>
      <c r="B180" s="970" t="s">
        <v>1616</v>
      </c>
      <c r="C180" s="874">
        <v>0</v>
      </c>
      <c r="D180" s="874">
        <v>0</v>
      </c>
      <c r="E180" s="1163"/>
      <c r="F180" s="1163"/>
      <c r="G180" s="1243"/>
      <c r="H180" s="1248"/>
      <c r="I180" s="1249"/>
      <c r="J180" s="107"/>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07"/>
      <c r="AP180" s="107"/>
      <c r="AQ180" s="107"/>
      <c r="AR180" s="107"/>
      <c r="AS180" s="107"/>
    </row>
    <row r="181" spans="1:45" s="116" customFormat="1" ht="30" customHeight="1" x14ac:dyDescent="0.2">
      <c r="A181" s="972"/>
      <c r="B181" s="968" t="s">
        <v>1484</v>
      </c>
      <c r="C181" s="874">
        <v>0</v>
      </c>
      <c r="D181" s="874">
        <v>0</v>
      </c>
      <c r="E181" s="744"/>
      <c r="F181" s="744"/>
      <c r="G181" s="1243"/>
      <c r="H181" s="1248"/>
      <c r="I181" s="1249"/>
      <c r="J181" s="107"/>
      <c r="K181" s="107"/>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c r="AO181" s="107"/>
      <c r="AP181" s="107"/>
      <c r="AQ181" s="107"/>
      <c r="AR181" s="107"/>
      <c r="AS181" s="107"/>
    </row>
    <row r="182" spans="1:45" s="116" customFormat="1" ht="30" customHeight="1" x14ac:dyDescent="0.2">
      <c r="A182" s="972">
        <v>3122</v>
      </c>
      <c r="B182" s="968" t="s">
        <v>1485</v>
      </c>
      <c r="C182" s="997">
        <f t="shared" ref="C182:D182" si="6">C183</f>
        <v>2372552</v>
      </c>
      <c r="D182" s="997">
        <f t="shared" si="6"/>
        <v>2372552</v>
      </c>
      <c r="E182" s="864"/>
      <c r="F182" s="864"/>
      <c r="G182" s="864"/>
      <c r="H182" s="864"/>
      <c r="I182" s="1401"/>
      <c r="J182" s="107"/>
      <c r="K182" s="107"/>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c r="AO182" s="107"/>
      <c r="AP182" s="107"/>
      <c r="AQ182" s="107"/>
      <c r="AR182" s="107"/>
      <c r="AS182" s="107"/>
    </row>
    <row r="183" spans="1:45" s="116" customFormat="1" ht="30" customHeight="1" x14ac:dyDescent="0.2">
      <c r="A183" s="972"/>
      <c r="B183" s="968" t="s">
        <v>1617</v>
      </c>
      <c r="C183" s="974">
        <v>2372552</v>
      </c>
      <c r="D183" s="974">
        <v>2372552</v>
      </c>
      <c r="E183" s="744"/>
      <c r="F183" s="744"/>
      <c r="G183" s="1243"/>
      <c r="H183" s="1248"/>
      <c r="I183" s="1399"/>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row>
    <row r="184" spans="1:45" s="116" customFormat="1" ht="30" customHeight="1" x14ac:dyDescent="0.2">
      <c r="A184" s="972">
        <v>3129</v>
      </c>
      <c r="B184" s="905" t="s">
        <v>191</v>
      </c>
      <c r="C184" s="862">
        <f t="shared" ref="C184:D184" si="7">SUM(C185:C193)</f>
        <v>6106268.0099999998</v>
      </c>
      <c r="D184" s="862">
        <f t="shared" si="7"/>
        <v>4181000</v>
      </c>
      <c r="E184" s="1163"/>
      <c r="F184" s="1163"/>
      <c r="G184" s="1243"/>
      <c r="H184" s="1248"/>
      <c r="I184" s="1249"/>
      <c r="J184" s="107"/>
      <c r="K184" s="107"/>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c r="AN184" s="107"/>
      <c r="AO184" s="107"/>
      <c r="AP184" s="107"/>
      <c r="AQ184" s="107"/>
      <c r="AR184" s="107"/>
      <c r="AS184" s="107"/>
    </row>
    <row r="185" spans="1:45" s="116" customFormat="1" ht="30" customHeight="1" x14ac:dyDescent="0.2">
      <c r="A185" s="998"/>
      <c r="B185" s="988" t="s">
        <v>1203</v>
      </c>
      <c r="C185" s="874">
        <v>0</v>
      </c>
      <c r="D185" s="874">
        <v>0</v>
      </c>
      <c r="E185" s="701"/>
      <c r="F185" s="707"/>
      <c r="G185" s="825"/>
      <c r="H185" s="1244"/>
      <c r="I185" s="1255"/>
      <c r="J185" s="107"/>
      <c r="K185" s="107"/>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c r="AN185" s="107"/>
      <c r="AO185" s="107"/>
      <c r="AP185" s="107"/>
      <c r="AQ185" s="107"/>
      <c r="AR185" s="107"/>
      <c r="AS185" s="107"/>
    </row>
    <row r="186" spans="1:45" s="116" customFormat="1" ht="30" customHeight="1" x14ac:dyDescent="0.2">
      <c r="A186" s="998"/>
      <c r="B186" s="967" t="s">
        <v>1882</v>
      </c>
      <c r="C186" s="958">
        <v>0</v>
      </c>
      <c r="D186" s="958">
        <v>0</v>
      </c>
      <c r="E186" s="1163"/>
      <c r="F186" s="1163"/>
      <c r="G186" s="1243"/>
      <c r="H186" s="1248"/>
      <c r="I186" s="1249"/>
      <c r="J186" s="107"/>
      <c r="K186" s="107"/>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7"/>
      <c r="AN186" s="107"/>
      <c r="AO186" s="107"/>
      <c r="AP186" s="107"/>
      <c r="AQ186" s="107"/>
      <c r="AR186" s="107"/>
      <c r="AS186" s="107"/>
    </row>
    <row r="187" spans="1:45" s="116" customFormat="1" ht="30" customHeight="1" x14ac:dyDescent="0.2">
      <c r="A187" s="998"/>
      <c r="B187" s="1000" t="s">
        <v>1581</v>
      </c>
      <c r="C187" s="903">
        <v>1896000</v>
      </c>
      <c r="D187" s="903">
        <v>1896000</v>
      </c>
      <c r="E187" s="744"/>
      <c r="F187" s="744"/>
      <c r="G187" s="1243"/>
      <c r="H187" s="1248"/>
      <c r="I187" s="1249"/>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row>
    <row r="188" spans="1:45" s="116" customFormat="1" ht="30" customHeight="1" x14ac:dyDescent="0.2">
      <c r="A188" s="998"/>
      <c r="B188" s="1002" t="s">
        <v>1582</v>
      </c>
      <c r="C188" s="1003">
        <v>0</v>
      </c>
      <c r="D188" s="1003">
        <v>0</v>
      </c>
      <c r="E188" s="864"/>
      <c r="F188" s="864"/>
      <c r="G188" s="1243"/>
      <c r="H188" s="1248"/>
      <c r="I188" s="1249"/>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row>
    <row r="189" spans="1:45" s="116" customFormat="1" ht="30" customHeight="1" x14ac:dyDescent="0.2">
      <c r="A189" s="998"/>
      <c r="B189" s="1004" t="s">
        <v>1583</v>
      </c>
      <c r="C189" s="1003">
        <v>522932</v>
      </c>
      <c r="D189" s="1003">
        <f>522932-522932</f>
        <v>0</v>
      </c>
      <c r="E189" s="744"/>
      <c r="F189" s="744"/>
      <c r="G189" s="1243"/>
      <c r="H189" s="1248"/>
      <c r="I189" s="1399"/>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row>
    <row r="190" spans="1:45" s="116" customFormat="1" ht="30" customHeight="1" x14ac:dyDescent="0.2">
      <c r="A190" s="998"/>
      <c r="B190" s="1005" t="s">
        <v>1584</v>
      </c>
      <c r="C190" s="1003">
        <v>400000</v>
      </c>
      <c r="D190" s="1003">
        <f>400000-400000</f>
        <v>0</v>
      </c>
      <c r="E190" s="744"/>
      <c r="F190" s="744"/>
      <c r="G190" s="1243"/>
      <c r="H190" s="1248"/>
      <c r="I190" s="1249"/>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c r="AQ190" s="107"/>
      <c r="AR190" s="107"/>
      <c r="AS190" s="107"/>
    </row>
    <row r="191" spans="1:45" s="116" customFormat="1" ht="30" customHeight="1" x14ac:dyDescent="0.2">
      <c r="A191" s="998"/>
      <c r="B191" s="1005" t="s">
        <v>1585</v>
      </c>
      <c r="C191" s="1003">
        <v>1002336.01</v>
      </c>
      <c r="D191" s="1003">
        <f>1002336.01-1002336.01</f>
        <v>0</v>
      </c>
      <c r="E191" s="864"/>
      <c r="F191" s="864"/>
      <c r="G191" s="1243"/>
      <c r="H191" s="1248"/>
      <c r="I191" s="1249"/>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row>
    <row r="192" spans="1:45" s="116" customFormat="1" ht="30" customHeight="1" x14ac:dyDescent="0.2">
      <c r="A192" s="1006"/>
      <c r="B192" s="1002" t="s">
        <v>1586</v>
      </c>
      <c r="C192" s="1003">
        <v>1700000</v>
      </c>
      <c r="D192" s="1003">
        <v>1700000</v>
      </c>
      <c r="E192" s="744"/>
      <c r="F192" s="744"/>
      <c r="G192" s="1243"/>
      <c r="H192" s="1248"/>
      <c r="I192" s="1399"/>
      <c r="J192" s="107"/>
      <c r="K192" s="107"/>
      <c r="L192" s="107"/>
      <c r="M192" s="107"/>
      <c r="N192" s="107"/>
      <c r="O192" s="107"/>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c r="AK192" s="107"/>
      <c r="AL192" s="107"/>
      <c r="AM192" s="107"/>
      <c r="AN192" s="107"/>
      <c r="AO192" s="107"/>
      <c r="AP192" s="107"/>
      <c r="AQ192" s="107"/>
      <c r="AR192" s="107"/>
      <c r="AS192" s="107"/>
    </row>
    <row r="193" spans="1:45" s="116" customFormat="1" ht="30" customHeight="1" x14ac:dyDescent="0.2">
      <c r="A193" s="1008"/>
      <c r="B193" s="1005" t="s">
        <v>1587</v>
      </c>
      <c r="C193" s="1001">
        <v>585000</v>
      </c>
      <c r="D193" s="1001">
        <v>585000</v>
      </c>
      <c r="E193" s="744"/>
      <c r="F193" s="744"/>
      <c r="G193" s="1243"/>
      <c r="H193" s="1248"/>
      <c r="I193" s="1399"/>
      <c r="J193" s="107"/>
      <c r="K193" s="107"/>
      <c r="L193" s="107"/>
      <c r="M193" s="107"/>
      <c r="N193" s="107"/>
      <c r="O193" s="107"/>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c r="AK193" s="107"/>
      <c r="AL193" s="107"/>
      <c r="AM193" s="107"/>
      <c r="AN193" s="107"/>
      <c r="AO193" s="107"/>
      <c r="AP193" s="107"/>
      <c r="AQ193" s="107"/>
      <c r="AR193" s="107"/>
      <c r="AS193" s="107"/>
    </row>
    <row r="194" spans="1:45" s="116" customFormat="1" ht="30" customHeight="1" thickBot="1" x14ac:dyDescent="0.25">
      <c r="A194" s="1007"/>
      <c r="B194" s="1005"/>
      <c r="C194" s="1009"/>
      <c r="D194" s="1009"/>
      <c r="E194" s="711"/>
      <c r="F194" s="711"/>
      <c r="G194" s="711"/>
      <c r="H194" s="711"/>
      <c r="I194" s="1265"/>
      <c r="J194" s="107"/>
      <c r="K194" s="107"/>
      <c r="L194" s="107"/>
      <c r="M194" s="107"/>
      <c r="N194" s="107"/>
      <c r="O194" s="107"/>
      <c r="P194" s="107"/>
      <c r="Q194" s="107"/>
      <c r="R194" s="107"/>
      <c r="S194" s="107"/>
      <c r="T194" s="107"/>
      <c r="U194" s="107"/>
      <c r="V194" s="107"/>
      <c r="W194" s="107"/>
      <c r="X194" s="107"/>
      <c r="Y194" s="107"/>
      <c r="Z194" s="107"/>
      <c r="AA194" s="107"/>
      <c r="AB194" s="107"/>
      <c r="AC194" s="107"/>
      <c r="AD194" s="107"/>
      <c r="AE194" s="107"/>
      <c r="AF194" s="107"/>
      <c r="AG194" s="107"/>
      <c r="AH194" s="107"/>
      <c r="AI194" s="107"/>
      <c r="AJ194" s="107"/>
      <c r="AK194" s="107"/>
      <c r="AL194" s="107"/>
      <c r="AM194" s="107"/>
      <c r="AN194" s="107"/>
      <c r="AO194" s="107"/>
      <c r="AP194" s="107"/>
      <c r="AQ194" s="107"/>
      <c r="AR194" s="107"/>
      <c r="AS194" s="107"/>
    </row>
    <row r="195" spans="1:45" s="116" customFormat="1" ht="30" customHeight="1" thickBot="1" x14ac:dyDescent="0.3">
      <c r="A195" s="991"/>
      <c r="B195" s="1010" t="s">
        <v>196</v>
      </c>
      <c r="C195" s="994">
        <f>SUM(C196,C199,C200,C220,C228,C242,C245,C251,C263)</f>
        <v>56420206.439999998</v>
      </c>
      <c r="D195" s="994">
        <f>SUM(D196,D199,D200,D220,D228,D242,D245,D251,D263)</f>
        <v>85639315.75999999</v>
      </c>
      <c r="E195" s="1266"/>
      <c r="F195" s="1267"/>
      <c r="G195" s="1237"/>
      <c r="H195" s="1237"/>
      <c r="I195" s="1268"/>
      <c r="J195" s="107"/>
      <c r="K195" s="107"/>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c r="AN195" s="107"/>
      <c r="AO195" s="107"/>
      <c r="AP195" s="107"/>
      <c r="AQ195" s="107"/>
      <c r="AR195" s="107"/>
      <c r="AS195" s="107"/>
    </row>
    <row r="196" spans="1:45" s="116" customFormat="1" ht="30" customHeight="1" x14ac:dyDescent="0.2">
      <c r="A196" s="1011">
        <v>4111</v>
      </c>
      <c r="B196" s="1012" t="s">
        <v>197</v>
      </c>
      <c r="C196" s="1013">
        <f t="shared" ref="C196:D196" si="8">SUM(C197:C198)</f>
        <v>0</v>
      </c>
      <c r="D196" s="1013">
        <f t="shared" si="8"/>
        <v>848612.64</v>
      </c>
      <c r="E196" s="716"/>
      <c r="F196" s="1269"/>
      <c r="G196" s="825"/>
      <c r="H196" s="1244"/>
      <c r="I196" s="1255"/>
      <c r="J196" s="107"/>
      <c r="K196" s="107"/>
      <c r="L196" s="107"/>
      <c r="M196" s="107"/>
      <c r="N196" s="107"/>
      <c r="O196" s="107"/>
      <c r="P196" s="107"/>
      <c r="Q196" s="107"/>
      <c r="R196" s="107"/>
      <c r="S196" s="107"/>
      <c r="T196" s="107"/>
      <c r="U196" s="107"/>
      <c r="V196" s="107"/>
      <c r="W196" s="107"/>
      <c r="X196" s="107"/>
      <c r="Y196" s="107"/>
      <c r="Z196" s="107"/>
      <c r="AA196" s="107"/>
      <c r="AB196" s="107"/>
      <c r="AC196" s="107"/>
      <c r="AD196" s="107"/>
      <c r="AE196" s="107"/>
      <c r="AF196" s="107"/>
      <c r="AG196" s="107"/>
      <c r="AH196" s="107"/>
      <c r="AI196" s="107"/>
      <c r="AJ196" s="107"/>
      <c r="AK196" s="107"/>
      <c r="AL196" s="107"/>
      <c r="AM196" s="107"/>
      <c r="AN196" s="107"/>
      <c r="AO196" s="107"/>
      <c r="AP196" s="107"/>
      <c r="AQ196" s="107"/>
      <c r="AR196" s="107"/>
      <c r="AS196" s="107"/>
    </row>
    <row r="197" spans="1:45" s="116" customFormat="1" ht="30" customHeight="1" x14ac:dyDescent="0.2">
      <c r="A197" s="1014"/>
      <c r="B197" s="1015" t="s">
        <v>2035</v>
      </c>
      <c r="C197" s="883">
        <v>0</v>
      </c>
      <c r="D197" s="883">
        <v>124612.64</v>
      </c>
      <c r="E197" s="1191"/>
      <c r="F197" s="1191"/>
      <c r="G197" s="1243"/>
      <c r="H197" s="1248"/>
      <c r="I197" s="1249"/>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row>
    <row r="198" spans="1:45" s="116" customFormat="1" ht="30" customHeight="1" x14ac:dyDescent="0.2">
      <c r="A198" s="1014"/>
      <c r="B198" s="1015" t="s">
        <v>2077</v>
      </c>
      <c r="C198" s="883">
        <v>0</v>
      </c>
      <c r="D198" s="883">
        <v>724000</v>
      </c>
      <c r="E198" s="1191"/>
      <c r="F198" s="1191"/>
      <c r="G198" s="1243"/>
      <c r="H198" s="1248"/>
      <c r="I198" s="1249"/>
      <c r="J198" s="107"/>
      <c r="K198" s="107"/>
      <c r="L198" s="107"/>
      <c r="M198" s="107"/>
      <c r="N198" s="107"/>
      <c r="O198" s="107"/>
      <c r="P198" s="107"/>
      <c r="Q198" s="107"/>
      <c r="R198" s="107"/>
      <c r="S198" s="107"/>
      <c r="T198" s="107"/>
      <c r="U198" s="107"/>
      <c r="V198" s="107"/>
      <c r="W198" s="107"/>
      <c r="X198" s="107"/>
      <c r="Y198" s="107"/>
      <c r="Z198" s="107"/>
      <c r="AA198" s="107"/>
      <c r="AB198" s="107"/>
      <c r="AC198" s="107"/>
      <c r="AD198" s="107"/>
      <c r="AE198" s="107"/>
      <c r="AF198" s="107"/>
      <c r="AG198" s="107"/>
      <c r="AH198" s="107"/>
      <c r="AI198" s="107"/>
      <c r="AJ198" s="107"/>
      <c r="AK198" s="107"/>
      <c r="AL198" s="107"/>
      <c r="AM198" s="107"/>
      <c r="AN198" s="107"/>
      <c r="AO198" s="107"/>
      <c r="AP198" s="107"/>
      <c r="AQ198" s="107"/>
      <c r="AR198" s="107"/>
      <c r="AS198" s="107"/>
    </row>
    <row r="199" spans="1:45" ht="30" customHeight="1" x14ac:dyDescent="0.2">
      <c r="A199" s="986">
        <v>4112</v>
      </c>
      <c r="B199" s="1016" t="s">
        <v>1697</v>
      </c>
      <c r="C199" s="940">
        <f>(1016932+736317+467712+420864+713728+43008+4253687+8154340+23444493+795804+17710+1525000+1296966+241392+782383+86001+2624+348336+27880+12045)-22</f>
        <v>44387200</v>
      </c>
      <c r="D199" s="940">
        <f>(1016932+736317+467712+420864+713728+43008+4253687+8154340+23444493+795804+17710+1525000+1296966+241392+782383+86001+2624+348336+27880+12045)-22</f>
        <v>44387200</v>
      </c>
      <c r="E199" s="1218"/>
      <c r="F199" s="1163"/>
      <c r="G199" s="825"/>
      <c r="H199" s="1244"/>
      <c r="I199" s="1257"/>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row>
    <row r="200" spans="1:45" s="116" customFormat="1" ht="30" customHeight="1" x14ac:dyDescent="0.2">
      <c r="A200" s="972">
        <v>4116</v>
      </c>
      <c r="B200" s="905" t="s">
        <v>201</v>
      </c>
      <c r="C200" s="862">
        <f>SUM(C201:C219)</f>
        <v>100000</v>
      </c>
      <c r="D200" s="862">
        <f>SUM(D201:D219)</f>
        <v>5889554.2399999993</v>
      </c>
      <c r="E200" s="701"/>
      <c r="F200" s="707"/>
      <c r="G200" s="825"/>
      <c r="H200" s="1244"/>
      <c r="I200" s="1255"/>
      <c r="J200" s="107"/>
      <c r="K200" s="107"/>
      <c r="L200" s="107"/>
      <c r="M200" s="107"/>
      <c r="N200" s="107"/>
      <c r="O200" s="107"/>
      <c r="P200" s="107"/>
      <c r="Q200" s="107"/>
      <c r="R200" s="107"/>
      <c r="S200" s="107"/>
      <c r="T200" s="107"/>
      <c r="U200" s="107"/>
      <c r="V200" s="107"/>
      <c r="W200" s="107"/>
      <c r="X200" s="107"/>
      <c r="Y200" s="107"/>
      <c r="Z200" s="107"/>
      <c r="AA200" s="107"/>
      <c r="AB200" s="107"/>
      <c r="AC200" s="107"/>
      <c r="AD200" s="107"/>
      <c r="AE200" s="107"/>
      <c r="AF200" s="107"/>
      <c r="AG200" s="107"/>
      <c r="AH200" s="107"/>
      <c r="AI200" s="107"/>
      <c r="AJ200" s="107"/>
      <c r="AK200" s="107"/>
      <c r="AL200" s="107"/>
      <c r="AM200" s="107"/>
      <c r="AN200" s="107"/>
      <c r="AO200" s="107"/>
      <c r="AP200" s="107"/>
      <c r="AQ200" s="107"/>
      <c r="AR200" s="107"/>
      <c r="AS200" s="107"/>
    </row>
    <row r="201" spans="1:45" ht="30" customHeight="1" x14ac:dyDescent="0.2">
      <c r="A201" s="1017"/>
      <c r="B201" s="967" t="s">
        <v>1626</v>
      </c>
      <c r="C201" s="874">
        <v>0</v>
      </c>
      <c r="D201" s="874">
        <v>0</v>
      </c>
      <c r="E201" s="1163"/>
      <c r="F201" s="1163"/>
      <c r="G201" s="1243"/>
      <c r="H201" s="1248"/>
      <c r="I201" s="1249"/>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row>
    <row r="202" spans="1:45" ht="30" customHeight="1" x14ac:dyDescent="0.2">
      <c r="A202" s="1017"/>
      <c r="B202" s="967" t="s">
        <v>1631</v>
      </c>
      <c r="C202" s="874">
        <v>0</v>
      </c>
      <c r="D202" s="874">
        <v>0</v>
      </c>
      <c r="E202" s="1163"/>
      <c r="F202" s="1163"/>
      <c r="G202" s="1243"/>
      <c r="H202" s="1248"/>
      <c r="I202" s="1249"/>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row>
    <row r="203" spans="1:45" ht="30" customHeight="1" x14ac:dyDescent="0.2">
      <c r="A203" s="1017"/>
      <c r="B203" s="967" t="s">
        <v>1625</v>
      </c>
      <c r="C203" s="874">
        <v>0</v>
      </c>
      <c r="D203" s="874">
        <v>0</v>
      </c>
      <c r="E203" s="1163"/>
      <c r="F203" s="1163"/>
      <c r="G203" s="1243"/>
      <c r="H203" s="1248"/>
      <c r="I203" s="1249"/>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row>
    <row r="204" spans="1:45" ht="30" customHeight="1" x14ac:dyDescent="0.2">
      <c r="A204" s="1017"/>
      <c r="B204" s="967" t="s">
        <v>1630</v>
      </c>
      <c r="C204" s="874">
        <v>0</v>
      </c>
      <c r="D204" s="874">
        <v>0</v>
      </c>
      <c r="E204" s="1163"/>
      <c r="F204" s="1163"/>
      <c r="G204" s="1243"/>
      <c r="H204" s="1248"/>
      <c r="I204" s="1249"/>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row>
    <row r="205" spans="1:45" ht="30" customHeight="1" x14ac:dyDescent="0.2">
      <c r="A205" s="1017"/>
      <c r="B205" s="1018" t="s">
        <v>1623</v>
      </c>
      <c r="C205" s="874">
        <v>0</v>
      </c>
      <c r="D205" s="874">
        <v>0</v>
      </c>
      <c r="E205" s="707"/>
      <c r="F205" s="707"/>
      <c r="G205" s="1243"/>
      <c r="H205" s="1248"/>
      <c r="I205" s="1249"/>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row>
    <row r="206" spans="1:45" ht="30" customHeight="1" x14ac:dyDescent="0.2">
      <c r="A206" s="1017"/>
      <c r="B206" s="1019" t="s">
        <v>1632</v>
      </c>
      <c r="C206" s="874">
        <v>0</v>
      </c>
      <c r="D206" s="874">
        <v>0</v>
      </c>
      <c r="E206" s="707"/>
      <c r="F206" s="707"/>
      <c r="G206" s="1243"/>
      <c r="H206" s="1248"/>
      <c r="I206" s="1249"/>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row>
    <row r="207" spans="1:45" ht="30" customHeight="1" x14ac:dyDescent="0.2">
      <c r="A207" s="1020"/>
      <c r="B207" s="979" t="s">
        <v>1741</v>
      </c>
      <c r="C207" s="874">
        <v>0</v>
      </c>
      <c r="D207" s="874">
        <v>0</v>
      </c>
      <c r="E207" s="707"/>
      <c r="F207" s="707"/>
      <c r="G207" s="1243"/>
      <c r="H207" s="1248"/>
      <c r="I207" s="1249"/>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row>
    <row r="208" spans="1:45" ht="30" customHeight="1" x14ac:dyDescent="0.2">
      <c r="A208" s="1020"/>
      <c r="B208" s="979" t="s">
        <v>2036</v>
      </c>
      <c r="C208" s="874">
        <v>0</v>
      </c>
      <c r="D208" s="874">
        <v>625431.35</v>
      </c>
      <c r="E208" s="1163"/>
      <c r="F208" s="1163"/>
      <c r="G208" s="1243"/>
      <c r="H208" s="1248"/>
      <c r="I208" s="1249"/>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row>
    <row r="209" spans="1:45" s="116" customFormat="1" ht="30" customHeight="1" x14ac:dyDescent="0.2">
      <c r="A209" s="1020"/>
      <c r="B209" s="979" t="s">
        <v>2078</v>
      </c>
      <c r="C209" s="874">
        <v>0</v>
      </c>
      <c r="D209" s="874">
        <f>261245.45+4441172.63</f>
        <v>4702418.08</v>
      </c>
      <c r="E209" s="1163"/>
      <c r="F209" s="1163"/>
      <c r="G209" s="1243"/>
      <c r="H209" s="1248"/>
      <c r="I209" s="1249"/>
      <c r="J209" s="107"/>
      <c r="K209" s="107"/>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107"/>
      <c r="AL209" s="107"/>
      <c r="AM209" s="107"/>
      <c r="AN209" s="107"/>
      <c r="AO209" s="107"/>
      <c r="AP209" s="107"/>
      <c r="AQ209" s="107"/>
      <c r="AR209" s="107"/>
      <c r="AS209" s="107"/>
    </row>
    <row r="210" spans="1:45" s="116" customFormat="1" ht="30" customHeight="1" x14ac:dyDescent="0.2">
      <c r="A210" s="1020"/>
      <c r="B210" s="979" t="s">
        <v>2081</v>
      </c>
      <c r="C210" s="874">
        <v>0</v>
      </c>
      <c r="D210" s="874">
        <v>61704.81</v>
      </c>
      <c r="E210" s="1163"/>
      <c r="F210" s="1163"/>
      <c r="G210" s="1243"/>
      <c r="H210" s="1248"/>
      <c r="I210" s="1249"/>
      <c r="J210" s="107"/>
      <c r="K210" s="107"/>
      <c r="L210" s="107"/>
      <c r="M210" s="107"/>
      <c r="N210" s="107"/>
      <c r="O210" s="107"/>
      <c r="P210" s="107"/>
      <c r="Q210" s="107"/>
      <c r="R210" s="107"/>
      <c r="S210" s="107"/>
      <c r="T210" s="107"/>
      <c r="U210" s="107"/>
      <c r="V210" s="107"/>
      <c r="W210" s="107"/>
      <c r="X210" s="107"/>
      <c r="Y210" s="107"/>
      <c r="Z210" s="107"/>
      <c r="AA210" s="107"/>
      <c r="AB210" s="107"/>
      <c r="AC210" s="107"/>
      <c r="AD210" s="107"/>
      <c r="AE210" s="107"/>
      <c r="AF210" s="107"/>
      <c r="AG210" s="107"/>
      <c r="AH210" s="107"/>
      <c r="AI210" s="107"/>
      <c r="AJ210" s="107"/>
      <c r="AK210" s="107"/>
      <c r="AL210" s="107"/>
      <c r="AM210" s="107"/>
      <c r="AN210" s="107"/>
      <c r="AO210" s="107"/>
      <c r="AP210" s="107"/>
      <c r="AQ210" s="107"/>
      <c r="AR210" s="107"/>
      <c r="AS210" s="107"/>
    </row>
    <row r="211" spans="1:45" s="116" customFormat="1" ht="30" customHeight="1" x14ac:dyDescent="0.2">
      <c r="A211" s="1020"/>
      <c r="B211" s="979" t="s">
        <v>2075</v>
      </c>
      <c r="C211" s="874">
        <v>0</v>
      </c>
      <c r="D211" s="874">
        <v>400000</v>
      </c>
      <c r="E211" s="1163"/>
      <c r="F211" s="1163"/>
      <c r="G211" s="1243"/>
      <c r="H211" s="1248"/>
      <c r="I211" s="1249"/>
      <c r="J211" s="107"/>
      <c r="K211" s="107"/>
      <c r="L211" s="107"/>
      <c r="M211" s="107"/>
      <c r="N211" s="107"/>
      <c r="O211" s="107"/>
      <c r="P211" s="107"/>
      <c r="Q211" s="107"/>
      <c r="R211" s="107"/>
      <c r="S211" s="107"/>
      <c r="T211" s="107"/>
      <c r="U211" s="107"/>
      <c r="V211" s="107"/>
      <c r="W211" s="107"/>
      <c r="X211" s="107"/>
      <c r="Y211" s="107"/>
      <c r="Z211" s="107"/>
      <c r="AA211" s="107"/>
      <c r="AB211" s="107"/>
      <c r="AC211" s="107"/>
      <c r="AD211" s="107"/>
      <c r="AE211" s="107"/>
      <c r="AF211" s="107"/>
      <c r="AG211" s="107"/>
      <c r="AH211" s="107"/>
      <c r="AI211" s="107"/>
      <c r="AJ211" s="107"/>
      <c r="AK211" s="107"/>
      <c r="AL211" s="107"/>
      <c r="AM211" s="107"/>
      <c r="AN211" s="107"/>
      <c r="AO211" s="107"/>
      <c r="AP211" s="107"/>
      <c r="AQ211" s="107"/>
      <c r="AR211" s="107"/>
      <c r="AS211" s="107"/>
    </row>
    <row r="212" spans="1:45" s="116" customFormat="1" ht="30" customHeight="1" x14ac:dyDescent="0.2">
      <c r="A212" s="1020"/>
      <c r="B212" s="979" t="s">
        <v>1629</v>
      </c>
      <c r="C212" s="874">
        <v>100000</v>
      </c>
      <c r="D212" s="874">
        <v>100000</v>
      </c>
      <c r="E212" s="1163"/>
      <c r="F212" s="1163"/>
      <c r="G212" s="1243"/>
      <c r="H212" s="1248"/>
      <c r="I212" s="1249"/>
      <c r="J212" s="107"/>
      <c r="K212" s="107"/>
      <c r="L212" s="107"/>
      <c r="M212" s="107"/>
      <c r="N212" s="107"/>
      <c r="O212" s="107"/>
      <c r="P212" s="107"/>
      <c r="Q212" s="107"/>
      <c r="R212" s="107"/>
      <c r="S212" s="107"/>
      <c r="T212" s="107"/>
      <c r="U212" s="107"/>
      <c r="V212" s="107"/>
      <c r="W212" s="107"/>
      <c r="X212" s="107"/>
      <c r="Y212" s="107"/>
      <c r="Z212" s="107"/>
      <c r="AA212" s="107"/>
      <c r="AB212" s="107"/>
      <c r="AC212" s="107"/>
      <c r="AD212" s="107"/>
      <c r="AE212" s="107"/>
      <c r="AF212" s="107"/>
      <c r="AG212" s="107"/>
      <c r="AH212" s="107"/>
      <c r="AI212" s="107"/>
      <c r="AJ212" s="107"/>
      <c r="AK212" s="107"/>
      <c r="AL212" s="107"/>
      <c r="AM212" s="107"/>
      <c r="AN212" s="107"/>
      <c r="AO212" s="107"/>
      <c r="AP212" s="107"/>
      <c r="AQ212" s="107"/>
      <c r="AR212" s="107"/>
      <c r="AS212" s="107"/>
    </row>
    <row r="213" spans="1:45" s="116" customFormat="1" ht="30" customHeight="1" x14ac:dyDescent="0.2">
      <c r="A213" s="1020"/>
      <c r="B213" s="979" t="s">
        <v>1622</v>
      </c>
      <c r="C213" s="874">
        <v>0</v>
      </c>
      <c r="D213" s="874">
        <v>0</v>
      </c>
      <c r="E213" s="1270"/>
      <c r="F213" s="1270"/>
      <c r="G213" s="1243"/>
      <c r="H213" s="1248"/>
      <c r="I213" s="1249"/>
      <c r="J213" s="107"/>
      <c r="K213" s="107"/>
      <c r="L213" s="107"/>
      <c r="M213" s="107"/>
      <c r="N213" s="107"/>
      <c r="O213" s="107"/>
      <c r="P213" s="107"/>
      <c r="Q213" s="107"/>
      <c r="R213" s="107"/>
      <c r="S213" s="107"/>
      <c r="T213" s="107"/>
      <c r="U213" s="107"/>
      <c r="V213" s="107"/>
      <c r="W213" s="107"/>
      <c r="X213" s="107"/>
      <c r="Y213" s="107"/>
      <c r="Z213" s="107"/>
      <c r="AA213" s="107"/>
      <c r="AB213" s="107"/>
      <c r="AC213" s="107"/>
      <c r="AD213" s="107"/>
      <c r="AE213" s="107"/>
      <c r="AF213" s="107"/>
      <c r="AG213" s="107"/>
      <c r="AH213" s="107"/>
      <c r="AI213" s="107"/>
      <c r="AJ213" s="107"/>
      <c r="AK213" s="107"/>
      <c r="AL213" s="107"/>
      <c r="AM213" s="107"/>
      <c r="AN213" s="107"/>
      <c r="AO213" s="107"/>
      <c r="AP213" s="107"/>
      <c r="AQ213" s="107"/>
      <c r="AR213" s="107"/>
      <c r="AS213" s="107"/>
    </row>
    <row r="214" spans="1:45" s="116" customFormat="1" ht="30" customHeight="1" x14ac:dyDescent="0.2">
      <c r="A214" s="1020"/>
      <c r="B214" s="979" t="s">
        <v>1628</v>
      </c>
      <c r="C214" s="874">
        <v>0</v>
      </c>
      <c r="D214" s="874">
        <v>0</v>
      </c>
      <c r="E214" s="1270"/>
      <c r="F214" s="1270"/>
      <c r="G214" s="1243"/>
      <c r="H214" s="1248"/>
      <c r="I214" s="1249"/>
      <c r="J214" s="107"/>
      <c r="K214" s="107"/>
      <c r="L214" s="107"/>
      <c r="M214" s="107"/>
      <c r="N214" s="107"/>
      <c r="O214" s="107"/>
      <c r="P214" s="107"/>
      <c r="Q214" s="107"/>
      <c r="R214" s="107"/>
      <c r="S214" s="107"/>
      <c r="T214" s="107"/>
      <c r="U214" s="107"/>
      <c r="V214" s="107"/>
      <c r="W214" s="107"/>
      <c r="X214" s="107"/>
      <c r="Y214" s="107"/>
      <c r="Z214" s="107"/>
      <c r="AA214" s="107"/>
      <c r="AB214" s="107"/>
      <c r="AC214" s="107"/>
      <c r="AD214" s="107"/>
      <c r="AE214" s="107"/>
      <c r="AF214" s="107"/>
      <c r="AG214" s="107"/>
      <c r="AH214" s="107"/>
      <c r="AI214" s="107"/>
      <c r="AJ214" s="107"/>
      <c r="AK214" s="107"/>
      <c r="AL214" s="107"/>
      <c r="AM214" s="107"/>
      <c r="AN214" s="107"/>
      <c r="AO214" s="107"/>
      <c r="AP214" s="107"/>
      <c r="AQ214" s="107"/>
      <c r="AR214" s="107"/>
      <c r="AS214" s="107"/>
    </row>
    <row r="215" spans="1:45" s="116" customFormat="1" ht="30" customHeight="1" x14ac:dyDescent="0.2">
      <c r="A215" s="1020"/>
      <c r="B215" s="1026" t="s">
        <v>1636</v>
      </c>
      <c r="C215" s="1150">
        <v>0</v>
      </c>
      <c r="D215" s="1150">
        <v>0</v>
      </c>
      <c r="E215" s="1270"/>
      <c r="F215" s="1270"/>
      <c r="G215" s="1243"/>
      <c r="H215" s="1248"/>
      <c r="I215" s="1249"/>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107"/>
      <c r="AM215" s="107"/>
      <c r="AN215" s="107"/>
      <c r="AO215" s="107"/>
      <c r="AP215" s="107"/>
      <c r="AQ215" s="107"/>
      <c r="AR215" s="107"/>
      <c r="AS215" s="107"/>
    </row>
    <row r="216" spans="1:45" s="116" customFormat="1" ht="30" customHeight="1" x14ac:dyDescent="0.2">
      <c r="A216" s="1020"/>
      <c r="B216" s="979" t="s">
        <v>1620</v>
      </c>
      <c r="C216" s="874">
        <v>0</v>
      </c>
      <c r="D216" s="874">
        <v>0</v>
      </c>
      <c r="E216" s="1270"/>
      <c r="F216" s="1270"/>
      <c r="G216" s="1243"/>
      <c r="H216" s="1248"/>
      <c r="I216" s="1249"/>
      <c r="J216" s="107"/>
      <c r="K216" s="107"/>
      <c r="L216" s="107"/>
      <c r="M216" s="107"/>
      <c r="N216" s="107"/>
      <c r="O216" s="107"/>
      <c r="P216" s="107"/>
      <c r="Q216" s="107"/>
      <c r="R216" s="107"/>
      <c r="S216" s="107"/>
      <c r="T216" s="107"/>
      <c r="U216" s="107"/>
      <c r="V216" s="107"/>
      <c r="W216" s="107"/>
      <c r="X216" s="107"/>
      <c r="Y216" s="107"/>
      <c r="Z216" s="107"/>
      <c r="AA216" s="107"/>
      <c r="AB216" s="107"/>
      <c r="AC216" s="107"/>
      <c r="AD216" s="107"/>
      <c r="AE216" s="107"/>
      <c r="AF216" s="107"/>
      <c r="AG216" s="107"/>
      <c r="AH216" s="107"/>
      <c r="AI216" s="107"/>
      <c r="AJ216" s="107"/>
      <c r="AK216" s="107"/>
      <c r="AL216" s="107"/>
      <c r="AM216" s="107"/>
      <c r="AN216" s="107"/>
      <c r="AO216" s="107"/>
      <c r="AP216" s="107"/>
      <c r="AQ216" s="107"/>
      <c r="AR216" s="107"/>
      <c r="AS216" s="107"/>
    </row>
    <row r="217" spans="1:45" s="116" customFormat="1" ht="30" customHeight="1" x14ac:dyDescent="0.2">
      <c r="A217" s="1020"/>
      <c r="B217" s="979" t="s">
        <v>1627</v>
      </c>
      <c r="C217" s="874">
        <v>0</v>
      </c>
      <c r="D217" s="874">
        <v>0</v>
      </c>
      <c r="E217" s="1163"/>
      <c r="F217" s="1163"/>
      <c r="G217" s="1243"/>
      <c r="H217" s="1248"/>
      <c r="I217" s="1249"/>
      <c r="J217" s="107"/>
      <c r="K217" s="107"/>
      <c r="L217" s="107"/>
      <c r="M217" s="107"/>
      <c r="N217" s="107"/>
      <c r="O217" s="107"/>
      <c r="P217" s="107"/>
      <c r="Q217" s="107"/>
      <c r="R217" s="107"/>
      <c r="S217" s="107"/>
      <c r="T217" s="107"/>
      <c r="U217" s="107"/>
      <c r="V217" s="107"/>
      <c r="W217" s="107"/>
      <c r="X217" s="107"/>
      <c r="Y217" s="107"/>
      <c r="Z217" s="107"/>
      <c r="AA217" s="107"/>
      <c r="AB217" s="107"/>
      <c r="AC217" s="107"/>
      <c r="AD217" s="107"/>
      <c r="AE217" s="107"/>
      <c r="AF217" s="107"/>
      <c r="AG217" s="107"/>
      <c r="AH217" s="107"/>
      <c r="AI217" s="107"/>
      <c r="AJ217" s="107"/>
      <c r="AK217" s="107"/>
      <c r="AL217" s="107"/>
      <c r="AM217" s="107"/>
      <c r="AN217" s="107"/>
      <c r="AO217" s="107"/>
      <c r="AP217" s="107"/>
      <c r="AQ217" s="107"/>
      <c r="AR217" s="107"/>
      <c r="AS217" s="107"/>
    </row>
    <row r="218" spans="1:45" s="116" customFormat="1" ht="30" customHeight="1" x14ac:dyDescent="0.2">
      <c r="A218" s="1020"/>
      <c r="B218" s="970" t="s">
        <v>1619</v>
      </c>
      <c r="C218" s="874">
        <v>0</v>
      </c>
      <c r="D218" s="874">
        <v>0</v>
      </c>
      <c r="E218" s="1176"/>
      <c r="F218" s="1176"/>
      <c r="G218" s="1243"/>
      <c r="H218" s="1248"/>
      <c r="I218" s="1249"/>
      <c r="J218" s="107"/>
      <c r="K218" s="107"/>
      <c r="L218" s="107"/>
      <c r="M218" s="107"/>
      <c r="N218" s="107"/>
      <c r="O218" s="107"/>
      <c r="P218" s="107"/>
      <c r="Q218" s="107"/>
      <c r="R218" s="107"/>
      <c r="S218" s="107"/>
      <c r="T218" s="107"/>
      <c r="U218" s="107"/>
      <c r="V218" s="107"/>
      <c r="W218" s="107"/>
      <c r="X218" s="107"/>
      <c r="Y218" s="107"/>
      <c r="Z218" s="107"/>
      <c r="AA218" s="107"/>
      <c r="AB218" s="107"/>
      <c r="AC218" s="107"/>
      <c r="AD218" s="107"/>
      <c r="AE218" s="107"/>
      <c r="AF218" s="107"/>
      <c r="AG218" s="107"/>
      <c r="AH218" s="107"/>
      <c r="AI218" s="107"/>
      <c r="AJ218" s="107"/>
      <c r="AK218" s="107"/>
      <c r="AL218" s="107"/>
      <c r="AM218" s="107"/>
      <c r="AN218" s="107"/>
      <c r="AO218" s="107"/>
      <c r="AP218" s="107"/>
      <c r="AQ218" s="107"/>
      <c r="AR218" s="107"/>
      <c r="AS218" s="107"/>
    </row>
    <row r="219" spans="1:45" s="116" customFormat="1" ht="30" customHeight="1" x14ac:dyDescent="0.2">
      <c r="A219" s="1020"/>
      <c r="B219" s="979" t="s">
        <v>1621</v>
      </c>
      <c r="C219" s="874">
        <v>0</v>
      </c>
      <c r="D219" s="874">
        <v>0</v>
      </c>
      <c r="E219" s="701"/>
      <c r="F219" s="707"/>
      <c r="G219" s="825"/>
      <c r="H219" s="1244"/>
      <c r="I219" s="1255"/>
      <c r="J219" s="107"/>
      <c r="K219" s="107"/>
      <c r="L219" s="107"/>
      <c r="M219" s="107"/>
      <c r="N219" s="107"/>
      <c r="O219" s="107"/>
      <c r="P219" s="107"/>
      <c r="Q219" s="107"/>
      <c r="R219" s="107"/>
      <c r="S219" s="107"/>
      <c r="T219" s="107"/>
      <c r="U219" s="107"/>
      <c r="V219" s="107"/>
      <c r="W219" s="107"/>
      <c r="X219" s="107"/>
      <c r="Y219" s="107"/>
      <c r="Z219" s="107"/>
      <c r="AA219" s="107"/>
      <c r="AB219" s="107"/>
      <c r="AC219" s="107"/>
      <c r="AD219" s="107"/>
      <c r="AE219" s="107"/>
      <c r="AF219" s="107"/>
      <c r="AG219" s="107"/>
      <c r="AH219" s="107"/>
      <c r="AI219" s="107"/>
      <c r="AJ219" s="107"/>
      <c r="AK219" s="107"/>
      <c r="AL219" s="107"/>
      <c r="AM219" s="107"/>
      <c r="AN219" s="107"/>
      <c r="AO219" s="107"/>
      <c r="AP219" s="107"/>
      <c r="AQ219" s="107"/>
      <c r="AR219" s="107"/>
      <c r="AS219" s="107"/>
    </row>
    <row r="220" spans="1:45" ht="30" customHeight="1" x14ac:dyDescent="0.2">
      <c r="A220" s="1043">
        <v>4121</v>
      </c>
      <c r="B220" s="977" t="s">
        <v>213</v>
      </c>
      <c r="C220" s="862">
        <f t="shared" ref="C220:D220" si="9">SUM(C221:C227)</f>
        <v>3747689</v>
      </c>
      <c r="D220" s="862">
        <f t="shared" si="9"/>
        <v>3747689</v>
      </c>
      <c r="E220" s="1163"/>
      <c r="F220" s="1163"/>
      <c r="G220" s="1243"/>
      <c r="H220" s="1248"/>
      <c r="I220" s="1249"/>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row>
    <row r="221" spans="1:45" ht="30" customHeight="1" x14ac:dyDescent="0.2">
      <c r="A221" s="1043"/>
      <c r="B221" s="979" t="s">
        <v>1742</v>
      </c>
      <c r="C221" s="874">
        <v>420000</v>
      </c>
      <c r="D221" s="874">
        <v>420000</v>
      </c>
      <c r="E221" s="1163"/>
      <c r="F221" s="1163"/>
      <c r="G221" s="1243"/>
      <c r="H221" s="1248"/>
      <c r="I221" s="1249"/>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row>
    <row r="222" spans="1:45" ht="30" customHeight="1" x14ac:dyDescent="0.2">
      <c r="A222" s="1043"/>
      <c r="B222" s="979" t="s">
        <v>1743</v>
      </c>
      <c r="C222" s="874">
        <v>3000</v>
      </c>
      <c r="D222" s="874">
        <v>3000</v>
      </c>
      <c r="E222" s="1163"/>
      <c r="F222" s="1163"/>
      <c r="G222" s="1243"/>
      <c r="H222" s="1248"/>
      <c r="I222" s="1249"/>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row>
    <row r="223" spans="1:45" ht="30" customHeight="1" x14ac:dyDescent="0.2">
      <c r="A223" s="1043"/>
      <c r="B223" s="979" t="s">
        <v>1305</v>
      </c>
      <c r="C223" s="1457">
        <v>1459028</v>
      </c>
      <c r="D223" s="1457">
        <v>1459028</v>
      </c>
      <c r="E223" s="1163"/>
      <c r="F223" s="1163"/>
      <c r="G223" s="1243"/>
      <c r="H223" s="1248"/>
      <c r="I223" s="1249"/>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row>
    <row r="224" spans="1:45" ht="30" customHeight="1" x14ac:dyDescent="0.2">
      <c r="A224" s="1043"/>
      <c r="B224" s="979" t="s">
        <v>1306</v>
      </c>
      <c r="C224" s="1458">
        <v>1203095</v>
      </c>
      <c r="D224" s="1458">
        <v>1203095</v>
      </c>
      <c r="E224" s="1163"/>
      <c r="F224" s="1163"/>
      <c r="G224" s="1243"/>
      <c r="H224" s="1248"/>
      <c r="I224" s="1249"/>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row>
    <row r="225" spans="1:45" ht="30" customHeight="1" x14ac:dyDescent="0.2">
      <c r="A225" s="1043"/>
      <c r="B225" s="979" t="s">
        <v>1880</v>
      </c>
      <c r="C225" s="1459">
        <v>354926</v>
      </c>
      <c r="D225" s="1459">
        <v>354926</v>
      </c>
      <c r="E225" s="1163"/>
      <c r="F225" s="1163"/>
      <c r="G225" s="1243"/>
      <c r="H225" s="1248"/>
      <c r="I225" s="1249"/>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row>
    <row r="226" spans="1:45" ht="30" customHeight="1" x14ac:dyDescent="0.2">
      <c r="A226" s="1043"/>
      <c r="B226" s="979" t="s">
        <v>1561</v>
      </c>
      <c r="C226" s="874">
        <v>307340</v>
      </c>
      <c r="D226" s="874">
        <v>307340</v>
      </c>
      <c r="E226" s="1163"/>
      <c r="F226" s="1163"/>
      <c r="G226" s="1243"/>
      <c r="H226" s="1248"/>
      <c r="I226" s="1249"/>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row>
    <row r="227" spans="1:45" ht="30" customHeight="1" x14ac:dyDescent="0.2">
      <c r="A227" s="1043"/>
      <c r="B227" s="979" t="s">
        <v>1744</v>
      </c>
      <c r="C227" s="874">
        <v>300</v>
      </c>
      <c r="D227" s="874">
        <v>300</v>
      </c>
      <c r="E227" s="701"/>
      <c r="F227" s="707"/>
      <c r="G227" s="825"/>
      <c r="H227" s="1244"/>
      <c r="I227" s="1255"/>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row>
    <row r="228" spans="1:45" ht="30" customHeight="1" x14ac:dyDescent="0.2">
      <c r="A228" s="1043">
        <v>4122</v>
      </c>
      <c r="B228" s="1021" t="s">
        <v>221</v>
      </c>
      <c r="C228" s="862">
        <f>SUM(C229:C241)</f>
        <v>0</v>
      </c>
      <c r="D228" s="862">
        <f>SUM(D229:D241)</f>
        <v>9826286</v>
      </c>
      <c r="E228" s="1163"/>
      <c r="F228" s="1163"/>
      <c r="G228" s="1243"/>
      <c r="H228" s="1248"/>
      <c r="I228" s="1249"/>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row>
    <row r="229" spans="1:45" s="116" customFormat="1" ht="30" customHeight="1" x14ac:dyDescent="0.2">
      <c r="A229" s="1020"/>
      <c r="B229" s="1123" t="s">
        <v>2015</v>
      </c>
      <c r="C229" s="874">
        <v>0</v>
      </c>
      <c r="D229" s="874">
        <v>4743000</v>
      </c>
      <c r="E229" s="1163"/>
      <c r="F229" s="1163"/>
      <c r="G229" s="1243"/>
      <c r="H229" s="1248"/>
      <c r="I229" s="1249"/>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c r="AQ229" s="107"/>
      <c r="AR229" s="107"/>
      <c r="AS229" s="107"/>
    </row>
    <row r="230" spans="1:45" s="116" customFormat="1" ht="30" customHeight="1" x14ac:dyDescent="0.2">
      <c r="A230" s="1020"/>
      <c r="B230" s="1123" t="s">
        <v>1635</v>
      </c>
      <c r="C230" s="874">
        <v>0</v>
      </c>
      <c r="D230" s="874">
        <f>80000</f>
        <v>80000</v>
      </c>
      <c r="E230" s="1163"/>
      <c r="F230" s="1163"/>
      <c r="G230" s="1243"/>
      <c r="H230" s="1248"/>
      <c r="I230" s="1249"/>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row>
    <row r="231" spans="1:45" s="116" customFormat="1" ht="30" customHeight="1" x14ac:dyDescent="0.2">
      <c r="A231" s="1020"/>
      <c r="B231" s="1123" t="s">
        <v>1745</v>
      </c>
      <c r="C231" s="874">
        <v>0</v>
      </c>
      <c r="D231" s="874">
        <v>0</v>
      </c>
      <c r="E231" s="1163"/>
      <c r="F231" s="1163"/>
      <c r="G231" s="1243"/>
      <c r="H231" s="1248"/>
      <c r="I231" s="1249"/>
      <c r="J231" s="107"/>
      <c r="K231" s="107"/>
      <c r="L231" s="107"/>
      <c r="M231" s="107"/>
      <c r="N231" s="107"/>
      <c r="O231" s="107"/>
      <c r="P231" s="107"/>
      <c r="Q231" s="107"/>
      <c r="R231" s="107"/>
      <c r="S231" s="107"/>
      <c r="T231" s="107"/>
      <c r="U231" s="107"/>
      <c r="V231" s="107"/>
      <c r="W231" s="107"/>
      <c r="X231" s="107"/>
      <c r="Y231" s="107"/>
      <c r="Z231" s="107"/>
      <c r="AA231" s="107"/>
      <c r="AB231" s="107"/>
      <c r="AC231" s="107"/>
      <c r="AD231" s="107"/>
      <c r="AE231" s="107"/>
      <c r="AF231" s="107"/>
      <c r="AG231" s="107"/>
      <c r="AH231" s="107"/>
      <c r="AI231" s="107"/>
      <c r="AJ231" s="107"/>
      <c r="AK231" s="107"/>
      <c r="AL231" s="107"/>
      <c r="AM231" s="107"/>
      <c r="AN231" s="107"/>
      <c r="AO231" s="107"/>
      <c r="AP231" s="107"/>
      <c r="AQ231" s="107"/>
      <c r="AR231" s="107"/>
      <c r="AS231" s="107"/>
    </row>
    <row r="232" spans="1:45" s="116" customFormat="1" ht="30" customHeight="1" x14ac:dyDescent="0.2">
      <c r="A232" s="1020"/>
      <c r="B232" s="1026" t="s">
        <v>1634</v>
      </c>
      <c r="C232" s="874">
        <v>0</v>
      </c>
      <c r="D232" s="874">
        <v>0</v>
      </c>
      <c r="E232" s="1163"/>
      <c r="F232" s="1163"/>
      <c r="G232" s="1243"/>
      <c r="H232" s="1248"/>
      <c r="I232" s="1249"/>
      <c r="J232" s="107"/>
      <c r="K232" s="107"/>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c r="AP232" s="107"/>
      <c r="AQ232" s="107"/>
      <c r="AR232" s="107"/>
      <c r="AS232" s="107"/>
    </row>
    <row r="233" spans="1:45" s="116" customFormat="1" ht="30" customHeight="1" x14ac:dyDescent="0.2">
      <c r="A233" s="1122"/>
      <c r="B233" s="1123" t="s">
        <v>2073</v>
      </c>
      <c r="C233" s="874">
        <v>0</v>
      </c>
      <c r="D233" s="874">
        <v>210200</v>
      </c>
      <c r="E233" s="1163"/>
      <c r="F233" s="1163"/>
      <c r="G233" s="1243"/>
      <c r="H233" s="1248"/>
      <c r="I233" s="1249"/>
      <c r="J233" s="107"/>
      <c r="K233" s="107"/>
      <c r="L233" s="107"/>
      <c r="M233" s="107"/>
      <c r="N233" s="107"/>
      <c r="O233" s="107"/>
      <c r="P233" s="107"/>
      <c r="Q233" s="107"/>
      <c r="R233" s="107"/>
      <c r="S233" s="107"/>
      <c r="T233" s="107"/>
      <c r="U233" s="107"/>
      <c r="V233" s="107"/>
      <c r="W233" s="107"/>
      <c r="X233" s="107"/>
      <c r="Y233" s="107"/>
      <c r="Z233" s="107"/>
      <c r="AA233" s="107"/>
      <c r="AB233" s="107"/>
      <c r="AC233" s="107"/>
      <c r="AD233" s="107"/>
      <c r="AE233" s="107"/>
      <c r="AF233" s="107"/>
      <c r="AG233" s="107"/>
      <c r="AH233" s="107"/>
      <c r="AI233" s="107"/>
      <c r="AJ233" s="107"/>
      <c r="AK233" s="107"/>
      <c r="AL233" s="107"/>
      <c r="AM233" s="107"/>
      <c r="AN233" s="107"/>
      <c r="AO233" s="107"/>
      <c r="AP233" s="107"/>
      <c r="AQ233" s="107"/>
      <c r="AR233" s="107"/>
      <c r="AS233" s="107"/>
    </row>
    <row r="234" spans="1:45" s="116" customFormat="1" ht="30" customHeight="1" x14ac:dyDescent="0.2">
      <c r="A234" s="1122"/>
      <c r="B234" s="1123" t="s">
        <v>2016</v>
      </c>
      <c r="C234" s="874">
        <v>0</v>
      </c>
      <c r="D234" s="874">
        <v>0</v>
      </c>
      <c r="E234" s="1163"/>
      <c r="F234" s="1163"/>
      <c r="G234" s="1243"/>
      <c r="H234" s="1248"/>
      <c r="I234" s="1249"/>
      <c r="J234" s="107"/>
      <c r="K234" s="107"/>
      <c r="L234" s="107"/>
      <c r="M234" s="107"/>
      <c r="N234" s="107"/>
      <c r="O234" s="107"/>
      <c r="P234" s="107"/>
      <c r="Q234" s="107"/>
      <c r="R234" s="107"/>
      <c r="S234" s="107"/>
      <c r="T234" s="107"/>
      <c r="U234" s="107"/>
      <c r="V234" s="107"/>
      <c r="W234" s="107"/>
      <c r="X234" s="107"/>
      <c r="Y234" s="107"/>
      <c r="Z234" s="107"/>
      <c r="AA234" s="107"/>
      <c r="AB234" s="107"/>
      <c r="AC234" s="107"/>
      <c r="AD234" s="107"/>
      <c r="AE234" s="107"/>
      <c r="AF234" s="107"/>
      <c r="AG234" s="107"/>
      <c r="AH234" s="107"/>
      <c r="AI234" s="107"/>
      <c r="AJ234" s="107"/>
      <c r="AK234" s="107"/>
      <c r="AL234" s="107"/>
      <c r="AM234" s="107"/>
      <c r="AN234" s="107"/>
      <c r="AO234" s="107"/>
      <c r="AP234" s="107"/>
      <c r="AQ234" s="107"/>
      <c r="AR234" s="107"/>
      <c r="AS234" s="107"/>
    </row>
    <row r="235" spans="1:45" s="116" customFormat="1" ht="30" customHeight="1" x14ac:dyDescent="0.2">
      <c r="A235" s="1122"/>
      <c r="B235" s="1123" t="s">
        <v>1633</v>
      </c>
      <c r="C235" s="874">
        <v>0</v>
      </c>
      <c r="D235" s="874">
        <v>0</v>
      </c>
      <c r="E235" s="1163"/>
      <c r="F235" s="1163"/>
      <c r="G235" s="1243"/>
      <c r="H235" s="1248"/>
      <c r="I235" s="1249"/>
      <c r="J235" s="107"/>
      <c r="K235" s="107"/>
      <c r="L235" s="107"/>
      <c r="M235" s="107"/>
      <c r="N235" s="107"/>
      <c r="O235" s="107"/>
      <c r="P235" s="107"/>
      <c r="Q235" s="107"/>
      <c r="R235" s="107"/>
      <c r="S235" s="107"/>
      <c r="T235" s="107"/>
      <c r="U235" s="107"/>
      <c r="V235" s="107"/>
      <c r="W235" s="107"/>
      <c r="X235" s="107"/>
      <c r="Y235" s="107"/>
      <c r="Z235" s="107"/>
      <c r="AA235" s="107"/>
      <c r="AB235" s="107"/>
      <c r="AC235" s="107"/>
      <c r="AD235" s="107"/>
      <c r="AE235" s="107"/>
      <c r="AF235" s="107"/>
      <c r="AG235" s="107"/>
      <c r="AH235" s="107"/>
      <c r="AI235" s="107"/>
      <c r="AJ235" s="107"/>
      <c r="AK235" s="107"/>
      <c r="AL235" s="107"/>
      <c r="AM235" s="107"/>
      <c r="AN235" s="107"/>
      <c r="AO235" s="107"/>
      <c r="AP235" s="107"/>
      <c r="AQ235" s="107"/>
      <c r="AR235" s="107"/>
      <c r="AS235" s="107"/>
    </row>
    <row r="236" spans="1:45" s="116" customFormat="1" ht="30" customHeight="1" x14ac:dyDescent="0.2">
      <c r="A236" s="1020"/>
      <c r="B236" s="1123" t="s">
        <v>2045</v>
      </c>
      <c r="C236" s="874">
        <v>0</v>
      </c>
      <c r="D236" s="874">
        <f>(3419.6+30776.4)</f>
        <v>34196</v>
      </c>
      <c r="E236" s="1163"/>
      <c r="F236" s="1163"/>
      <c r="G236" s="1243"/>
      <c r="H236" s="1248"/>
      <c r="I236" s="1249"/>
      <c r="J236" s="107"/>
      <c r="K236" s="107"/>
      <c r="L236" s="107"/>
      <c r="M236" s="107"/>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7"/>
      <c r="AL236" s="107"/>
      <c r="AM236" s="107"/>
      <c r="AN236" s="107"/>
      <c r="AO236" s="107"/>
      <c r="AP236" s="107"/>
      <c r="AQ236" s="107"/>
      <c r="AR236" s="107"/>
      <c r="AS236" s="107"/>
    </row>
    <row r="237" spans="1:45" s="116" customFormat="1" ht="30" customHeight="1" x14ac:dyDescent="0.2">
      <c r="A237" s="1020"/>
      <c r="B237" s="1123" t="s">
        <v>2043</v>
      </c>
      <c r="C237" s="874">
        <v>0</v>
      </c>
      <c r="D237" s="874">
        <f>(4890+44010)</f>
        <v>48900</v>
      </c>
      <c r="E237" s="1163"/>
      <c r="F237" s="1163"/>
      <c r="G237" s="1243"/>
      <c r="H237" s="1248"/>
      <c r="I237" s="1249"/>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7"/>
      <c r="AL237" s="107"/>
      <c r="AM237" s="107"/>
      <c r="AN237" s="107"/>
      <c r="AO237" s="107"/>
      <c r="AP237" s="107"/>
      <c r="AQ237" s="107"/>
      <c r="AR237" s="107"/>
      <c r="AS237" s="107"/>
    </row>
    <row r="238" spans="1:45" s="116" customFormat="1" ht="30" customHeight="1" x14ac:dyDescent="0.2">
      <c r="A238" s="1020"/>
      <c r="B238" s="1123" t="s">
        <v>2042</v>
      </c>
      <c r="C238" s="874">
        <v>0</v>
      </c>
      <c r="D238" s="874">
        <f>(7519+67671)</f>
        <v>75190</v>
      </c>
      <c r="E238" s="1163"/>
      <c r="F238" s="1163"/>
      <c r="G238" s="1243"/>
      <c r="H238" s="1248"/>
      <c r="I238" s="1249"/>
      <c r="J238" s="107"/>
      <c r="K238" s="107"/>
      <c r="L238" s="107"/>
      <c r="M238" s="107"/>
      <c r="N238" s="107"/>
      <c r="O238" s="107"/>
      <c r="P238" s="107"/>
      <c r="Q238" s="107"/>
      <c r="R238" s="107"/>
      <c r="S238" s="107"/>
      <c r="T238" s="107"/>
      <c r="U238" s="107"/>
      <c r="V238" s="107"/>
      <c r="W238" s="107"/>
      <c r="X238" s="107"/>
      <c r="Y238" s="107"/>
      <c r="Z238" s="107"/>
      <c r="AA238" s="107"/>
      <c r="AB238" s="107"/>
      <c r="AC238" s="107"/>
      <c r="AD238" s="107"/>
      <c r="AE238" s="107"/>
      <c r="AF238" s="107"/>
      <c r="AG238" s="107"/>
      <c r="AH238" s="107"/>
      <c r="AI238" s="107"/>
      <c r="AJ238" s="107"/>
      <c r="AK238" s="107"/>
      <c r="AL238" s="107"/>
      <c r="AM238" s="107"/>
      <c r="AN238" s="107"/>
      <c r="AO238" s="107"/>
      <c r="AP238" s="107"/>
      <c r="AQ238" s="107"/>
      <c r="AR238" s="107"/>
      <c r="AS238" s="107"/>
    </row>
    <row r="239" spans="1:45" s="116" customFormat="1" ht="30" customHeight="1" x14ac:dyDescent="0.2">
      <c r="A239" s="1020"/>
      <c r="B239" s="1123" t="s">
        <v>2044</v>
      </c>
      <c r="C239" s="874">
        <v>0</v>
      </c>
      <c r="D239" s="874">
        <f>(6180+55620)</f>
        <v>61800</v>
      </c>
      <c r="E239" s="1163"/>
      <c r="F239" s="1163"/>
      <c r="G239" s="1243"/>
      <c r="H239" s="1248"/>
      <c r="I239" s="1249"/>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7"/>
      <c r="AL239" s="107"/>
      <c r="AM239" s="107"/>
      <c r="AN239" s="107"/>
      <c r="AO239" s="107"/>
      <c r="AP239" s="107"/>
      <c r="AQ239" s="107"/>
      <c r="AR239" s="107"/>
      <c r="AS239" s="107"/>
    </row>
    <row r="240" spans="1:45" s="116" customFormat="1" ht="30" customHeight="1" x14ac:dyDescent="0.2">
      <c r="A240" s="1020"/>
      <c r="B240" s="1123" t="s">
        <v>1881</v>
      </c>
      <c r="C240" s="1150">
        <v>0</v>
      </c>
      <c r="D240" s="1150">
        <v>0</v>
      </c>
      <c r="E240" s="958"/>
      <c r="F240" s="958"/>
      <c r="G240" s="1243"/>
      <c r="H240" s="1248"/>
      <c r="I240" s="1249"/>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7"/>
      <c r="AL240" s="107"/>
      <c r="AM240" s="107"/>
      <c r="AN240" s="107"/>
      <c r="AO240" s="107"/>
      <c r="AP240" s="107"/>
      <c r="AQ240" s="107"/>
      <c r="AR240" s="107"/>
      <c r="AS240" s="107"/>
    </row>
    <row r="241" spans="1:45" ht="30" customHeight="1" x14ac:dyDescent="0.2">
      <c r="A241" s="1544"/>
      <c r="B241" s="1559" t="s">
        <v>2082</v>
      </c>
      <c r="C241" s="1345">
        <v>0</v>
      </c>
      <c r="D241" s="1345">
        <v>4573000</v>
      </c>
      <c r="E241" s="1545"/>
      <c r="F241" s="1545"/>
      <c r="G241" s="1345"/>
      <c r="H241" s="1345"/>
      <c r="I241" s="1345"/>
      <c r="J241" s="1499"/>
      <c r="K241" s="179"/>
    </row>
    <row r="242" spans="1:45" s="116" customFormat="1" ht="30" customHeight="1" x14ac:dyDescent="0.2">
      <c r="A242" s="978"/>
      <c r="B242" s="977" t="s">
        <v>1637</v>
      </c>
      <c r="C242" s="940">
        <f t="shared" ref="C242:D242" si="10">SUM(C243:C244)</f>
        <v>6000000</v>
      </c>
      <c r="D242" s="940">
        <f t="shared" si="10"/>
        <v>6000000</v>
      </c>
      <c r="E242" s="1218"/>
      <c r="F242" s="1163"/>
      <c r="G242" s="825"/>
      <c r="H242" s="1244"/>
      <c r="I242" s="1255"/>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7"/>
      <c r="AL242" s="107"/>
      <c r="AM242" s="107"/>
      <c r="AN242" s="107"/>
      <c r="AO242" s="107"/>
      <c r="AP242" s="107"/>
      <c r="AQ242" s="107"/>
      <c r="AR242" s="107"/>
      <c r="AS242" s="107"/>
    </row>
    <row r="243" spans="1:45" s="116" customFormat="1" ht="30" customHeight="1" x14ac:dyDescent="0.2">
      <c r="A243" s="1022"/>
      <c r="B243" s="979" t="s">
        <v>1639</v>
      </c>
      <c r="C243" s="874">
        <v>6000000</v>
      </c>
      <c r="D243" s="874">
        <v>6000000</v>
      </c>
      <c r="E243" s="701"/>
      <c r="F243" s="707"/>
      <c r="G243" s="825"/>
      <c r="H243" s="1244"/>
      <c r="I243" s="1255"/>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7"/>
      <c r="AL243" s="107"/>
      <c r="AM243" s="107"/>
      <c r="AN243" s="107"/>
      <c r="AO243" s="107"/>
      <c r="AP243" s="107"/>
      <c r="AQ243" s="107"/>
      <c r="AR243" s="107"/>
      <c r="AS243" s="107"/>
    </row>
    <row r="244" spans="1:45" s="116" customFormat="1" ht="30" customHeight="1" x14ac:dyDescent="0.2">
      <c r="A244" s="1022"/>
      <c r="B244" s="979" t="s">
        <v>1699</v>
      </c>
      <c r="C244" s="874">
        <v>0</v>
      </c>
      <c r="D244" s="874">
        <v>0</v>
      </c>
      <c r="E244" s="707"/>
      <c r="F244" s="707"/>
      <c r="G244" s="1243"/>
      <c r="H244" s="1248"/>
      <c r="I244" s="1249"/>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7"/>
      <c r="AL244" s="107"/>
      <c r="AM244" s="107"/>
      <c r="AN244" s="107"/>
      <c r="AO244" s="107"/>
      <c r="AP244" s="107"/>
      <c r="AQ244" s="107"/>
      <c r="AR244" s="107"/>
      <c r="AS244" s="107"/>
    </row>
    <row r="245" spans="1:45" s="116" customFormat="1" ht="30" customHeight="1" x14ac:dyDescent="0.2">
      <c r="A245" s="1043">
        <v>4213</v>
      </c>
      <c r="B245" s="977" t="s">
        <v>1404</v>
      </c>
      <c r="C245" s="862">
        <f t="shared" ref="C245:D245" si="11">SUM(C246:C250)</f>
        <v>1817357.44</v>
      </c>
      <c r="D245" s="862">
        <f t="shared" si="11"/>
        <v>1817357.44</v>
      </c>
      <c r="E245" s="702"/>
      <c r="F245" s="1271"/>
      <c r="G245" s="825"/>
      <c r="H245" s="1244"/>
      <c r="I245" s="1255"/>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7"/>
      <c r="AL245" s="107"/>
      <c r="AM245" s="107"/>
      <c r="AN245" s="107"/>
      <c r="AO245" s="107"/>
      <c r="AP245" s="107"/>
      <c r="AQ245" s="107"/>
      <c r="AR245" s="107"/>
      <c r="AS245" s="107"/>
    </row>
    <row r="246" spans="1:45" s="116" customFormat="1" ht="30" customHeight="1" x14ac:dyDescent="0.2">
      <c r="A246" s="1023"/>
      <c r="B246" s="979" t="s">
        <v>1638</v>
      </c>
      <c r="C246" s="983">
        <v>0</v>
      </c>
      <c r="D246" s="983">
        <v>0</v>
      </c>
      <c r="E246" s="1163"/>
      <c r="F246" s="1163"/>
      <c r="G246" s="1243"/>
      <c r="H246" s="1248"/>
      <c r="I246" s="1249"/>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7"/>
      <c r="AL246" s="107"/>
      <c r="AM246" s="107"/>
      <c r="AN246" s="107"/>
      <c r="AO246" s="107"/>
      <c r="AP246" s="107"/>
      <c r="AQ246" s="107"/>
      <c r="AR246" s="107"/>
      <c r="AS246" s="107"/>
    </row>
    <row r="247" spans="1:45" s="2" customFormat="1" ht="30" customHeight="1" x14ac:dyDescent="0.2">
      <c r="A247" s="1024"/>
      <c r="B247" s="1025" t="s">
        <v>1884</v>
      </c>
      <c r="C247" s="983">
        <v>0</v>
      </c>
      <c r="D247" s="983">
        <v>0</v>
      </c>
      <c r="E247" s="1163"/>
      <c r="F247" s="1163"/>
      <c r="G247" s="1243"/>
      <c r="H247" s="1248"/>
      <c r="I247" s="124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row>
    <row r="248" spans="1:45" s="2" customFormat="1" ht="30" customHeight="1" x14ac:dyDescent="0.2">
      <c r="A248" s="1024"/>
      <c r="B248" s="1025" t="s">
        <v>1885</v>
      </c>
      <c r="C248" s="983">
        <v>0</v>
      </c>
      <c r="D248" s="983">
        <v>0</v>
      </c>
      <c r="E248" s="707"/>
      <c r="F248" s="707"/>
      <c r="G248" s="1243"/>
      <c r="H248" s="1248"/>
      <c r="I248" s="124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row>
    <row r="249" spans="1:45" s="2" customFormat="1" ht="30" customHeight="1" x14ac:dyDescent="0.2">
      <c r="A249" s="1024"/>
      <c r="B249" s="1026" t="s">
        <v>1636</v>
      </c>
      <c r="C249" s="983">
        <v>0</v>
      </c>
      <c r="D249" s="983">
        <v>0</v>
      </c>
      <c r="E249" s="707"/>
      <c r="F249" s="707"/>
      <c r="G249" s="1243"/>
      <c r="H249" s="1248"/>
      <c r="I249" s="124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row>
    <row r="250" spans="1:45" s="2" customFormat="1" ht="30" customHeight="1" x14ac:dyDescent="0.2">
      <c r="A250" s="1024"/>
      <c r="B250" s="1027" t="s">
        <v>1640</v>
      </c>
      <c r="C250" s="983">
        <v>1817357.44</v>
      </c>
      <c r="D250" s="983">
        <v>1817357.44</v>
      </c>
      <c r="E250" s="707"/>
      <c r="F250" s="707"/>
      <c r="G250" s="1243"/>
      <c r="H250" s="1248"/>
      <c r="I250" s="124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row>
    <row r="251" spans="1:45" s="116" customFormat="1" ht="30" customHeight="1" x14ac:dyDescent="0.2">
      <c r="A251" s="972">
        <v>4216</v>
      </c>
      <c r="B251" s="996" t="s">
        <v>234</v>
      </c>
      <c r="C251" s="1028">
        <f>SUM(C252:C262)</f>
        <v>0</v>
      </c>
      <c r="D251" s="1028">
        <f>SUM(D252:D262)</f>
        <v>12454656.440000001</v>
      </c>
      <c r="E251" s="707"/>
      <c r="F251" s="707"/>
      <c r="G251" s="1243"/>
      <c r="H251" s="1248"/>
      <c r="I251" s="1249"/>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c r="AQ251" s="107"/>
      <c r="AR251" s="107"/>
      <c r="AS251" s="107"/>
    </row>
    <row r="252" spans="1:45" s="2" customFormat="1" ht="30" customHeight="1" x14ac:dyDescent="0.2">
      <c r="A252" s="1024"/>
      <c r="B252" s="979" t="s">
        <v>1624</v>
      </c>
      <c r="C252" s="874">
        <v>0</v>
      </c>
      <c r="D252" s="874">
        <v>0</v>
      </c>
      <c r="E252" s="702"/>
      <c r="F252" s="1271"/>
      <c r="G252" s="825"/>
      <c r="H252" s="1244"/>
      <c r="I252" s="1255"/>
    </row>
    <row r="253" spans="1:45" s="116" customFormat="1" ht="30" customHeight="1" x14ac:dyDescent="0.2">
      <c r="A253" s="1020"/>
      <c r="B253" s="979" t="s">
        <v>2079</v>
      </c>
      <c r="C253" s="874">
        <v>0</v>
      </c>
      <c r="D253" s="874">
        <f>336616.61+5722482.44</f>
        <v>6059099.0500000007</v>
      </c>
      <c r="E253" s="1163"/>
      <c r="F253" s="1163"/>
      <c r="G253" s="1243"/>
      <c r="H253" s="1248"/>
      <c r="I253" s="1249"/>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c r="AQ253" s="107"/>
      <c r="AR253" s="107"/>
      <c r="AS253" s="107"/>
    </row>
    <row r="254" spans="1:45" s="116" customFormat="1" ht="30" customHeight="1" x14ac:dyDescent="0.2">
      <c r="A254" s="1020"/>
      <c r="B254" s="979" t="s">
        <v>2080</v>
      </c>
      <c r="C254" s="874">
        <v>0</v>
      </c>
      <c r="D254" s="874">
        <v>881497.39</v>
      </c>
      <c r="E254" s="1163"/>
      <c r="F254" s="1163"/>
      <c r="G254" s="1243"/>
      <c r="H254" s="1248"/>
      <c r="I254" s="1249"/>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7"/>
      <c r="AL254" s="107"/>
      <c r="AM254" s="107"/>
      <c r="AN254" s="107"/>
      <c r="AO254" s="107"/>
      <c r="AP254" s="107"/>
      <c r="AQ254" s="107"/>
      <c r="AR254" s="107"/>
      <c r="AS254" s="107"/>
    </row>
    <row r="255" spans="1:45" s="116" customFormat="1" ht="30" customHeight="1" x14ac:dyDescent="0.2">
      <c r="A255" s="1017"/>
      <c r="B255" s="967" t="s">
        <v>1944</v>
      </c>
      <c r="C255" s="874">
        <v>0</v>
      </c>
      <c r="D255" s="874">
        <v>0</v>
      </c>
      <c r="E255" s="1163"/>
      <c r="F255" s="1163"/>
      <c r="G255" s="1243"/>
      <c r="H255" s="1248"/>
      <c r="I255" s="1249"/>
    </row>
    <row r="256" spans="1:45" s="116" customFormat="1" ht="30" customHeight="1" x14ac:dyDescent="0.2">
      <c r="A256" s="1017"/>
      <c r="B256" s="967" t="s">
        <v>1641</v>
      </c>
      <c r="C256" s="874">
        <v>0</v>
      </c>
      <c r="D256" s="874">
        <v>0</v>
      </c>
      <c r="E256" s="1163"/>
      <c r="F256" s="1163"/>
      <c r="G256" s="1243"/>
      <c r="H256" s="1248"/>
      <c r="I256" s="1249"/>
    </row>
    <row r="257" spans="1:9" s="116" customFormat="1" ht="30" customHeight="1" x14ac:dyDescent="0.2">
      <c r="A257" s="1017"/>
      <c r="B257" s="967" t="s">
        <v>1642</v>
      </c>
      <c r="C257" s="874">
        <v>0</v>
      </c>
      <c r="D257" s="874">
        <v>0</v>
      </c>
      <c r="E257" s="1163"/>
      <c r="F257" s="1163"/>
      <c r="G257" s="1243"/>
      <c r="H257" s="1248"/>
      <c r="I257" s="1249"/>
    </row>
    <row r="258" spans="1:9" s="116" customFormat="1" ht="30" customHeight="1" x14ac:dyDescent="0.2">
      <c r="A258" s="1017"/>
      <c r="B258" s="967" t="s">
        <v>1643</v>
      </c>
      <c r="C258" s="874">
        <v>0</v>
      </c>
      <c r="D258" s="874">
        <v>0</v>
      </c>
      <c r="E258" s="744"/>
      <c r="F258" s="744"/>
      <c r="G258" s="1243"/>
      <c r="H258" s="1248"/>
      <c r="I258" s="1249"/>
    </row>
    <row r="259" spans="1:9" s="116" customFormat="1" ht="30" customHeight="1" x14ac:dyDescent="0.2">
      <c r="A259" s="1017"/>
      <c r="B259" s="967" t="s">
        <v>1883</v>
      </c>
      <c r="C259" s="1150">
        <v>0</v>
      </c>
      <c r="D259" s="1150">
        <v>0</v>
      </c>
      <c r="E259" s="707"/>
      <c r="F259" s="707"/>
      <c r="G259" s="1243"/>
      <c r="H259" s="1248"/>
      <c r="I259" s="1249"/>
    </row>
    <row r="260" spans="1:9" s="116" customFormat="1" ht="30" customHeight="1" x14ac:dyDescent="0.2">
      <c r="A260" s="1017"/>
      <c r="B260" s="1026" t="s">
        <v>1636</v>
      </c>
      <c r="C260" s="1150">
        <v>0</v>
      </c>
      <c r="D260" s="1150">
        <v>0</v>
      </c>
      <c r="E260" s="702"/>
      <c r="F260" s="1271"/>
      <c r="G260" s="825"/>
      <c r="H260" s="1244"/>
      <c r="I260" s="1255"/>
    </row>
    <row r="261" spans="1:9" s="116" customFormat="1" ht="30" customHeight="1" x14ac:dyDescent="0.2">
      <c r="A261" s="998"/>
      <c r="B261" s="1025" t="s">
        <v>2047</v>
      </c>
      <c r="C261" s="983">
        <v>0</v>
      </c>
      <c r="D261" s="983">
        <v>0</v>
      </c>
      <c r="E261" s="1163"/>
      <c r="F261" s="1163"/>
      <c r="G261" s="1243"/>
      <c r="H261" s="1248"/>
      <c r="I261" s="1249"/>
    </row>
    <row r="262" spans="1:9" s="116" customFormat="1" ht="30" customHeight="1" x14ac:dyDescent="0.2">
      <c r="A262" s="998"/>
      <c r="B262" s="1025" t="s">
        <v>2048</v>
      </c>
      <c r="C262" s="983">
        <v>0</v>
      </c>
      <c r="D262" s="983">
        <v>5514060</v>
      </c>
      <c r="E262" s="1163"/>
      <c r="F262" s="1163"/>
      <c r="G262" s="1243"/>
      <c r="H262" s="1248"/>
      <c r="I262" s="1249"/>
    </row>
    <row r="263" spans="1:9" s="116" customFormat="1" ht="30" customHeight="1" x14ac:dyDescent="0.2">
      <c r="A263" s="972">
        <v>4222</v>
      </c>
      <c r="B263" s="1021" t="s">
        <v>245</v>
      </c>
      <c r="C263" s="1028">
        <f t="shared" ref="C263:D263" si="12">SUM(C264:C268)</f>
        <v>367960</v>
      </c>
      <c r="D263" s="1028">
        <f t="shared" si="12"/>
        <v>667960</v>
      </c>
      <c r="E263" s="1163"/>
      <c r="F263" s="1163"/>
      <c r="G263" s="1243"/>
      <c r="H263" s="1248"/>
      <c r="I263" s="1249"/>
    </row>
    <row r="264" spans="1:9" s="116" customFormat="1" ht="30" customHeight="1" x14ac:dyDescent="0.2">
      <c r="A264" s="1017"/>
      <c r="B264" s="988" t="s">
        <v>2074</v>
      </c>
      <c r="C264" s="874">
        <v>0</v>
      </c>
      <c r="D264" s="874">
        <v>300000</v>
      </c>
      <c r="E264" s="1163"/>
      <c r="F264" s="1163"/>
      <c r="G264" s="1243"/>
      <c r="H264" s="1248"/>
      <c r="I264" s="1249"/>
    </row>
    <row r="265" spans="1:9" s="116" customFormat="1" ht="30" customHeight="1" x14ac:dyDescent="0.2">
      <c r="A265" s="1017"/>
      <c r="B265" s="967" t="s">
        <v>1756</v>
      </c>
      <c r="C265" s="874">
        <v>0</v>
      </c>
      <c r="D265" s="874">
        <v>0</v>
      </c>
      <c r="E265" s="1163"/>
      <c r="F265" s="1163"/>
      <c r="G265" s="1243"/>
      <c r="H265" s="1248"/>
      <c r="I265" s="1249"/>
    </row>
    <row r="266" spans="1:9" s="116" customFormat="1" ht="30" customHeight="1" x14ac:dyDescent="0.2">
      <c r="A266" s="998"/>
      <c r="B266" s="967" t="s">
        <v>1755</v>
      </c>
      <c r="C266" s="874">
        <v>0</v>
      </c>
      <c r="D266" s="874">
        <v>0</v>
      </c>
      <c r="E266" s="1163"/>
      <c r="F266" s="1163"/>
      <c r="G266" s="1243"/>
      <c r="H266" s="1248"/>
      <c r="I266" s="1249"/>
    </row>
    <row r="267" spans="1:9" s="116" customFormat="1" ht="30" customHeight="1" x14ac:dyDescent="0.2">
      <c r="A267" s="998"/>
      <c r="B267" s="1029" t="s">
        <v>1320</v>
      </c>
      <c r="C267" s="961">
        <v>79980</v>
      </c>
      <c r="D267" s="961">
        <v>79980</v>
      </c>
      <c r="E267" s="1163"/>
      <c r="F267" s="1163"/>
      <c r="G267" s="1243"/>
      <c r="H267" s="1248"/>
      <c r="I267" s="1249"/>
    </row>
    <row r="268" spans="1:9" s="116" customFormat="1" ht="30" customHeight="1" x14ac:dyDescent="0.2">
      <c r="A268" s="1030"/>
      <c r="B268" s="1031" t="s">
        <v>1644</v>
      </c>
      <c r="C268" s="958">
        <v>287980</v>
      </c>
      <c r="D268" s="958">
        <v>287980</v>
      </c>
      <c r="E268" s="744"/>
      <c r="F268" s="744"/>
      <c r="G268" s="1243"/>
      <c r="H268" s="1248"/>
      <c r="I268" s="1249"/>
    </row>
    <row r="269" spans="1:9" s="116" customFormat="1" ht="30" customHeight="1" thickBot="1" x14ac:dyDescent="0.25">
      <c r="A269" s="1032"/>
      <c r="B269" s="1033"/>
      <c r="C269" s="990"/>
      <c r="D269" s="990"/>
      <c r="E269" s="711"/>
      <c r="F269" s="711"/>
      <c r="G269" s="711"/>
      <c r="H269" s="711"/>
      <c r="I269" s="1265"/>
    </row>
    <row r="270" spans="1:9" s="116" customFormat="1" ht="30" customHeight="1" thickBot="1" x14ac:dyDescent="0.35">
      <c r="A270" s="1034"/>
      <c r="B270" s="1035" t="s">
        <v>13</v>
      </c>
      <c r="C270" s="1036">
        <f>SUM(C32+C64+C168+C195)</f>
        <v>839036351.17000008</v>
      </c>
      <c r="D270" s="1036">
        <f>SUM(D32+D64+D168+D195)</f>
        <v>911634266.19000006</v>
      </c>
      <c r="E270" s="1272"/>
      <c r="F270" s="1273"/>
      <c r="G270" s="1272"/>
      <c r="H270" s="1272"/>
      <c r="I270" s="714"/>
    </row>
    <row r="271" spans="1:9" s="116" customFormat="1" ht="30" customHeight="1" thickBot="1" x14ac:dyDescent="0.3">
      <c r="A271" s="1037"/>
      <c r="B271" s="1038"/>
      <c r="C271" s="1039"/>
      <c r="D271" s="1039"/>
      <c r="E271" s="1274"/>
      <c r="F271" s="1274"/>
      <c r="G271" s="1274"/>
      <c r="H271" s="1274"/>
      <c r="I271" s="1275"/>
    </row>
    <row r="272" spans="1:9" s="116" customFormat="1" ht="30" customHeight="1" thickBot="1" x14ac:dyDescent="0.3">
      <c r="A272" s="991"/>
      <c r="B272" s="992" t="s">
        <v>14</v>
      </c>
      <c r="C272" s="1040">
        <f t="shared" ref="C272:D272" si="13">SUM(C273:C276)</f>
        <v>173504211.83249995</v>
      </c>
      <c r="D272" s="1040">
        <f t="shared" si="13"/>
        <v>173504211.83249995</v>
      </c>
      <c r="E272" s="1253"/>
      <c r="F272" s="1276"/>
      <c r="G272" s="1237"/>
      <c r="H272" s="1237"/>
      <c r="I272" s="1253"/>
    </row>
    <row r="273" spans="1:9" ht="30" customHeight="1" x14ac:dyDescent="0.2">
      <c r="A273" s="986">
        <v>8115</v>
      </c>
      <c r="B273" s="1041" t="s">
        <v>1951</v>
      </c>
      <c r="C273" s="1068">
        <f>50000000+97724250.45+30000000-2140560.86-400000+24200-125387.36-55000</f>
        <v>175027502.22999996</v>
      </c>
      <c r="D273" s="1068">
        <f>50000000+97724250.45+30000000-2140560.86-400000+24200-125387.36-55000</f>
        <v>175027502.22999996</v>
      </c>
      <c r="E273" s="1218"/>
      <c r="F273" s="1163"/>
      <c r="G273" s="825"/>
      <c r="H273" s="1244"/>
      <c r="I273" s="1257"/>
    </row>
    <row r="274" spans="1:9" ht="30" customHeight="1" x14ac:dyDescent="0.2">
      <c r="A274" s="986">
        <v>8124</v>
      </c>
      <c r="B274" s="1042" t="s">
        <v>1700</v>
      </c>
      <c r="C274" s="940">
        <f>-(555556*12)</f>
        <v>-6666672</v>
      </c>
      <c r="D274" s="940">
        <f>-(555556*12)</f>
        <v>-6666672</v>
      </c>
      <c r="E274" s="1218"/>
      <c r="F274" s="1163"/>
      <c r="G274" s="825"/>
      <c r="H274" s="1244"/>
      <c r="I274" s="1255"/>
    </row>
    <row r="275" spans="1:9" ht="30" customHeight="1" x14ac:dyDescent="0.2">
      <c r="A275" s="986">
        <v>8125</v>
      </c>
      <c r="B275" s="1042" t="s">
        <v>1950</v>
      </c>
      <c r="C275" s="997">
        <f>(102867431.07+200.98)*0.05</f>
        <v>5143381.6025</v>
      </c>
      <c r="D275" s="997">
        <f>(102867431.07+200.98)*0.05</f>
        <v>5143381.6025</v>
      </c>
      <c r="E275" s="1218"/>
      <c r="F275" s="1163"/>
      <c r="G275" s="825"/>
      <c r="H275" s="1244"/>
      <c r="I275" s="1255"/>
    </row>
    <row r="276" spans="1:9" s="274" customFormat="1" ht="30" customHeight="1" x14ac:dyDescent="0.4">
      <c r="A276" s="1043">
        <v>8901</v>
      </c>
      <c r="B276" s="1021" t="s">
        <v>254</v>
      </c>
      <c r="C276" s="862">
        <f t="shared" ref="C276:D276" si="14">SUM(C277:C277)</f>
        <v>0</v>
      </c>
      <c r="D276" s="862">
        <f t="shared" si="14"/>
        <v>0</v>
      </c>
      <c r="E276" s="701"/>
      <c r="F276" s="707"/>
      <c r="G276" s="825"/>
      <c r="H276" s="1244"/>
      <c r="I276" s="1257"/>
    </row>
    <row r="277" spans="1:9" s="276" customFormat="1" ht="30" customHeight="1" x14ac:dyDescent="0.35">
      <c r="A277" s="1026"/>
      <c r="B277" s="1044" t="s">
        <v>1618</v>
      </c>
      <c r="C277" s="999">
        <v>0</v>
      </c>
      <c r="D277" s="999">
        <v>0</v>
      </c>
      <c r="E277" s="1262"/>
      <c r="F277" s="1262"/>
      <c r="G277" s="1243"/>
      <c r="H277" s="1248"/>
      <c r="I277" s="1249"/>
    </row>
    <row r="278" spans="1:9" ht="30" customHeight="1" thickBot="1" x14ac:dyDescent="0.25">
      <c r="A278" s="1045"/>
      <c r="B278" s="1046"/>
      <c r="C278" s="1067"/>
      <c r="D278" s="1067"/>
      <c r="E278" s="1277"/>
      <c r="F278" s="1277"/>
      <c r="G278" s="1277"/>
      <c r="H278" s="1277"/>
      <c r="I278" s="1278"/>
    </row>
    <row r="279" spans="1:9" s="283" customFormat="1" ht="30" customHeight="1" thickBot="1" x14ac:dyDescent="0.45">
      <c r="A279" s="1047"/>
      <c r="B279" s="1048" t="s">
        <v>15</v>
      </c>
      <c r="C279" s="1124">
        <f t="shared" ref="C279:D279" si="15">SUM(C270+C272)</f>
        <v>1012540563.0025001</v>
      </c>
      <c r="D279" s="1124">
        <f t="shared" si="15"/>
        <v>1085138478.0225</v>
      </c>
      <c r="E279" s="1279"/>
      <c r="F279" s="1238"/>
      <c r="G279" s="1279"/>
      <c r="H279" s="1279"/>
      <c r="I279" s="1280"/>
    </row>
    <row r="280" spans="1:9" s="116" customFormat="1" ht="27" customHeight="1" thickBot="1" x14ac:dyDescent="0.35">
      <c r="A280" s="1049"/>
      <c r="B280" s="1050" t="s">
        <v>257</v>
      </c>
      <c r="C280" s="1051"/>
      <c r="D280" s="1051"/>
      <c r="E280" s="1281"/>
      <c r="F280" s="1281"/>
      <c r="G280" s="1281"/>
      <c r="H280" s="1281"/>
      <c r="I280" s="1275"/>
    </row>
    <row r="281" spans="1:9" ht="27" customHeight="1" thickBot="1" x14ac:dyDescent="0.35">
      <c r="A281" s="1052"/>
      <c r="B281" s="1050" t="s">
        <v>258</v>
      </c>
      <c r="C281" s="1053">
        <f t="shared" ref="C281:D281" si="16">C282+C297+C330+C340</f>
        <v>90523182</v>
      </c>
      <c r="D281" s="1053">
        <f t="shared" si="16"/>
        <v>90564543</v>
      </c>
      <c r="E281" s="1282"/>
      <c r="F281" s="1283"/>
      <c r="G281" s="1284"/>
      <c r="H281" s="1284"/>
      <c r="I281" s="1285"/>
    </row>
    <row r="282" spans="1:9" ht="27" customHeight="1" thickBot="1" x14ac:dyDescent="0.3">
      <c r="A282" s="1144"/>
      <c r="B282" s="1145" t="s">
        <v>259</v>
      </c>
      <c r="C282" s="1146">
        <f t="shared" ref="C282:D282" si="17">SUM(C283+C289+C294)</f>
        <v>3825000</v>
      </c>
      <c r="D282" s="1146">
        <f t="shared" si="17"/>
        <v>2125000</v>
      </c>
      <c r="E282" s="1286"/>
      <c r="F282" s="1287"/>
      <c r="G282" s="1237"/>
      <c r="H282" s="1237"/>
      <c r="I282" s="1253"/>
    </row>
    <row r="283" spans="1:9" ht="27" customHeight="1" x14ac:dyDescent="0.2">
      <c r="A283" s="1147">
        <v>2310</v>
      </c>
      <c r="B283" s="1148" t="s">
        <v>1334</v>
      </c>
      <c r="C283" s="1149">
        <f t="shared" ref="C283:D283" si="18">SUM(C284:C288)</f>
        <v>1865000</v>
      </c>
      <c r="D283" s="1149">
        <f t="shared" si="18"/>
        <v>165000</v>
      </c>
      <c r="E283" s="1288"/>
      <c r="F283" s="1289"/>
      <c r="G283" s="825"/>
      <c r="H283" s="1244"/>
      <c r="I283" s="1255"/>
    </row>
    <row r="284" spans="1:9" ht="27" customHeight="1" x14ac:dyDescent="0.2">
      <c r="A284" s="1054" t="s">
        <v>261</v>
      </c>
      <c r="B284" s="967" t="s">
        <v>262</v>
      </c>
      <c r="C284" s="1150">
        <v>15000</v>
      </c>
      <c r="D284" s="1150">
        <v>15000</v>
      </c>
      <c r="E284" s="1163"/>
      <c r="F284" s="1163"/>
      <c r="G284" s="1243"/>
      <c r="H284" s="1248"/>
      <c r="I284" s="1249"/>
    </row>
    <row r="285" spans="1:9" ht="27" customHeight="1" x14ac:dyDescent="0.2">
      <c r="A285" s="1054" t="s">
        <v>263</v>
      </c>
      <c r="B285" s="967" t="s">
        <v>1508</v>
      </c>
      <c r="C285" s="1150">
        <v>200000</v>
      </c>
      <c r="D285" s="1150">
        <f>200000-200000</f>
        <v>0</v>
      </c>
      <c r="E285" s="1163"/>
      <c r="F285" s="1163"/>
      <c r="G285" s="1243"/>
      <c r="H285" s="1248"/>
      <c r="I285" s="1249"/>
    </row>
    <row r="286" spans="1:9" ht="27" customHeight="1" x14ac:dyDescent="0.2">
      <c r="A286" s="1054" t="s">
        <v>265</v>
      </c>
      <c r="B286" s="967" t="s">
        <v>1486</v>
      </c>
      <c r="C286" s="1150">
        <v>150000</v>
      </c>
      <c r="D286" s="1150">
        <v>150000</v>
      </c>
      <c r="E286" s="1163"/>
      <c r="F286" s="1163"/>
      <c r="G286" s="1243"/>
      <c r="H286" s="1248"/>
      <c r="I286" s="1249"/>
    </row>
    <row r="287" spans="1:9" ht="27" customHeight="1" x14ac:dyDescent="0.2">
      <c r="A287" s="1054" t="s">
        <v>1487</v>
      </c>
      <c r="B287" s="967" t="s">
        <v>1488</v>
      </c>
      <c r="C287" s="1150">
        <v>1500000</v>
      </c>
      <c r="D287" s="1150">
        <f>1500000-1500000</f>
        <v>0</v>
      </c>
      <c r="E287" s="1163"/>
      <c r="F287" s="1163"/>
      <c r="G287" s="1243"/>
      <c r="H287" s="1248"/>
      <c r="I287" s="1249"/>
    </row>
    <row r="288" spans="1:9" ht="27" customHeight="1" x14ac:dyDescent="0.2">
      <c r="A288" s="1054" t="s">
        <v>1489</v>
      </c>
      <c r="B288" s="967" t="s">
        <v>1490</v>
      </c>
      <c r="C288" s="1150">
        <v>0</v>
      </c>
      <c r="D288" s="1150">
        <v>0</v>
      </c>
      <c r="E288" s="701"/>
      <c r="F288" s="707"/>
      <c r="G288" s="825"/>
      <c r="H288" s="1244"/>
      <c r="I288" s="1255"/>
    </row>
    <row r="289" spans="1:9" ht="27" customHeight="1" x14ac:dyDescent="0.2">
      <c r="A289" s="972">
        <v>2321</v>
      </c>
      <c r="B289" s="905" t="s">
        <v>1335</v>
      </c>
      <c r="C289" s="862">
        <f>SUM(C290:C293)</f>
        <v>1800000</v>
      </c>
      <c r="D289" s="862">
        <f>SUM(D290:D293)</f>
        <v>1800000</v>
      </c>
      <c r="E289" s="1163"/>
      <c r="F289" s="1163"/>
      <c r="G289" s="1243"/>
      <c r="H289" s="1248"/>
      <c r="I289" s="1249"/>
    </row>
    <row r="290" spans="1:9" ht="27" customHeight="1" x14ac:dyDescent="0.2">
      <c r="A290" s="1054" t="s">
        <v>268</v>
      </c>
      <c r="B290" s="967" t="s">
        <v>269</v>
      </c>
      <c r="C290" s="1150">
        <v>200000</v>
      </c>
      <c r="D290" s="1150">
        <v>200000</v>
      </c>
      <c r="E290" s="1163"/>
      <c r="F290" s="1163"/>
      <c r="G290" s="1243"/>
      <c r="H290" s="1248"/>
      <c r="I290" s="1249"/>
    </row>
    <row r="291" spans="1:9" s="2" customFormat="1" ht="27" customHeight="1" x14ac:dyDescent="0.2">
      <c r="A291" s="1054" t="s">
        <v>270</v>
      </c>
      <c r="B291" s="967" t="s">
        <v>1491</v>
      </c>
      <c r="C291" s="1150">
        <v>800000</v>
      </c>
      <c r="D291" s="1150">
        <v>800000</v>
      </c>
      <c r="E291" s="1163"/>
      <c r="F291" s="1163"/>
      <c r="G291" s="1243"/>
      <c r="H291" s="1248"/>
      <c r="I291" s="1249"/>
    </row>
    <row r="292" spans="1:9" ht="27" customHeight="1" x14ac:dyDescent="0.2">
      <c r="A292" s="1054" t="s">
        <v>270</v>
      </c>
      <c r="B292" s="967" t="s">
        <v>1492</v>
      </c>
      <c r="C292" s="1150">
        <v>600000</v>
      </c>
      <c r="D292" s="1150">
        <v>600000</v>
      </c>
      <c r="E292" s="1163"/>
      <c r="F292" s="1163"/>
      <c r="G292" s="1243"/>
      <c r="H292" s="1248"/>
      <c r="I292" s="1258"/>
    </row>
    <row r="293" spans="1:9" ht="27" customHeight="1" x14ac:dyDescent="0.2">
      <c r="A293" s="1054" t="s">
        <v>272</v>
      </c>
      <c r="B293" s="970" t="s">
        <v>1336</v>
      </c>
      <c r="C293" s="1150">
        <v>200000</v>
      </c>
      <c r="D293" s="1150">
        <v>200000</v>
      </c>
      <c r="E293" s="779"/>
      <c r="F293" s="735"/>
      <c r="G293" s="825"/>
      <c r="H293" s="1244"/>
      <c r="I293" s="1255"/>
    </row>
    <row r="294" spans="1:9" ht="27" customHeight="1" x14ac:dyDescent="0.2">
      <c r="A294" s="1151">
        <v>2333</v>
      </c>
      <c r="B294" s="1152" t="s">
        <v>1337</v>
      </c>
      <c r="C294" s="1055">
        <f t="shared" ref="C294:D294" si="19">SUM(C295:C296)</f>
        <v>160000</v>
      </c>
      <c r="D294" s="1055">
        <f t="shared" si="19"/>
        <v>160000</v>
      </c>
      <c r="E294" s="1163"/>
      <c r="F294" s="1163"/>
      <c r="G294" s="1243"/>
      <c r="H294" s="1248"/>
      <c r="I294" s="1249"/>
    </row>
    <row r="295" spans="1:9" ht="27" customHeight="1" x14ac:dyDescent="0.2">
      <c r="A295" s="1054" t="s">
        <v>276</v>
      </c>
      <c r="B295" s="967" t="s">
        <v>1022</v>
      </c>
      <c r="C295" s="1150">
        <v>80000</v>
      </c>
      <c r="D295" s="1150">
        <v>80000</v>
      </c>
      <c r="E295" s="1163"/>
      <c r="F295" s="1163"/>
      <c r="G295" s="1243"/>
      <c r="H295" s="1248"/>
      <c r="I295" s="1249"/>
    </row>
    <row r="296" spans="1:9" ht="27" customHeight="1" thickBot="1" x14ac:dyDescent="0.25">
      <c r="A296" s="1054" t="s">
        <v>278</v>
      </c>
      <c r="B296" s="967" t="s">
        <v>1023</v>
      </c>
      <c r="C296" s="957">
        <v>80000</v>
      </c>
      <c r="D296" s="957">
        <v>80000</v>
      </c>
      <c r="E296" s="709"/>
      <c r="F296" s="709"/>
      <c r="G296" s="1243"/>
      <c r="H296" s="1248"/>
      <c r="I296" s="1249"/>
    </row>
    <row r="297" spans="1:9" s="116" customFormat="1" ht="27" customHeight="1" thickBot="1" x14ac:dyDescent="0.3">
      <c r="A297" s="1153"/>
      <c r="B297" s="1154" t="s">
        <v>279</v>
      </c>
      <c r="C297" s="1056">
        <f t="shared" ref="C297:D297" si="20">SUM(C298+C314+C325)</f>
        <v>54135000</v>
      </c>
      <c r="D297" s="1056">
        <f t="shared" si="20"/>
        <v>55601805</v>
      </c>
      <c r="E297" s="933"/>
      <c r="F297" s="1290"/>
      <c r="G297" s="1237"/>
      <c r="H297" s="1237"/>
      <c r="I297" s="1253"/>
    </row>
    <row r="298" spans="1:9" s="116" customFormat="1" ht="27" customHeight="1" x14ac:dyDescent="0.2">
      <c r="A298" s="1007">
        <v>2212</v>
      </c>
      <c r="B298" s="1148" t="s">
        <v>1338</v>
      </c>
      <c r="C298" s="1155">
        <f t="shared" ref="C298:D298" si="21">SUM(C300:C313)</f>
        <v>51195000</v>
      </c>
      <c r="D298" s="1155">
        <f t="shared" si="21"/>
        <v>52295000</v>
      </c>
      <c r="E298" s="947"/>
      <c r="F298" s="1254"/>
      <c r="G298" s="825"/>
      <c r="H298" s="1244"/>
      <c r="I298" s="1255"/>
    </row>
    <row r="299" spans="1:9" s="2" customFormat="1" ht="27" customHeight="1" x14ac:dyDescent="0.2">
      <c r="A299" s="1024"/>
      <c r="B299" s="1156" t="s">
        <v>1092</v>
      </c>
      <c r="C299" s="983">
        <f t="shared" ref="C299:D299" si="22">SUM(C300:C303)</f>
        <v>12550000</v>
      </c>
      <c r="D299" s="983">
        <f t="shared" si="22"/>
        <v>12903320</v>
      </c>
      <c r="E299" s="707"/>
      <c r="F299" s="707"/>
      <c r="G299" s="1243"/>
      <c r="H299" s="1248"/>
      <c r="I299" s="1249"/>
    </row>
    <row r="300" spans="1:9" s="116" customFormat="1" ht="27" customHeight="1" x14ac:dyDescent="0.2">
      <c r="A300" s="1054" t="s">
        <v>282</v>
      </c>
      <c r="B300" s="1157" t="s">
        <v>1139</v>
      </c>
      <c r="C300" s="1150">
        <v>0</v>
      </c>
      <c r="D300" s="1150">
        <v>0</v>
      </c>
      <c r="E300" s="1163"/>
      <c r="F300" s="1163"/>
      <c r="G300" s="1243"/>
      <c r="H300" s="1248"/>
      <c r="I300" s="1249"/>
    </row>
    <row r="301" spans="1:9" s="116" customFormat="1" ht="27" customHeight="1" x14ac:dyDescent="0.2">
      <c r="A301" s="1054" t="s">
        <v>282</v>
      </c>
      <c r="B301" s="1157" t="s">
        <v>1140</v>
      </c>
      <c r="C301" s="1150">
        <v>10750000</v>
      </c>
      <c r="D301" s="1150">
        <v>10750000</v>
      </c>
      <c r="E301" s="1163"/>
      <c r="F301" s="1163"/>
      <c r="G301" s="1243"/>
      <c r="H301" s="1248"/>
      <c r="I301" s="1249"/>
    </row>
    <row r="302" spans="1:9" s="116" customFormat="1" ht="27" customHeight="1" x14ac:dyDescent="0.2">
      <c r="A302" s="1054" t="s">
        <v>282</v>
      </c>
      <c r="B302" s="1187" t="s">
        <v>1878</v>
      </c>
      <c r="C302" s="1150">
        <f>2200000-400000</f>
        <v>1800000</v>
      </c>
      <c r="D302" s="1150">
        <f>2200000-400000</f>
        <v>1800000</v>
      </c>
      <c r="E302" s="1163"/>
      <c r="F302" s="1163"/>
      <c r="G302" s="1243"/>
      <c r="H302" s="1248"/>
      <c r="I302" s="1249"/>
    </row>
    <row r="303" spans="1:9" s="116" customFormat="1" ht="27" customHeight="1" x14ac:dyDescent="0.2">
      <c r="A303" s="1054" t="s">
        <v>282</v>
      </c>
      <c r="B303" s="1157" t="s">
        <v>2088</v>
      </c>
      <c r="C303" s="1150">
        <v>0</v>
      </c>
      <c r="D303" s="1150">
        <v>353320</v>
      </c>
      <c r="E303" s="1163"/>
      <c r="F303" s="1163"/>
      <c r="G303" s="1243"/>
      <c r="H303" s="1248"/>
      <c r="I303" s="1249"/>
    </row>
    <row r="304" spans="1:9" s="116" customFormat="1" ht="27" customHeight="1" x14ac:dyDescent="0.2">
      <c r="A304" s="1054" t="s">
        <v>286</v>
      </c>
      <c r="B304" s="967" t="s">
        <v>1091</v>
      </c>
      <c r="C304" s="1150">
        <v>4600000</v>
      </c>
      <c r="D304" s="1150">
        <v>4600000</v>
      </c>
      <c r="E304" s="1163"/>
      <c r="F304" s="1163"/>
      <c r="G304" s="1243"/>
      <c r="H304" s="1248"/>
      <c r="I304" s="1249"/>
    </row>
    <row r="305" spans="1:9" s="116" customFormat="1" ht="27" customHeight="1" x14ac:dyDescent="0.2">
      <c r="A305" s="1054" t="s">
        <v>286</v>
      </c>
      <c r="B305" s="967" t="s">
        <v>1339</v>
      </c>
      <c r="C305" s="1150">
        <v>24695000</v>
      </c>
      <c r="D305" s="1150">
        <f>24695000-353320</f>
        <v>24341680</v>
      </c>
      <c r="E305" s="1163"/>
      <c r="F305" s="1163"/>
      <c r="G305" s="1243"/>
      <c r="H305" s="1248"/>
      <c r="I305" s="1249"/>
    </row>
    <row r="306" spans="1:9" s="116" customFormat="1" ht="27" customHeight="1" x14ac:dyDescent="0.2">
      <c r="A306" s="1054" t="s">
        <v>291</v>
      </c>
      <c r="B306" s="967" t="s">
        <v>1493</v>
      </c>
      <c r="C306" s="1158">
        <v>2000000</v>
      </c>
      <c r="D306" s="1158">
        <v>2000000</v>
      </c>
      <c r="E306" s="1163"/>
      <c r="F306" s="1163"/>
      <c r="G306" s="1243"/>
      <c r="H306" s="1248"/>
      <c r="I306" s="1249"/>
    </row>
    <row r="307" spans="1:9" s="116" customFormat="1" ht="27" customHeight="1" x14ac:dyDescent="0.2">
      <c r="A307" s="1054" t="s">
        <v>1645</v>
      </c>
      <c r="B307" s="967" t="s">
        <v>1141</v>
      </c>
      <c r="C307" s="1158">
        <v>3700000</v>
      </c>
      <c r="D307" s="1158">
        <v>3700000</v>
      </c>
      <c r="E307" s="1163"/>
      <c r="F307" s="1163"/>
      <c r="G307" s="1243"/>
      <c r="H307" s="1248"/>
      <c r="I307" s="1249"/>
    </row>
    <row r="308" spans="1:9" s="116" customFormat="1" ht="27" customHeight="1" x14ac:dyDescent="0.2">
      <c r="A308" s="1054" t="s">
        <v>291</v>
      </c>
      <c r="B308" s="967" t="s">
        <v>1494</v>
      </c>
      <c r="C308" s="1158">
        <v>820000</v>
      </c>
      <c r="D308" s="1158">
        <v>820000</v>
      </c>
      <c r="E308" s="1163"/>
      <c r="F308" s="1163"/>
      <c r="G308" s="1243"/>
      <c r="H308" s="1248"/>
      <c r="I308" s="1249"/>
    </row>
    <row r="309" spans="1:9" s="116" customFormat="1" ht="27" customHeight="1" x14ac:dyDescent="0.2">
      <c r="A309" s="1054" t="s">
        <v>293</v>
      </c>
      <c r="B309" s="967" t="s">
        <v>1655</v>
      </c>
      <c r="C309" s="1158">
        <f>1230000+800000</f>
        <v>2030000</v>
      </c>
      <c r="D309" s="1158">
        <f>1230000+800000</f>
        <v>2030000</v>
      </c>
      <c r="E309" s="1163"/>
      <c r="F309" s="1163"/>
      <c r="G309" s="1243"/>
      <c r="H309" s="1248"/>
      <c r="I309" s="1249"/>
    </row>
    <row r="310" spans="1:9" s="116" customFormat="1" ht="27" customHeight="1" x14ac:dyDescent="0.2">
      <c r="A310" s="1054" t="s">
        <v>1646</v>
      </c>
      <c r="B310" s="967" t="s">
        <v>1495</v>
      </c>
      <c r="C310" s="1158">
        <v>450000</v>
      </c>
      <c r="D310" s="1158">
        <f>450000+1100000</f>
        <v>1550000</v>
      </c>
      <c r="E310" s="701"/>
      <c r="F310" s="707"/>
      <c r="G310" s="825"/>
      <c r="H310" s="1244"/>
      <c r="I310" s="1255"/>
    </row>
    <row r="311" spans="1:9" s="116" customFormat="1" ht="27" customHeight="1" x14ac:dyDescent="0.2">
      <c r="A311" s="1054" t="s">
        <v>1656</v>
      </c>
      <c r="B311" s="967" t="s">
        <v>1657</v>
      </c>
      <c r="C311" s="1158">
        <v>130000</v>
      </c>
      <c r="D311" s="1158">
        <f>130000-42086</f>
        <v>87914</v>
      </c>
      <c r="E311" s="707"/>
      <c r="F311" s="707"/>
      <c r="G311" s="1243"/>
      <c r="H311" s="1248"/>
      <c r="I311" s="1249"/>
    </row>
    <row r="312" spans="1:9" s="116" customFormat="1" ht="27" customHeight="1" x14ac:dyDescent="0.2">
      <c r="A312" s="1054" t="s">
        <v>1658</v>
      </c>
      <c r="B312" s="967" t="s">
        <v>1659</v>
      </c>
      <c r="C312" s="1158">
        <v>220000</v>
      </c>
      <c r="D312" s="1158">
        <f>220000+42086</f>
        <v>262086</v>
      </c>
      <c r="E312" s="1163"/>
      <c r="F312" s="1163"/>
      <c r="G312" s="1243"/>
      <c r="H312" s="1248"/>
      <c r="I312" s="1249"/>
    </row>
    <row r="313" spans="1:9" s="116" customFormat="1" ht="27" customHeight="1" x14ac:dyDescent="0.2">
      <c r="A313" s="1054" t="s">
        <v>1314</v>
      </c>
      <c r="B313" s="967" t="s">
        <v>1340</v>
      </c>
      <c r="C313" s="1158">
        <v>0</v>
      </c>
      <c r="D313" s="1158">
        <v>0</v>
      </c>
      <c r="E313" s="1163"/>
      <c r="F313" s="1163"/>
      <c r="G313" s="1243"/>
      <c r="H313" s="1248"/>
      <c r="I313" s="1249"/>
    </row>
    <row r="314" spans="1:9" s="116" customFormat="1" ht="27" customHeight="1" x14ac:dyDescent="0.2">
      <c r="A314" s="972">
        <v>2219</v>
      </c>
      <c r="B314" s="905" t="s">
        <v>1341</v>
      </c>
      <c r="C314" s="862">
        <f>SUM(C315+C323+C324+C322)</f>
        <v>2790000</v>
      </c>
      <c r="D314" s="862">
        <f>SUM(D315+D323+D324+D322)</f>
        <v>3156805</v>
      </c>
      <c r="E314" s="1163"/>
      <c r="F314" s="1163"/>
      <c r="G314" s="1243"/>
      <c r="H314" s="1248"/>
      <c r="I314" s="1249"/>
    </row>
    <row r="315" spans="1:9" s="116" customFormat="1" ht="27" customHeight="1" x14ac:dyDescent="0.2">
      <c r="A315" s="1024"/>
      <c r="B315" s="1156" t="s">
        <v>281</v>
      </c>
      <c r="C315" s="983">
        <f>SUM(C316:C321)</f>
        <v>1880000</v>
      </c>
      <c r="D315" s="983">
        <f>SUM(D316:D321)</f>
        <v>2056452.3599999999</v>
      </c>
      <c r="E315" s="1163"/>
      <c r="F315" s="1163"/>
      <c r="G315" s="1243"/>
      <c r="H315" s="1248"/>
      <c r="I315" s="1249"/>
    </row>
    <row r="316" spans="1:9" s="116" customFormat="1" ht="27" customHeight="1" x14ac:dyDescent="0.2">
      <c r="A316" s="1054" t="s">
        <v>1024</v>
      </c>
      <c r="B316" s="967" t="s">
        <v>1496</v>
      </c>
      <c r="C316" s="1150">
        <v>30000</v>
      </c>
      <c r="D316" s="1150">
        <v>30000</v>
      </c>
      <c r="E316" s="1163"/>
      <c r="F316" s="1163"/>
      <c r="G316" s="1243"/>
      <c r="H316" s="1248"/>
      <c r="I316" s="1249"/>
    </row>
    <row r="317" spans="1:9" s="116" customFormat="1" ht="27" customHeight="1" x14ac:dyDescent="0.2">
      <c r="A317" s="1054" t="s">
        <v>1164</v>
      </c>
      <c r="B317" s="1058" t="s">
        <v>1497</v>
      </c>
      <c r="C317" s="1158">
        <v>1050000</v>
      </c>
      <c r="D317" s="1158">
        <v>1050000</v>
      </c>
      <c r="E317" s="1163"/>
      <c r="F317" s="1163"/>
      <c r="G317" s="1243"/>
      <c r="H317" s="1248"/>
      <c r="I317" s="1249"/>
    </row>
    <row r="318" spans="1:9" s="116" customFormat="1" ht="27" customHeight="1" x14ac:dyDescent="0.2">
      <c r="A318" s="1054" t="s">
        <v>477</v>
      </c>
      <c r="B318" s="967" t="s">
        <v>1142</v>
      </c>
      <c r="C318" s="1158">
        <v>700000</v>
      </c>
      <c r="D318" s="1158">
        <v>700000</v>
      </c>
      <c r="E318" s="1163"/>
      <c r="F318" s="1163"/>
      <c r="G318" s="1243"/>
      <c r="H318" s="1248"/>
      <c r="I318" s="1249"/>
    </row>
    <row r="319" spans="1:9" s="116" customFormat="1" ht="27" customHeight="1" x14ac:dyDescent="0.2">
      <c r="A319" s="1054" t="s">
        <v>1168</v>
      </c>
      <c r="B319" s="967" t="s">
        <v>1301</v>
      </c>
      <c r="C319" s="1158">
        <v>0</v>
      </c>
      <c r="D319" s="1158">
        <v>0</v>
      </c>
      <c r="E319" s="1163"/>
      <c r="F319" s="1163"/>
      <c r="G319" s="1243"/>
      <c r="H319" s="1248"/>
      <c r="I319" s="1249"/>
    </row>
    <row r="320" spans="1:9" s="12" customFormat="1" ht="27" customHeight="1" x14ac:dyDescent="0.2">
      <c r="A320" s="926" t="s">
        <v>1173</v>
      </c>
      <c r="B320" s="1405" t="s">
        <v>2023</v>
      </c>
      <c r="C320" s="744">
        <v>0</v>
      </c>
      <c r="D320" s="744">
        <f>100000+76452.36</f>
        <v>176452.36</v>
      </c>
      <c r="E320" s="744"/>
      <c r="F320" s="744"/>
      <c r="G320" s="1243"/>
      <c r="H320" s="1248"/>
      <c r="I320" s="1249"/>
    </row>
    <row r="321" spans="1:9" s="116" customFormat="1" ht="27" customHeight="1" x14ac:dyDescent="0.2">
      <c r="A321" s="1054" t="s">
        <v>501</v>
      </c>
      <c r="B321" s="967" t="s">
        <v>1143</v>
      </c>
      <c r="C321" s="1150">
        <v>100000</v>
      </c>
      <c r="D321" s="1150">
        <v>100000</v>
      </c>
      <c r="E321" s="701"/>
      <c r="F321" s="707"/>
      <c r="G321" s="825"/>
      <c r="H321" s="1244"/>
      <c r="I321" s="1255"/>
    </row>
    <row r="322" spans="1:9" s="116" customFormat="1" ht="27" customHeight="1" x14ac:dyDescent="0.2">
      <c r="A322" s="1054" t="s">
        <v>1025</v>
      </c>
      <c r="B322" s="967" t="s">
        <v>1876</v>
      </c>
      <c r="C322" s="1150">
        <v>10000</v>
      </c>
      <c r="D322" s="1150">
        <v>10000</v>
      </c>
      <c r="E322" s="707"/>
      <c r="F322" s="707"/>
      <c r="G322" s="1243"/>
      <c r="H322" s="1248"/>
      <c r="I322" s="1249"/>
    </row>
    <row r="323" spans="1:9" ht="27" customHeight="1" x14ac:dyDescent="0.2">
      <c r="A323" s="1059" t="s">
        <v>299</v>
      </c>
      <c r="B323" s="988" t="s">
        <v>1144</v>
      </c>
      <c r="C323" s="1150">
        <v>100000</v>
      </c>
      <c r="D323" s="1150">
        <f>100000-76452.36</f>
        <v>23547.64</v>
      </c>
      <c r="E323" s="1163"/>
      <c r="F323" s="1163"/>
      <c r="G323" s="1243"/>
      <c r="H323" s="1248"/>
      <c r="I323" s="1249"/>
    </row>
    <row r="324" spans="1:9" s="2" customFormat="1" ht="27" customHeight="1" x14ac:dyDescent="0.2">
      <c r="A324" s="1060" t="s">
        <v>301</v>
      </c>
      <c r="B324" s="1061" t="s">
        <v>1026</v>
      </c>
      <c r="C324" s="1159">
        <v>800000</v>
      </c>
      <c r="D324" s="1159">
        <f>800000+266805</f>
        <v>1066805</v>
      </c>
      <c r="E324" s="1163"/>
      <c r="F324" s="1163"/>
      <c r="G324" s="1243"/>
      <c r="H324" s="1248"/>
      <c r="I324" s="1249"/>
    </row>
    <row r="325" spans="1:9" ht="27" customHeight="1" x14ac:dyDescent="0.2">
      <c r="A325" s="972">
        <v>2221</v>
      </c>
      <c r="B325" s="905" t="s">
        <v>1342</v>
      </c>
      <c r="C325" s="862">
        <f t="shared" ref="C325:D325" si="23">SUM(C327:C329)</f>
        <v>150000</v>
      </c>
      <c r="D325" s="862">
        <f t="shared" si="23"/>
        <v>150000</v>
      </c>
      <c r="E325" s="1163"/>
      <c r="F325" s="1163"/>
      <c r="G325" s="1243"/>
      <c r="H325" s="1248"/>
      <c r="I325" s="1249"/>
    </row>
    <row r="326" spans="1:9" ht="27" customHeight="1" x14ac:dyDescent="0.2">
      <c r="A326" s="1024"/>
      <c r="B326" s="1156" t="s">
        <v>281</v>
      </c>
      <c r="C326" s="983">
        <f t="shared" ref="C326:D326" si="24">SUM(C327:C327)</f>
        <v>0</v>
      </c>
      <c r="D326" s="983">
        <f t="shared" si="24"/>
        <v>0</v>
      </c>
      <c r="E326" s="1163"/>
      <c r="F326" s="1163"/>
      <c r="G326" s="1243"/>
      <c r="H326" s="1248"/>
      <c r="I326" s="1249"/>
    </row>
    <row r="327" spans="1:9" ht="27" customHeight="1" x14ac:dyDescent="0.2">
      <c r="A327" s="1062" t="s">
        <v>1027</v>
      </c>
      <c r="B327" s="979" t="s">
        <v>1028</v>
      </c>
      <c r="C327" s="1150">
        <v>0</v>
      </c>
      <c r="D327" s="1150">
        <v>0</v>
      </c>
      <c r="E327" s="1163"/>
      <c r="F327" s="1163"/>
      <c r="G327" s="1243"/>
      <c r="H327" s="1248"/>
      <c r="I327" s="1249"/>
    </row>
    <row r="328" spans="1:9" ht="27" customHeight="1" x14ac:dyDescent="0.2">
      <c r="A328" s="1160" t="s">
        <v>2092</v>
      </c>
      <c r="B328" s="1156" t="s">
        <v>2091</v>
      </c>
      <c r="C328" s="1150">
        <v>60000</v>
      </c>
      <c r="D328" s="1150">
        <v>60000</v>
      </c>
      <c r="E328" s="1163"/>
      <c r="F328" s="1163"/>
      <c r="G328" s="1243"/>
      <c r="H328" s="1248"/>
      <c r="I328" s="1249"/>
    </row>
    <row r="329" spans="1:9" ht="27" customHeight="1" thickBot="1" x14ac:dyDescent="0.25">
      <c r="A329" s="1160" t="s">
        <v>310</v>
      </c>
      <c r="B329" s="1063" t="s">
        <v>1093</v>
      </c>
      <c r="C329" s="1150">
        <v>90000</v>
      </c>
      <c r="D329" s="1150">
        <v>90000</v>
      </c>
      <c r="E329" s="1163"/>
      <c r="F329" s="1163"/>
      <c r="G329" s="1243"/>
      <c r="H329" s="1248"/>
      <c r="I329" s="1249"/>
    </row>
    <row r="330" spans="1:9" ht="27" customHeight="1" thickBot="1" x14ac:dyDescent="0.3">
      <c r="A330" s="1153"/>
      <c r="B330" s="1154" t="s">
        <v>312</v>
      </c>
      <c r="C330" s="1064">
        <f t="shared" ref="C330:D330" si="25">C331</f>
        <v>5110000</v>
      </c>
      <c r="D330" s="1064">
        <f t="shared" si="25"/>
        <v>5110000</v>
      </c>
      <c r="E330" s="948"/>
      <c r="F330" s="1291"/>
      <c r="G330" s="1237"/>
      <c r="H330" s="1237"/>
      <c r="I330" s="1253"/>
    </row>
    <row r="331" spans="1:9" ht="27" customHeight="1" x14ac:dyDescent="0.2">
      <c r="A331" s="1147">
        <v>3639</v>
      </c>
      <c r="B331" s="1148" t="s">
        <v>313</v>
      </c>
      <c r="C331" s="1155">
        <f>SUM(C332:C339)</f>
        <v>5110000</v>
      </c>
      <c r="D331" s="1155">
        <f t="shared" ref="D331" si="26">SUM(D332:D339)</f>
        <v>5110000</v>
      </c>
      <c r="E331" s="947"/>
      <c r="F331" s="1254"/>
      <c r="G331" s="825"/>
      <c r="H331" s="1244"/>
      <c r="I331" s="1255"/>
    </row>
    <row r="332" spans="1:9" ht="27" customHeight="1" x14ac:dyDescent="0.2">
      <c r="A332" s="1062" t="s">
        <v>314</v>
      </c>
      <c r="B332" s="979" t="s">
        <v>1647</v>
      </c>
      <c r="C332" s="1150">
        <v>4500000</v>
      </c>
      <c r="D332" s="1150">
        <v>4500000</v>
      </c>
      <c r="E332" s="1163"/>
      <c r="F332" s="1163"/>
      <c r="G332" s="1243"/>
      <c r="H332" s="1248"/>
      <c r="I332" s="1249"/>
    </row>
    <row r="333" spans="1:9" ht="27" customHeight="1" x14ac:dyDescent="0.2">
      <c r="A333" s="1062" t="s">
        <v>316</v>
      </c>
      <c r="B333" s="967" t="s">
        <v>1343</v>
      </c>
      <c r="C333" s="1150">
        <v>30000</v>
      </c>
      <c r="D333" s="1150">
        <f>30000-5000</f>
        <v>25000</v>
      </c>
      <c r="E333" s="1163"/>
      <c r="F333" s="1163"/>
      <c r="G333" s="1243"/>
      <c r="H333" s="1248"/>
      <c r="I333" s="1249"/>
    </row>
    <row r="334" spans="1:9" ht="27" customHeight="1" x14ac:dyDescent="0.2">
      <c r="A334" s="1065" t="s">
        <v>316</v>
      </c>
      <c r="B334" s="988" t="s">
        <v>1344</v>
      </c>
      <c r="C334" s="1150">
        <v>30000</v>
      </c>
      <c r="D334" s="1150">
        <f>30000+5000</f>
        <v>35000</v>
      </c>
      <c r="E334" s="1163"/>
      <c r="F334" s="1163"/>
      <c r="G334" s="1243"/>
      <c r="H334" s="1248"/>
      <c r="I334" s="1249"/>
    </row>
    <row r="335" spans="1:9" ht="27" customHeight="1" x14ac:dyDescent="0.2">
      <c r="A335" s="1062" t="s">
        <v>325</v>
      </c>
      <c r="B335" s="967" t="s">
        <v>326</v>
      </c>
      <c r="C335" s="1150">
        <v>150000</v>
      </c>
      <c r="D335" s="1150">
        <v>150000</v>
      </c>
      <c r="E335" s="1163"/>
      <c r="F335" s="1163"/>
      <c r="G335" s="1243"/>
      <c r="H335" s="1248"/>
      <c r="I335" s="1249"/>
    </row>
    <row r="336" spans="1:9" ht="27" customHeight="1" x14ac:dyDescent="0.2">
      <c r="A336" s="1062" t="s">
        <v>321</v>
      </c>
      <c r="B336" s="967" t="s">
        <v>327</v>
      </c>
      <c r="C336" s="1150">
        <v>150000</v>
      </c>
      <c r="D336" s="1150">
        <v>150000</v>
      </c>
      <c r="E336" s="1163"/>
      <c r="F336" s="1163"/>
      <c r="G336" s="1243"/>
      <c r="H336" s="1248"/>
      <c r="I336" s="1249"/>
    </row>
    <row r="337" spans="1:9" ht="27" customHeight="1" x14ac:dyDescent="0.2">
      <c r="A337" s="1062" t="s">
        <v>323</v>
      </c>
      <c r="B337" s="967" t="s">
        <v>328</v>
      </c>
      <c r="C337" s="1150">
        <v>210000</v>
      </c>
      <c r="D337" s="1150">
        <v>210000</v>
      </c>
      <c r="E337" s="1163"/>
      <c r="F337" s="1163"/>
      <c r="G337" s="1243"/>
      <c r="H337" s="1248"/>
      <c r="I337" s="1249"/>
    </row>
    <row r="338" spans="1:9" ht="27" customHeight="1" x14ac:dyDescent="0.2">
      <c r="A338" s="1160" t="s">
        <v>331</v>
      </c>
      <c r="B338" s="1058" t="s">
        <v>332</v>
      </c>
      <c r="C338" s="1150">
        <v>10000</v>
      </c>
      <c r="D338" s="1150">
        <f>10000-10000</f>
        <v>0</v>
      </c>
      <c r="E338" s="1163"/>
      <c r="F338" s="1163"/>
      <c r="G338" s="1243"/>
      <c r="H338" s="1248"/>
      <c r="I338" s="1249"/>
    </row>
    <row r="339" spans="1:9" ht="27" customHeight="1" thickBot="1" x14ac:dyDescent="0.25">
      <c r="A339" s="1160" t="s">
        <v>333</v>
      </c>
      <c r="B339" s="1066" t="s">
        <v>334</v>
      </c>
      <c r="C339" s="1150">
        <v>30000</v>
      </c>
      <c r="D339" s="1150">
        <f>30000+10000</f>
        <v>40000</v>
      </c>
      <c r="E339" s="1163"/>
      <c r="F339" s="1163"/>
      <c r="G339" s="1243"/>
      <c r="H339" s="1248"/>
      <c r="I339" s="1249"/>
    </row>
    <row r="340" spans="1:9" ht="27" customHeight="1" thickBot="1" x14ac:dyDescent="0.3">
      <c r="A340" s="1153"/>
      <c r="B340" s="1154" t="s">
        <v>335</v>
      </c>
      <c r="C340" s="1161">
        <f>SUM(C341+C346+C348+C357+C359+C368+C385+C392+C394+C397)</f>
        <v>27453182</v>
      </c>
      <c r="D340" s="1161">
        <f>SUM(D341+D346+D348+D357+D359+D368+D385+D392+D394+D397)</f>
        <v>27727738</v>
      </c>
      <c r="E340" s="1292"/>
      <c r="F340" s="1293"/>
      <c r="G340" s="1237"/>
      <c r="H340" s="1237"/>
      <c r="I340" s="1253"/>
    </row>
    <row r="341" spans="1:9" ht="27" customHeight="1" x14ac:dyDescent="0.2">
      <c r="A341" s="1147">
        <v>3341</v>
      </c>
      <c r="B341" s="1148" t="s">
        <v>1345</v>
      </c>
      <c r="C341" s="1068">
        <f>SUM(C342:C345)</f>
        <v>3177552</v>
      </c>
      <c r="D341" s="1068">
        <f>SUM(D342:D345)</f>
        <v>3177552</v>
      </c>
      <c r="E341" s="706"/>
      <c r="F341" s="1294"/>
      <c r="G341" s="825"/>
      <c r="H341" s="1244"/>
      <c r="I341" s="1255"/>
    </row>
    <row r="342" spans="1:9" ht="27" customHeight="1" x14ac:dyDescent="0.2">
      <c r="A342" s="1062" t="s">
        <v>337</v>
      </c>
      <c r="B342" s="979" t="s">
        <v>338</v>
      </c>
      <c r="C342" s="1150">
        <v>200000</v>
      </c>
      <c r="D342" s="1150">
        <f>200000-1230</f>
        <v>198770</v>
      </c>
      <c r="E342" s="1163"/>
      <c r="F342" s="1163"/>
      <c r="G342" s="1243"/>
      <c r="H342" s="1248"/>
      <c r="I342" s="1249"/>
    </row>
    <row r="343" spans="1:9" ht="27" customHeight="1" x14ac:dyDescent="0.2">
      <c r="A343" s="1062" t="s">
        <v>339</v>
      </c>
      <c r="B343" s="979" t="s">
        <v>1029</v>
      </c>
      <c r="C343" s="1150">
        <v>5000</v>
      </c>
      <c r="D343" s="1150">
        <f>5000+1230</f>
        <v>6230</v>
      </c>
      <c r="E343" s="1163"/>
      <c r="F343" s="1163"/>
      <c r="G343" s="1243"/>
      <c r="H343" s="1248"/>
      <c r="I343" s="1249"/>
    </row>
    <row r="344" spans="1:9" ht="27" customHeight="1" x14ac:dyDescent="0.2">
      <c r="A344" s="1062" t="s">
        <v>1145</v>
      </c>
      <c r="B344" s="979" t="s">
        <v>1498</v>
      </c>
      <c r="C344" s="1150">
        <v>2372552</v>
      </c>
      <c r="D344" s="1150">
        <f>2372552+29142</f>
        <v>2401694</v>
      </c>
      <c r="E344" s="701"/>
      <c r="F344" s="707"/>
      <c r="G344" s="825"/>
      <c r="H344" s="1244"/>
      <c r="I344" s="1255"/>
    </row>
    <row r="345" spans="1:9" ht="27" customHeight="1" x14ac:dyDescent="0.2">
      <c r="A345" s="1062" t="s">
        <v>2030</v>
      </c>
      <c r="B345" s="979" t="s">
        <v>1729</v>
      </c>
      <c r="C345" s="1150">
        <v>600000</v>
      </c>
      <c r="D345" s="1150">
        <f>600000-29142</f>
        <v>570858</v>
      </c>
      <c r="E345" s="1163"/>
      <c r="F345" s="1163"/>
      <c r="G345" s="1243"/>
      <c r="H345" s="1248"/>
      <c r="I345" s="1249"/>
    </row>
    <row r="346" spans="1:9" ht="27" customHeight="1" x14ac:dyDescent="0.2">
      <c r="A346" s="1151">
        <v>3412</v>
      </c>
      <c r="B346" s="905" t="s">
        <v>1797</v>
      </c>
      <c r="C346" s="862">
        <f>SUM(C347)</f>
        <v>0</v>
      </c>
      <c r="D346" s="862">
        <f>SUM(D347)</f>
        <v>33226.6</v>
      </c>
      <c r="E346" s="735"/>
      <c r="F346" s="735"/>
      <c r="G346" s="1243"/>
      <c r="H346" s="1248"/>
      <c r="I346" s="1249"/>
    </row>
    <row r="347" spans="1:9" ht="27" customHeight="1" x14ac:dyDescent="0.2">
      <c r="A347" s="1062" t="s">
        <v>2090</v>
      </c>
      <c r="B347" s="1162" t="s">
        <v>2089</v>
      </c>
      <c r="C347" s="960">
        <v>0</v>
      </c>
      <c r="D347" s="960">
        <v>33226.6</v>
      </c>
      <c r="E347" s="735"/>
      <c r="F347" s="735"/>
      <c r="G347" s="1243"/>
      <c r="H347" s="1248"/>
      <c r="I347" s="1249"/>
    </row>
    <row r="348" spans="1:9" ht="27" customHeight="1" x14ac:dyDescent="0.2">
      <c r="A348" s="1151">
        <v>3421</v>
      </c>
      <c r="B348" s="905" t="s">
        <v>1853</v>
      </c>
      <c r="C348" s="862">
        <f t="shared" ref="C348:D348" si="27">SUM(C349:C356)</f>
        <v>2690000</v>
      </c>
      <c r="D348" s="862">
        <f t="shared" si="27"/>
        <v>2329686.2000000002</v>
      </c>
      <c r="E348" s="735"/>
      <c r="F348" s="735"/>
      <c r="G348" s="1243"/>
      <c r="H348" s="1248"/>
      <c r="I348" s="1249"/>
    </row>
    <row r="349" spans="1:9" ht="27" customHeight="1" x14ac:dyDescent="0.2">
      <c r="A349" s="1062" t="s">
        <v>350</v>
      </c>
      <c r="B349" s="1162" t="s">
        <v>1030</v>
      </c>
      <c r="C349" s="960">
        <v>750000</v>
      </c>
      <c r="D349" s="960">
        <v>750000</v>
      </c>
      <c r="E349" s="735"/>
      <c r="F349" s="735"/>
      <c r="G349" s="1243"/>
      <c r="H349" s="1248"/>
      <c r="I349" s="1249"/>
    </row>
    <row r="350" spans="1:9" ht="27" customHeight="1" x14ac:dyDescent="0.2">
      <c r="A350" s="1062" t="s">
        <v>342</v>
      </c>
      <c r="B350" s="1069" t="s">
        <v>1031</v>
      </c>
      <c r="C350" s="1150">
        <v>300000</v>
      </c>
      <c r="D350" s="1150">
        <v>300000</v>
      </c>
      <c r="E350" s="701"/>
      <c r="F350" s="707"/>
      <c r="G350" s="825"/>
      <c r="H350" s="1244"/>
      <c r="I350" s="1255"/>
    </row>
    <row r="351" spans="1:9" ht="27" customHeight="1" x14ac:dyDescent="0.2">
      <c r="A351" s="1062" t="s">
        <v>344</v>
      </c>
      <c r="B351" s="1069" t="s">
        <v>1032</v>
      </c>
      <c r="C351" s="1150">
        <v>60000</v>
      </c>
      <c r="D351" s="1150">
        <f>60000-39446</f>
        <v>20554</v>
      </c>
      <c r="E351" s="735"/>
      <c r="F351" s="735"/>
      <c r="G351" s="1243"/>
      <c r="H351" s="1248"/>
      <c r="I351" s="1249"/>
    </row>
    <row r="352" spans="1:9" ht="27" customHeight="1" x14ac:dyDescent="0.2">
      <c r="A352" s="1062" t="s">
        <v>346</v>
      </c>
      <c r="B352" s="1069" t="s">
        <v>1033</v>
      </c>
      <c r="C352" s="1150">
        <v>80000</v>
      </c>
      <c r="D352" s="1150">
        <v>80000</v>
      </c>
      <c r="E352" s="1163"/>
      <c r="F352" s="1163"/>
      <c r="G352" s="1243"/>
      <c r="H352" s="1248"/>
      <c r="I352" s="1249"/>
    </row>
    <row r="353" spans="1:9" ht="27" customHeight="1" x14ac:dyDescent="0.2">
      <c r="A353" s="1062" t="s">
        <v>348</v>
      </c>
      <c r="B353" s="1162" t="s">
        <v>1499</v>
      </c>
      <c r="C353" s="1150">
        <v>1500000</v>
      </c>
      <c r="D353" s="1150">
        <f>1500000-287641.2-33226.6</f>
        <v>1179132.2</v>
      </c>
      <c r="E353" s="1163"/>
      <c r="F353" s="1163"/>
      <c r="G353" s="1243"/>
      <c r="H353" s="1248"/>
      <c r="I353" s="1249"/>
    </row>
    <row r="354" spans="1:9" ht="27" customHeight="1" x14ac:dyDescent="0.2">
      <c r="A354" s="1062" t="s">
        <v>1034</v>
      </c>
      <c r="B354" s="1069" t="s">
        <v>1500</v>
      </c>
      <c r="C354" s="1150">
        <v>0</v>
      </c>
      <c r="D354" s="1150">
        <v>0</v>
      </c>
      <c r="E354" s="1163"/>
      <c r="F354" s="1163"/>
      <c r="G354" s="1243"/>
      <c r="H354" s="1248"/>
      <c r="I354" s="1249"/>
    </row>
    <row r="355" spans="1:9" ht="27" customHeight="1" x14ac:dyDescent="0.2">
      <c r="A355" s="1062" t="s">
        <v>1501</v>
      </c>
      <c r="B355" s="1069" t="s">
        <v>1502</v>
      </c>
      <c r="C355" s="1150">
        <v>0</v>
      </c>
      <c r="D355" s="1150">
        <v>0</v>
      </c>
      <c r="E355" s="1163"/>
      <c r="F355" s="1163"/>
      <c r="G355" s="1243"/>
      <c r="H355" s="1248"/>
      <c r="I355" s="1249"/>
    </row>
    <row r="356" spans="1:9" ht="27" customHeight="1" x14ac:dyDescent="0.2">
      <c r="A356" s="1062" t="s">
        <v>1501</v>
      </c>
      <c r="B356" s="1069" t="s">
        <v>1854</v>
      </c>
      <c r="C356" s="1150">
        <v>0</v>
      </c>
      <c r="D356" s="1150">
        <v>0</v>
      </c>
      <c r="E356" s="1163"/>
      <c r="F356" s="1163"/>
      <c r="G356" s="1243"/>
      <c r="H356" s="1248"/>
      <c r="I356" s="1249"/>
    </row>
    <row r="357" spans="1:9" ht="27" customHeight="1" x14ac:dyDescent="0.2">
      <c r="A357" s="1151">
        <v>3429</v>
      </c>
      <c r="B357" s="905" t="s">
        <v>2070</v>
      </c>
      <c r="C357" s="862">
        <f>SUM(C358:C358)</f>
        <v>0</v>
      </c>
      <c r="D357" s="862">
        <f>SUM(D358:D358)</f>
        <v>327087.2</v>
      </c>
      <c r="E357" s="735"/>
      <c r="F357" s="735"/>
      <c r="G357" s="1243"/>
      <c r="H357" s="1248"/>
      <c r="I357" s="1249"/>
    </row>
    <row r="358" spans="1:9" ht="27" customHeight="1" x14ac:dyDescent="0.2">
      <c r="A358" s="1062" t="s">
        <v>2071</v>
      </c>
      <c r="B358" s="1162" t="s">
        <v>2072</v>
      </c>
      <c r="C358" s="960">
        <v>0</v>
      </c>
      <c r="D358" s="960">
        <f>287641.2+39446</f>
        <v>327087.2</v>
      </c>
      <c r="E358" s="735"/>
      <c r="F358" s="735"/>
      <c r="G358" s="1243"/>
      <c r="H358" s="1248"/>
      <c r="I358" s="1249"/>
    </row>
    <row r="359" spans="1:9" ht="27" customHeight="1" x14ac:dyDescent="0.2">
      <c r="A359" s="972">
        <v>3613</v>
      </c>
      <c r="B359" s="905" t="s">
        <v>1346</v>
      </c>
      <c r="C359" s="862">
        <f>SUM(C360:C367)</f>
        <v>1960000</v>
      </c>
      <c r="D359" s="862">
        <f t="shared" ref="D359" si="28">SUM(D360:D367)</f>
        <v>2104474</v>
      </c>
      <c r="E359" s="701"/>
      <c r="F359" s="707"/>
      <c r="G359" s="825"/>
      <c r="H359" s="1244"/>
      <c r="I359" s="1255"/>
    </row>
    <row r="360" spans="1:9" ht="27" customHeight="1" x14ac:dyDescent="0.2">
      <c r="A360" s="1062" t="s">
        <v>1154</v>
      </c>
      <c r="B360" s="1162" t="s">
        <v>1347</v>
      </c>
      <c r="C360" s="1150">
        <v>0</v>
      </c>
      <c r="D360" s="1150">
        <v>0</v>
      </c>
      <c r="E360" s="1163"/>
      <c r="F360" s="1163"/>
      <c r="G360" s="1243"/>
      <c r="H360" s="1248"/>
      <c r="I360" s="1249"/>
    </row>
    <row r="361" spans="1:9" ht="27" customHeight="1" x14ac:dyDescent="0.2">
      <c r="A361" s="1160" t="s">
        <v>353</v>
      </c>
      <c r="B361" s="1157" t="s">
        <v>1035</v>
      </c>
      <c r="C361" s="1150">
        <v>5000</v>
      </c>
      <c r="D361" s="1150">
        <v>5000</v>
      </c>
      <c r="E361" s="1163"/>
      <c r="F361" s="1163"/>
      <c r="G361" s="1243"/>
      <c r="H361" s="1248"/>
      <c r="I361" s="1249"/>
    </row>
    <row r="362" spans="1:9" ht="27" customHeight="1" x14ac:dyDescent="0.2">
      <c r="A362" s="1160" t="s">
        <v>355</v>
      </c>
      <c r="B362" s="1157" t="s">
        <v>1036</v>
      </c>
      <c r="C362" s="1150">
        <v>15000</v>
      </c>
      <c r="D362" s="1150">
        <v>15000</v>
      </c>
      <c r="E362" s="1163"/>
      <c r="F362" s="1163"/>
      <c r="G362" s="1243"/>
      <c r="H362" s="1248"/>
      <c r="I362" s="1249"/>
    </row>
    <row r="363" spans="1:9" ht="27" customHeight="1" x14ac:dyDescent="0.2">
      <c r="A363" s="1160" t="s">
        <v>357</v>
      </c>
      <c r="B363" s="967" t="s">
        <v>1730</v>
      </c>
      <c r="C363" s="1150">
        <v>200000</v>
      </c>
      <c r="D363" s="1150">
        <v>200000</v>
      </c>
      <c r="E363" s="1163"/>
      <c r="F363" s="1163"/>
      <c r="G363" s="1243"/>
      <c r="H363" s="1248"/>
      <c r="I363" s="1249"/>
    </row>
    <row r="364" spans="1:9" ht="27" customHeight="1" x14ac:dyDescent="0.2">
      <c r="A364" s="1160" t="s">
        <v>359</v>
      </c>
      <c r="B364" s="967" t="s">
        <v>1037</v>
      </c>
      <c r="C364" s="1150">
        <v>640000</v>
      </c>
      <c r="D364" s="1150">
        <v>640000</v>
      </c>
      <c r="E364" s="1163"/>
      <c r="F364" s="1163"/>
      <c r="G364" s="1243"/>
      <c r="H364" s="1248"/>
      <c r="I364" s="1249"/>
    </row>
    <row r="365" spans="1:9" ht="27" customHeight="1" x14ac:dyDescent="0.2">
      <c r="A365" s="1160" t="s">
        <v>361</v>
      </c>
      <c r="B365" s="967" t="s">
        <v>1038</v>
      </c>
      <c r="C365" s="1150">
        <v>100000</v>
      </c>
      <c r="D365" s="1150">
        <v>100000</v>
      </c>
      <c r="E365" s="1163"/>
      <c r="F365" s="1163"/>
      <c r="G365" s="1243"/>
      <c r="H365" s="1248"/>
      <c r="I365" s="1249"/>
    </row>
    <row r="366" spans="1:9" ht="27" customHeight="1" x14ac:dyDescent="0.2">
      <c r="A366" s="1160" t="s">
        <v>364</v>
      </c>
      <c r="B366" s="1070" t="s">
        <v>2028</v>
      </c>
      <c r="C366" s="1150">
        <v>1000000</v>
      </c>
      <c r="D366" s="1150">
        <f>1000000+144474</f>
        <v>1144474</v>
      </c>
      <c r="E366" s="1163"/>
      <c r="F366" s="1163"/>
      <c r="G366" s="1243"/>
      <c r="H366" s="1248"/>
      <c r="I366" s="1249"/>
    </row>
    <row r="367" spans="1:9" ht="27" customHeight="1" x14ac:dyDescent="0.2">
      <c r="A367" s="1062" t="s">
        <v>1199</v>
      </c>
      <c r="B367" s="1069" t="s">
        <v>2029</v>
      </c>
      <c r="C367" s="1150">
        <v>0</v>
      </c>
      <c r="D367" s="1150">
        <v>0</v>
      </c>
      <c r="E367" s="1163"/>
      <c r="F367" s="1163"/>
      <c r="G367" s="1243"/>
      <c r="H367" s="1248"/>
      <c r="I367" s="1249"/>
    </row>
    <row r="368" spans="1:9" ht="27" customHeight="1" x14ac:dyDescent="0.2">
      <c r="A368" s="972">
        <v>3631</v>
      </c>
      <c r="B368" s="905" t="s">
        <v>1348</v>
      </c>
      <c r="C368" s="862">
        <f>SUM(C369:C374)</f>
        <v>15504000</v>
      </c>
      <c r="D368" s="862">
        <f>SUM(D369:D374)</f>
        <v>15634082</v>
      </c>
      <c r="E368" s="701"/>
      <c r="F368" s="707"/>
      <c r="G368" s="825"/>
      <c r="H368" s="1244"/>
      <c r="I368" s="1255"/>
    </row>
    <row r="369" spans="1:9" ht="27" customHeight="1" x14ac:dyDescent="0.2">
      <c r="A369" s="1160" t="s">
        <v>367</v>
      </c>
      <c r="B369" s="967" t="s">
        <v>1040</v>
      </c>
      <c r="C369" s="1150">
        <v>50000</v>
      </c>
      <c r="D369" s="1150">
        <v>50000</v>
      </c>
      <c r="E369" s="1163"/>
      <c r="F369" s="1163"/>
      <c r="G369" s="1243"/>
      <c r="H369" s="1248"/>
      <c r="I369" s="1249"/>
    </row>
    <row r="370" spans="1:9" ht="27" customHeight="1" x14ac:dyDescent="0.2">
      <c r="A370" s="1160" t="s">
        <v>369</v>
      </c>
      <c r="B370" s="967" t="s">
        <v>1504</v>
      </c>
      <c r="C370" s="1150">
        <v>250000</v>
      </c>
      <c r="D370" s="1150">
        <v>250000</v>
      </c>
      <c r="E370" s="1163"/>
      <c r="F370" s="1163"/>
      <c r="G370" s="1243"/>
      <c r="H370" s="1248"/>
      <c r="I370" s="1249"/>
    </row>
    <row r="371" spans="1:9" ht="27" customHeight="1" x14ac:dyDescent="0.2">
      <c r="A371" s="1160" t="s">
        <v>369</v>
      </c>
      <c r="B371" s="967" t="s">
        <v>1041</v>
      </c>
      <c r="C371" s="1150">
        <v>600000</v>
      </c>
      <c r="D371" s="1150">
        <f>600000-102752.67-51376.34+42386</f>
        <v>488256.99</v>
      </c>
      <c r="E371" s="1163"/>
      <c r="F371" s="1163"/>
      <c r="G371" s="1243"/>
      <c r="H371" s="1248"/>
      <c r="I371" s="1249"/>
    </row>
    <row r="372" spans="1:9" ht="27" customHeight="1" x14ac:dyDescent="0.2">
      <c r="A372" s="1062" t="s">
        <v>373</v>
      </c>
      <c r="B372" s="967" t="s">
        <v>374</v>
      </c>
      <c r="C372" s="1150">
        <v>7200000</v>
      </c>
      <c r="D372" s="1150">
        <v>7200000</v>
      </c>
      <c r="E372" s="707"/>
      <c r="F372" s="707"/>
      <c r="G372" s="1243"/>
      <c r="H372" s="1248"/>
      <c r="I372" s="1249"/>
    </row>
    <row r="373" spans="1:9" ht="27" customHeight="1" x14ac:dyDescent="0.2">
      <c r="A373" s="1062" t="s">
        <v>371</v>
      </c>
      <c r="B373" s="967" t="s">
        <v>1039</v>
      </c>
      <c r="C373" s="1150">
        <v>4900000</v>
      </c>
      <c r="D373" s="1150">
        <f>4900000+75138</f>
        <v>4975138</v>
      </c>
      <c r="E373" s="1163"/>
      <c r="F373" s="1163"/>
      <c r="G373" s="1243"/>
      <c r="H373" s="1248"/>
      <c r="I373" s="1249"/>
    </row>
    <row r="374" spans="1:9" ht="27" customHeight="1" x14ac:dyDescent="0.2">
      <c r="A374" s="1062"/>
      <c r="B374" s="1156" t="s">
        <v>281</v>
      </c>
      <c r="C374" s="983">
        <f>SUM(C375:C384)</f>
        <v>2504000</v>
      </c>
      <c r="D374" s="983">
        <f>SUM(D375:D384)</f>
        <v>2670687.0099999998</v>
      </c>
      <c r="E374" s="1163"/>
      <c r="F374" s="1163"/>
      <c r="G374" s="1243"/>
      <c r="H374" s="1248"/>
      <c r="I374" s="1249"/>
    </row>
    <row r="375" spans="1:9" ht="27" customHeight="1" x14ac:dyDescent="0.2">
      <c r="A375" s="1071" t="s">
        <v>1503</v>
      </c>
      <c r="B375" s="967" t="s">
        <v>2076</v>
      </c>
      <c r="C375" s="1150">
        <v>84000</v>
      </c>
      <c r="D375" s="1150">
        <f>84000-84000</f>
        <v>0</v>
      </c>
      <c r="E375" s="1163"/>
      <c r="F375" s="1163"/>
      <c r="G375" s="1243"/>
      <c r="H375" s="1248"/>
      <c r="I375" s="1249"/>
    </row>
    <row r="376" spans="1:9" ht="27" customHeight="1" x14ac:dyDescent="0.2">
      <c r="A376" s="1071" t="s">
        <v>2026</v>
      </c>
      <c r="B376" s="967" t="s">
        <v>2027</v>
      </c>
      <c r="C376" s="1150">
        <v>0</v>
      </c>
      <c r="D376" s="1150">
        <f>51376.34+102752.67</f>
        <v>154129.01</v>
      </c>
      <c r="E376" s="1163"/>
      <c r="F376" s="1163"/>
      <c r="G376" s="1243"/>
      <c r="H376" s="1248"/>
      <c r="I376" s="1249"/>
    </row>
    <row r="377" spans="1:9" ht="27" customHeight="1" x14ac:dyDescent="0.2">
      <c r="A377" s="1062" t="s">
        <v>585</v>
      </c>
      <c r="B377" s="1069" t="s">
        <v>1146</v>
      </c>
      <c r="C377" s="1158">
        <v>650000</v>
      </c>
      <c r="D377" s="1158">
        <v>650000</v>
      </c>
      <c r="E377" s="1163"/>
      <c r="F377" s="1163"/>
      <c r="G377" s="1243"/>
      <c r="H377" s="1248"/>
      <c r="I377" s="1249"/>
    </row>
    <row r="378" spans="1:9" ht="27" customHeight="1" x14ac:dyDescent="0.2">
      <c r="A378" s="1062" t="s">
        <v>1505</v>
      </c>
      <c r="B378" s="1069" t="s">
        <v>1506</v>
      </c>
      <c r="C378" s="1158">
        <v>0</v>
      </c>
      <c r="D378" s="1158">
        <v>70301</v>
      </c>
      <c r="E378" s="1163"/>
      <c r="F378" s="1163"/>
      <c r="G378" s="1243"/>
      <c r="H378" s="1248"/>
      <c r="I378" s="1249"/>
    </row>
    <row r="379" spans="1:9" ht="27" customHeight="1" x14ac:dyDescent="0.2">
      <c r="A379" s="1062" t="s">
        <v>577</v>
      </c>
      <c r="B379" s="1069" t="s">
        <v>1507</v>
      </c>
      <c r="C379" s="1158">
        <v>0</v>
      </c>
      <c r="D379" s="1158">
        <v>26257</v>
      </c>
      <c r="E379" s="1163"/>
      <c r="F379" s="1163"/>
      <c r="G379" s="1243"/>
      <c r="H379" s="1248"/>
      <c r="I379" s="1249"/>
    </row>
    <row r="380" spans="1:9" s="2" customFormat="1" ht="27" customHeight="1" x14ac:dyDescent="0.2">
      <c r="A380" s="1062" t="s">
        <v>1147</v>
      </c>
      <c r="B380" s="1069" t="s">
        <v>1148</v>
      </c>
      <c r="C380" s="1158">
        <v>80000</v>
      </c>
      <c r="D380" s="1158">
        <v>80000</v>
      </c>
      <c r="E380" s="1163"/>
      <c r="F380" s="1163"/>
      <c r="G380" s="1243"/>
      <c r="H380" s="1248"/>
      <c r="I380" s="1249"/>
    </row>
    <row r="381" spans="1:9" s="116" customFormat="1" ht="27" customHeight="1" x14ac:dyDescent="0.2">
      <c r="A381" s="1062" t="s">
        <v>1200</v>
      </c>
      <c r="B381" s="1069" t="s">
        <v>1302</v>
      </c>
      <c r="C381" s="1158">
        <v>550000</v>
      </c>
      <c r="D381" s="1158">
        <v>550000</v>
      </c>
      <c r="E381" s="1163"/>
      <c r="F381" s="1163"/>
      <c r="G381" s="1243"/>
      <c r="H381" s="1248"/>
      <c r="I381" s="1249"/>
    </row>
    <row r="382" spans="1:9" s="116" customFormat="1" ht="27" customHeight="1" x14ac:dyDescent="0.2">
      <c r="A382" s="1062" t="s">
        <v>1149</v>
      </c>
      <c r="B382" s="1069" t="s">
        <v>1150</v>
      </c>
      <c r="C382" s="1158">
        <v>80000</v>
      </c>
      <c r="D382" s="1158">
        <v>80000</v>
      </c>
      <c r="E382" s="1163"/>
      <c r="F382" s="1163"/>
      <c r="G382" s="1243"/>
      <c r="H382" s="1248"/>
      <c r="I382" s="1249"/>
    </row>
    <row r="383" spans="1:9" s="116" customFormat="1" ht="27" customHeight="1" x14ac:dyDescent="0.2">
      <c r="A383" s="1062" t="s">
        <v>1151</v>
      </c>
      <c r="B383" s="1069" t="s">
        <v>1152</v>
      </c>
      <c r="C383" s="1158">
        <v>60000</v>
      </c>
      <c r="D383" s="1158">
        <v>60000</v>
      </c>
      <c r="E383" s="1163"/>
      <c r="F383" s="1163"/>
      <c r="G383" s="1243"/>
      <c r="H383" s="1248"/>
      <c r="I383" s="1249"/>
    </row>
    <row r="384" spans="1:9" s="116" customFormat="1" ht="27" customHeight="1" x14ac:dyDescent="0.2">
      <c r="A384" s="838" t="s">
        <v>591</v>
      </c>
      <c r="B384" s="792" t="s">
        <v>1312</v>
      </c>
      <c r="C384" s="1164">
        <v>1000000</v>
      </c>
      <c r="D384" s="1164">
        <v>1000000</v>
      </c>
      <c r="E384" s="701"/>
      <c r="F384" s="707"/>
      <c r="G384" s="825"/>
      <c r="H384" s="1244"/>
      <c r="I384" s="1255"/>
    </row>
    <row r="385" spans="1:9" s="116" customFormat="1" ht="27" customHeight="1" x14ac:dyDescent="0.2">
      <c r="A385" s="835">
        <v>3632</v>
      </c>
      <c r="B385" s="768" t="s">
        <v>1349</v>
      </c>
      <c r="C385" s="701">
        <f>SUM(C387:C391)</f>
        <v>3466630</v>
      </c>
      <c r="D385" s="701">
        <f>SUM(D387:D391)</f>
        <v>3466630</v>
      </c>
      <c r="E385" s="707"/>
      <c r="F385" s="707"/>
      <c r="G385" s="1243"/>
      <c r="H385" s="1248"/>
      <c r="I385" s="1249"/>
    </row>
    <row r="386" spans="1:9" s="116" customFormat="1" ht="27" customHeight="1" x14ac:dyDescent="0.2">
      <c r="A386" s="712"/>
      <c r="B386" s="762" t="s">
        <v>1042</v>
      </c>
      <c r="C386" s="707">
        <f t="shared" ref="C386:D386" si="29">SUM(C387:C388)</f>
        <v>366630</v>
      </c>
      <c r="D386" s="707">
        <f t="shared" si="29"/>
        <v>366630</v>
      </c>
      <c r="E386" s="1163"/>
      <c r="F386" s="1163"/>
      <c r="G386" s="1243"/>
      <c r="H386" s="1248"/>
      <c r="I386" s="1249"/>
    </row>
    <row r="387" spans="1:9" s="116" customFormat="1" ht="27" customHeight="1" x14ac:dyDescent="0.2">
      <c r="A387" s="838" t="s">
        <v>377</v>
      </c>
      <c r="B387" s="761" t="s">
        <v>1153</v>
      </c>
      <c r="C387" s="1163">
        <f>342430+24200</f>
        <v>366630</v>
      </c>
      <c r="D387" s="1163">
        <f>342430+24200</f>
        <v>366630</v>
      </c>
      <c r="E387" s="1163"/>
      <c r="F387" s="1163"/>
      <c r="G387" s="1243"/>
      <c r="H387" s="1248"/>
      <c r="I387" s="1249"/>
    </row>
    <row r="388" spans="1:9" s="116" customFormat="1" ht="27" customHeight="1" x14ac:dyDescent="0.2">
      <c r="A388" s="838" t="s">
        <v>377</v>
      </c>
      <c r="B388" s="761" t="s">
        <v>1864</v>
      </c>
      <c r="C388" s="1163">
        <v>0</v>
      </c>
      <c r="D388" s="1163">
        <v>0</v>
      </c>
      <c r="E388" s="1163"/>
      <c r="F388" s="1163"/>
      <c r="G388" s="1243"/>
      <c r="H388" s="1248"/>
      <c r="I388" s="1249"/>
    </row>
    <row r="389" spans="1:9" s="116" customFormat="1" ht="27" customHeight="1" x14ac:dyDescent="0.2">
      <c r="A389" s="837" t="s">
        <v>383</v>
      </c>
      <c r="B389" s="761" t="s">
        <v>1043</v>
      </c>
      <c r="C389" s="1163">
        <v>3000000</v>
      </c>
      <c r="D389" s="1163">
        <v>3000000</v>
      </c>
      <c r="E389" s="1163"/>
      <c r="F389" s="1163"/>
      <c r="G389" s="1243"/>
      <c r="H389" s="1248"/>
      <c r="I389" s="1249"/>
    </row>
    <row r="390" spans="1:9" s="116" customFormat="1" ht="27" customHeight="1" x14ac:dyDescent="0.2">
      <c r="A390" s="837" t="s">
        <v>383</v>
      </c>
      <c r="B390" s="761" t="s">
        <v>1155</v>
      </c>
      <c r="C390" s="1163">
        <v>0</v>
      </c>
      <c r="D390" s="1163">
        <v>0</v>
      </c>
      <c r="E390" s="1163"/>
      <c r="F390" s="1163"/>
      <c r="G390" s="1243"/>
      <c r="H390" s="1248"/>
      <c r="I390" s="1249"/>
    </row>
    <row r="391" spans="1:9" s="116" customFormat="1" ht="27" customHeight="1" x14ac:dyDescent="0.2">
      <c r="A391" s="837" t="s">
        <v>387</v>
      </c>
      <c r="B391" s="761" t="s">
        <v>388</v>
      </c>
      <c r="C391" s="1163">
        <v>100000</v>
      </c>
      <c r="D391" s="1163">
        <v>100000</v>
      </c>
      <c r="E391" s="701"/>
      <c r="F391" s="707"/>
      <c r="G391" s="825"/>
      <c r="H391" s="1244"/>
      <c r="I391" s="1255"/>
    </row>
    <row r="392" spans="1:9" s="116" customFormat="1" ht="27" customHeight="1" x14ac:dyDescent="0.2">
      <c r="A392" s="713">
        <v>3633</v>
      </c>
      <c r="B392" s="720" t="s">
        <v>1350</v>
      </c>
      <c r="C392" s="701">
        <f t="shared" ref="C392:D392" si="30">SUM(C393)</f>
        <v>0</v>
      </c>
      <c r="D392" s="701">
        <f t="shared" si="30"/>
        <v>0</v>
      </c>
      <c r="E392" s="1163"/>
      <c r="F392" s="1163"/>
      <c r="G392" s="1243"/>
      <c r="H392" s="1248"/>
      <c r="I392" s="1258"/>
    </row>
    <row r="393" spans="1:9" s="116" customFormat="1" ht="27" customHeight="1" x14ac:dyDescent="0.2">
      <c r="A393" s="837"/>
      <c r="B393" s="763" t="s">
        <v>1351</v>
      </c>
      <c r="C393" s="1163">
        <v>0</v>
      </c>
      <c r="D393" s="1163">
        <v>0</v>
      </c>
      <c r="E393" s="701"/>
      <c r="F393" s="707"/>
      <c r="G393" s="825"/>
      <c r="H393" s="1244"/>
      <c r="I393" s="1255"/>
    </row>
    <row r="394" spans="1:9" s="116" customFormat="1" ht="27" customHeight="1" x14ac:dyDescent="0.2">
      <c r="A394" s="713">
        <v>3639</v>
      </c>
      <c r="B394" s="760" t="s">
        <v>1352</v>
      </c>
      <c r="C394" s="701">
        <f t="shared" ref="C394:D394" si="31">SUM(C395:C396)</f>
        <v>5000</v>
      </c>
      <c r="D394" s="701">
        <f t="shared" si="31"/>
        <v>5000</v>
      </c>
      <c r="E394" s="1163"/>
      <c r="F394" s="1163"/>
      <c r="G394" s="1243"/>
      <c r="H394" s="1248"/>
      <c r="I394" s="1249"/>
    </row>
    <row r="395" spans="1:9" s="116" customFormat="1" ht="27" customHeight="1" x14ac:dyDescent="0.2">
      <c r="A395" s="838" t="s">
        <v>390</v>
      </c>
      <c r="B395" s="1165" t="s">
        <v>1353</v>
      </c>
      <c r="C395" s="1163">
        <v>0</v>
      </c>
      <c r="D395" s="1163">
        <v>0</v>
      </c>
      <c r="E395" s="1163"/>
      <c r="F395" s="1163"/>
      <c r="G395" s="1243"/>
      <c r="H395" s="1248"/>
      <c r="I395" s="1249"/>
    </row>
    <row r="396" spans="1:9" s="116" customFormat="1" ht="27" customHeight="1" x14ac:dyDescent="0.2">
      <c r="A396" s="1166" t="s">
        <v>392</v>
      </c>
      <c r="B396" s="761" t="s">
        <v>1354</v>
      </c>
      <c r="C396" s="1163">
        <v>5000</v>
      </c>
      <c r="D396" s="1163">
        <v>5000</v>
      </c>
      <c r="E396" s="701"/>
      <c r="F396" s="707"/>
      <c r="G396" s="825"/>
      <c r="H396" s="1244"/>
      <c r="I396" s="1255"/>
    </row>
    <row r="397" spans="1:9" s="116" customFormat="1" ht="27" customHeight="1" x14ac:dyDescent="0.2">
      <c r="A397" s="713">
        <v>3699</v>
      </c>
      <c r="B397" s="760" t="s">
        <v>1355</v>
      </c>
      <c r="C397" s="701">
        <f t="shared" ref="C397:D397" si="32">SUM(C398:C399)</f>
        <v>650000</v>
      </c>
      <c r="D397" s="701">
        <f t="shared" si="32"/>
        <v>650000</v>
      </c>
      <c r="E397" s="708"/>
      <c r="F397" s="708"/>
      <c r="G397" s="1243"/>
      <c r="H397" s="1248"/>
      <c r="I397" s="1249"/>
    </row>
    <row r="398" spans="1:9" s="116" customFormat="1" ht="27" customHeight="1" x14ac:dyDescent="0.2">
      <c r="A398" s="839" t="s">
        <v>1731</v>
      </c>
      <c r="B398" s="758" t="s">
        <v>1855</v>
      </c>
      <c r="C398" s="709">
        <v>100000</v>
      </c>
      <c r="D398" s="709">
        <v>100000</v>
      </c>
      <c r="E398" s="701"/>
      <c r="F398" s="707"/>
      <c r="G398" s="825"/>
      <c r="H398" s="1244"/>
      <c r="I398" s="1255"/>
    </row>
    <row r="399" spans="1:9" ht="27" customHeight="1" x14ac:dyDescent="0.2">
      <c r="A399" s="839" t="s">
        <v>395</v>
      </c>
      <c r="B399" s="1182" t="s">
        <v>1860</v>
      </c>
      <c r="C399" s="735">
        <v>550000</v>
      </c>
      <c r="D399" s="735">
        <v>550000</v>
      </c>
      <c r="E399" s="708"/>
      <c r="F399" s="708"/>
      <c r="G399" s="1243"/>
      <c r="H399" s="1248"/>
      <c r="I399" s="1249"/>
    </row>
    <row r="400" spans="1:9" s="116" customFormat="1" ht="27" customHeight="1" x14ac:dyDescent="0.2">
      <c r="A400" s="713">
        <v>3900</v>
      </c>
      <c r="B400" s="760" t="s">
        <v>2085</v>
      </c>
      <c r="C400" s="701">
        <v>0</v>
      </c>
      <c r="D400" s="701">
        <f>D401</f>
        <v>353320</v>
      </c>
      <c r="E400" s="708"/>
      <c r="F400" s="708"/>
      <c r="G400" s="1243"/>
      <c r="H400" s="1248"/>
      <c r="I400" s="1249"/>
    </row>
    <row r="401" spans="1:9" s="116" customFormat="1" ht="27" customHeight="1" x14ac:dyDescent="0.2">
      <c r="A401" s="839" t="s">
        <v>2086</v>
      </c>
      <c r="B401" s="758" t="s">
        <v>2087</v>
      </c>
      <c r="C401" s="709">
        <v>0</v>
      </c>
      <c r="D401" s="709">
        <v>353320</v>
      </c>
      <c r="E401" s="701"/>
      <c r="F401" s="707"/>
      <c r="G401" s="825"/>
      <c r="H401" s="1244"/>
      <c r="I401" s="1255"/>
    </row>
    <row r="402" spans="1:9" ht="27" customHeight="1" thickBot="1" x14ac:dyDescent="0.25">
      <c r="A402" s="1183"/>
      <c r="B402" s="758"/>
      <c r="C402" s="709"/>
      <c r="D402" s="709"/>
      <c r="E402" s="708"/>
      <c r="F402" s="708"/>
      <c r="G402" s="1243"/>
      <c r="H402" s="1248"/>
      <c r="I402" s="1249"/>
    </row>
    <row r="403" spans="1:9" ht="27" customHeight="1" thickBot="1" x14ac:dyDescent="0.35">
      <c r="A403" s="1167"/>
      <c r="B403" s="1168" t="s">
        <v>1044</v>
      </c>
      <c r="C403" s="1169">
        <f>C404+C418+C481+C508+C523+C536+C543+C556+C607+C632</f>
        <v>268131950</v>
      </c>
      <c r="D403" s="1169">
        <f>D404+D418+D481+D508+D523+D536+D543+D556+D607+D632</f>
        <v>267381950</v>
      </c>
      <c r="E403" s="1295"/>
      <c r="F403" s="1296"/>
      <c r="G403" s="1284"/>
      <c r="H403" s="1284"/>
      <c r="I403" s="1297"/>
    </row>
    <row r="404" spans="1:9" s="116" customFormat="1" ht="27" customHeight="1" thickBot="1" x14ac:dyDescent="0.3">
      <c r="A404" s="1139"/>
      <c r="B404" s="1140" t="s">
        <v>398</v>
      </c>
      <c r="C404" s="931">
        <f t="shared" ref="C404:D404" si="33">SUM(C405+C410)</f>
        <v>7770000</v>
      </c>
      <c r="D404" s="931">
        <f t="shared" si="33"/>
        <v>9470000</v>
      </c>
      <c r="E404" s="931"/>
      <c r="F404" s="1298"/>
      <c r="G404" s="1237"/>
      <c r="H404" s="1237"/>
      <c r="I404" s="1253"/>
    </row>
    <row r="405" spans="1:9" s="116" customFormat="1" ht="27" customHeight="1" x14ac:dyDescent="0.2">
      <c r="A405" s="1409">
        <v>2310</v>
      </c>
      <c r="B405" s="1410" t="s">
        <v>1356</v>
      </c>
      <c r="C405" s="919">
        <f>SUM(C406:C409)</f>
        <v>505000</v>
      </c>
      <c r="D405" s="919">
        <f>SUM(D406:D409)</f>
        <v>2205000</v>
      </c>
      <c r="E405" s="1299"/>
      <c r="F405" s="1300"/>
      <c r="G405" s="825"/>
      <c r="H405" s="1244"/>
      <c r="I405" s="1255"/>
    </row>
    <row r="406" spans="1:9" ht="27" customHeight="1" x14ac:dyDescent="0.2">
      <c r="A406" s="1054" t="s">
        <v>263</v>
      </c>
      <c r="B406" s="967" t="s">
        <v>2021</v>
      </c>
      <c r="C406" s="1150">
        <v>0</v>
      </c>
      <c r="D406" s="1150">
        <f>200000+40000</f>
        <v>240000</v>
      </c>
      <c r="E406" s="1163"/>
      <c r="F406" s="1163"/>
      <c r="G406" s="1243"/>
      <c r="H406" s="1248"/>
      <c r="I406" s="1249"/>
    </row>
    <row r="407" spans="1:9" ht="27" customHeight="1" x14ac:dyDescent="0.2">
      <c r="A407" s="1054" t="s">
        <v>1487</v>
      </c>
      <c r="B407" s="967" t="s">
        <v>2022</v>
      </c>
      <c r="C407" s="1150">
        <v>0</v>
      </c>
      <c r="D407" s="1150">
        <f>1500000-40000</f>
        <v>1460000</v>
      </c>
      <c r="E407" s="1163"/>
      <c r="F407" s="1163"/>
      <c r="G407" s="1243"/>
      <c r="H407" s="1248"/>
      <c r="I407" s="1249"/>
    </row>
    <row r="408" spans="1:9" s="107" customFormat="1" ht="27" customHeight="1" x14ac:dyDescent="0.2">
      <c r="A408" s="1411" t="s">
        <v>404</v>
      </c>
      <c r="B408" s="1412" t="s">
        <v>1757</v>
      </c>
      <c r="C408" s="744">
        <v>5000</v>
      </c>
      <c r="D408" s="744">
        <v>5000</v>
      </c>
      <c r="E408" s="744"/>
      <c r="F408" s="744"/>
      <c r="G408" s="1243"/>
      <c r="H408" s="1248"/>
      <c r="I408" s="1249"/>
    </row>
    <row r="409" spans="1:9" s="107" customFormat="1" ht="27" customHeight="1" x14ac:dyDescent="0.2">
      <c r="A409" s="926" t="s">
        <v>1264</v>
      </c>
      <c r="B409" s="1412" t="s">
        <v>1758</v>
      </c>
      <c r="C409" s="744">
        <v>500000</v>
      </c>
      <c r="D409" s="744">
        <v>500000</v>
      </c>
      <c r="E409" s="744"/>
      <c r="F409" s="744"/>
      <c r="G409" s="1243"/>
      <c r="H409" s="1248"/>
      <c r="I409" s="1249"/>
    </row>
    <row r="410" spans="1:9" s="107" customFormat="1" ht="27" customHeight="1" x14ac:dyDescent="0.2">
      <c r="A410" s="1407">
        <v>2321</v>
      </c>
      <c r="B410" s="1408" t="s">
        <v>1357</v>
      </c>
      <c r="C410" s="920">
        <f t="shared" ref="C410:D410" si="34">SUM(C411:C417)</f>
        <v>7265000</v>
      </c>
      <c r="D410" s="920">
        <f t="shared" si="34"/>
        <v>7265000</v>
      </c>
      <c r="E410" s="920"/>
      <c r="F410" s="1301"/>
      <c r="G410" s="825"/>
      <c r="H410" s="1244"/>
      <c r="I410" s="1255"/>
    </row>
    <row r="411" spans="1:9" s="107" customFormat="1" ht="27" customHeight="1" x14ac:dyDescent="0.2">
      <c r="A411" s="1411" t="s">
        <v>1045</v>
      </c>
      <c r="B411" s="1412" t="s">
        <v>1666</v>
      </c>
      <c r="C411" s="744">
        <v>5000</v>
      </c>
      <c r="D411" s="744">
        <v>5000</v>
      </c>
      <c r="E411" s="744"/>
      <c r="F411" s="744"/>
      <c r="G411" s="1243"/>
      <c r="H411" s="1248"/>
      <c r="I411" s="1249"/>
    </row>
    <row r="412" spans="1:9" s="107" customFormat="1" ht="27" customHeight="1" x14ac:dyDescent="0.2">
      <c r="A412" s="1411" t="s">
        <v>1265</v>
      </c>
      <c r="B412" s="1412" t="s">
        <v>1759</v>
      </c>
      <c r="C412" s="744">
        <v>750000</v>
      </c>
      <c r="D412" s="744">
        <v>750000</v>
      </c>
      <c r="E412" s="744"/>
      <c r="F412" s="744"/>
      <c r="G412" s="1243"/>
      <c r="H412" s="1248"/>
      <c r="I412" s="1249"/>
    </row>
    <row r="413" spans="1:9" s="107" customFormat="1" ht="27" customHeight="1" x14ac:dyDescent="0.2">
      <c r="A413" s="926" t="s">
        <v>1266</v>
      </c>
      <c r="B413" s="1412" t="s">
        <v>1760</v>
      </c>
      <c r="C413" s="744">
        <v>500000</v>
      </c>
      <c r="D413" s="744">
        <v>500000</v>
      </c>
      <c r="E413" s="744"/>
      <c r="F413" s="744"/>
      <c r="G413" s="1243"/>
      <c r="H413" s="1248"/>
      <c r="I413" s="1249"/>
    </row>
    <row r="414" spans="1:9" s="107" customFormat="1" ht="27" customHeight="1" x14ac:dyDescent="0.2">
      <c r="A414" s="1411" t="s">
        <v>1267</v>
      </c>
      <c r="B414" s="1412" t="s">
        <v>1667</v>
      </c>
      <c r="C414" s="744">
        <v>500000</v>
      </c>
      <c r="D414" s="744">
        <f>500000-300</f>
        <v>499700</v>
      </c>
      <c r="E414" s="744"/>
      <c r="F414" s="744"/>
      <c r="G414" s="1243"/>
      <c r="H414" s="1248"/>
      <c r="I414" s="1249"/>
    </row>
    <row r="415" spans="1:9" s="107" customFormat="1" ht="27" customHeight="1" x14ac:dyDescent="0.2">
      <c r="A415" s="1411" t="s">
        <v>413</v>
      </c>
      <c r="B415" s="1412" t="s">
        <v>414</v>
      </c>
      <c r="C415" s="744">
        <v>5000000</v>
      </c>
      <c r="D415" s="744">
        <v>5000000</v>
      </c>
      <c r="E415" s="744"/>
      <c r="F415" s="744"/>
      <c r="G415" s="1243"/>
      <c r="H415" s="1248"/>
      <c r="I415" s="1249"/>
    </row>
    <row r="416" spans="1:9" s="107" customFormat="1" ht="27" customHeight="1" x14ac:dyDescent="0.2">
      <c r="A416" s="1411" t="s">
        <v>415</v>
      </c>
      <c r="B416" s="1412" t="s">
        <v>1255</v>
      </c>
      <c r="C416" s="744">
        <v>450000</v>
      </c>
      <c r="D416" s="744">
        <v>450000</v>
      </c>
      <c r="E416" s="744"/>
      <c r="F416" s="744"/>
      <c r="G416" s="1243"/>
      <c r="H416" s="1248"/>
      <c r="I416" s="1249"/>
    </row>
    <row r="417" spans="1:9" s="12" customFormat="1" ht="27" customHeight="1" thickBot="1" x14ac:dyDescent="0.25">
      <c r="A417" s="1413" t="s">
        <v>417</v>
      </c>
      <c r="B417" s="1414" t="s">
        <v>1761</v>
      </c>
      <c r="C417" s="1143">
        <v>60000</v>
      </c>
      <c r="D417" s="1143">
        <f>60000+300</f>
        <v>60300</v>
      </c>
      <c r="E417" s="751"/>
      <c r="F417" s="751"/>
      <c r="G417" s="1243"/>
      <c r="H417" s="1248"/>
      <c r="I417" s="1249"/>
    </row>
    <row r="418" spans="1:9" s="12" customFormat="1" ht="27" customHeight="1" thickBot="1" x14ac:dyDescent="0.3">
      <c r="A418" s="891"/>
      <c r="B418" s="793" t="s">
        <v>424</v>
      </c>
      <c r="C418" s="949">
        <f>SUM(C419+C440+C477)</f>
        <v>65784950</v>
      </c>
      <c r="D418" s="949">
        <f>SUM(D419+D440+D477)</f>
        <v>70684950</v>
      </c>
      <c r="E418" s="931"/>
      <c r="F418" s="1298"/>
      <c r="G418" s="1237"/>
      <c r="H418" s="1237"/>
      <c r="I418" s="1253"/>
    </row>
    <row r="419" spans="1:9" s="12" customFormat="1" ht="27" customHeight="1" x14ac:dyDescent="0.2">
      <c r="A419" s="1409">
        <v>2212</v>
      </c>
      <c r="B419" s="1410" t="s">
        <v>1358</v>
      </c>
      <c r="C419" s="919">
        <f t="shared" ref="C419:D419" si="35">SUM(C420:C439)</f>
        <v>29190000</v>
      </c>
      <c r="D419" s="919">
        <f t="shared" si="35"/>
        <v>35690000</v>
      </c>
      <c r="E419" s="919"/>
      <c r="F419" s="1302"/>
      <c r="G419" s="825"/>
      <c r="H419" s="1244"/>
      <c r="I419" s="1255"/>
    </row>
    <row r="420" spans="1:9" s="12" customFormat="1" ht="27" customHeight="1" x14ac:dyDescent="0.2">
      <c r="A420" s="1411" t="s">
        <v>293</v>
      </c>
      <c r="B420" s="1412" t="s">
        <v>426</v>
      </c>
      <c r="C420" s="744">
        <v>300000</v>
      </c>
      <c r="D420" s="744">
        <f>300000-160000</f>
        <v>140000</v>
      </c>
      <c r="E420" s="744"/>
      <c r="F420" s="744"/>
      <c r="G420" s="1243"/>
      <c r="H420" s="1248"/>
      <c r="I420" s="1249"/>
    </row>
    <row r="421" spans="1:9" s="12" customFormat="1" ht="27" customHeight="1" x14ac:dyDescent="0.2">
      <c r="A421" s="1411" t="s">
        <v>291</v>
      </c>
      <c r="B421" s="1412" t="s">
        <v>427</v>
      </c>
      <c r="C421" s="744">
        <v>4000000</v>
      </c>
      <c r="D421" s="744">
        <v>4000000</v>
      </c>
      <c r="E421" s="744"/>
      <c r="F421" s="744"/>
      <c r="G421" s="1243"/>
      <c r="H421" s="1248"/>
      <c r="I421" s="1249"/>
    </row>
    <row r="422" spans="1:9" s="12" customFormat="1" ht="27" customHeight="1" x14ac:dyDescent="0.2">
      <c r="A422" s="1411" t="s">
        <v>293</v>
      </c>
      <c r="B422" s="1412" t="s">
        <v>1762</v>
      </c>
      <c r="C422" s="744">
        <v>1500000</v>
      </c>
      <c r="D422" s="744">
        <f>1500000-1100000-400000</f>
        <v>0</v>
      </c>
      <c r="E422" s="744"/>
      <c r="F422" s="744"/>
      <c r="G422" s="1243"/>
      <c r="H422" s="1248"/>
      <c r="I422" s="1249"/>
    </row>
    <row r="423" spans="1:9" s="12" customFormat="1" ht="27" customHeight="1" x14ac:dyDescent="0.2">
      <c r="A423" s="1411" t="s">
        <v>1719</v>
      </c>
      <c r="B423" s="1412" t="s">
        <v>1695</v>
      </c>
      <c r="C423" s="744">
        <v>750000</v>
      </c>
      <c r="D423" s="744">
        <v>750000</v>
      </c>
      <c r="E423" s="744"/>
      <c r="F423" s="744"/>
      <c r="G423" s="1243"/>
      <c r="H423" s="1248"/>
      <c r="I423" s="1249"/>
    </row>
    <row r="424" spans="1:9" s="12" customFormat="1" ht="27" customHeight="1" x14ac:dyDescent="0.2">
      <c r="A424" s="1411" t="s">
        <v>440</v>
      </c>
      <c r="B424" s="1412" t="s">
        <v>1763</v>
      </c>
      <c r="C424" s="744">
        <v>5000</v>
      </c>
      <c r="D424" s="744">
        <v>5000</v>
      </c>
      <c r="E424" s="744"/>
      <c r="F424" s="744"/>
      <c r="G424" s="1243"/>
      <c r="H424" s="1248"/>
      <c r="I424" s="1249"/>
    </row>
    <row r="425" spans="1:9" s="12" customFormat="1" ht="27" customHeight="1" x14ac:dyDescent="0.2">
      <c r="A425" s="1411" t="s">
        <v>442</v>
      </c>
      <c r="B425" s="1405" t="s">
        <v>1764</v>
      </c>
      <c r="C425" s="744">
        <v>5000</v>
      </c>
      <c r="D425" s="744">
        <v>5000</v>
      </c>
      <c r="E425" s="744"/>
      <c r="F425" s="744"/>
      <c r="G425" s="1243"/>
      <c r="H425" s="1248"/>
      <c r="I425" s="1249"/>
    </row>
    <row r="426" spans="1:9" s="12" customFormat="1" ht="27" customHeight="1" x14ac:dyDescent="0.2">
      <c r="A426" s="1411" t="s">
        <v>444</v>
      </c>
      <c r="B426" s="1412" t="s">
        <v>1510</v>
      </c>
      <c r="C426" s="744">
        <v>0</v>
      </c>
      <c r="D426" s="744">
        <v>0</v>
      </c>
      <c r="E426" s="744"/>
      <c r="F426" s="744"/>
      <c r="G426" s="1243"/>
      <c r="H426" s="1248"/>
      <c r="I426" s="1249"/>
    </row>
    <row r="427" spans="1:9" s="12" customFormat="1" ht="27" customHeight="1" x14ac:dyDescent="0.2">
      <c r="A427" s="1411" t="s">
        <v>1046</v>
      </c>
      <c r="B427" s="1412" t="s">
        <v>1161</v>
      </c>
      <c r="C427" s="744">
        <v>1150000</v>
      </c>
      <c r="D427" s="744">
        <v>1150000</v>
      </c>
      <c r="E427" s="744"/>
      <c r="F427" s="744"/>
      <c r="G427" s="1243"/>
      <c r="H427" s="1248"/>
      <c r="I427" s="1249"/>
    </row>
    <row r="428" spans="1:9" s="12" customFormat="1" ht="27" customHeight="1" x14ac:dyDescent="0.2">
      <c r="A428" s="1411" t="s">
        <v>449</v>
      </c>
      <c r="B428" s="1412" t="s">
        <v>1511</v>
      </c>
      <c r="C428" s="744">
        <v>13000000</v>
      </c>
      <c r="D428" s="744">
        <f>13000000+8000000</f>
        <v>21000000</v>
      </c>
      <c r="E428" s="744"/>
      <c r="F428" s="744"/>
      <c r="G428" s="1243"/>
      <c r="H428" s="1248"/>
      <c r="I428" s="1249"/>
    </row>
    <row r="429" spans="1:9" s="12" customFormat="1" ht="27" customHeight="1" x14ac:dyDescent="0.2">
      <c r="A429" s="1411" t="s">
        <v>1047</v>
      </c>
      <c r="B429" s="1412" t="s">
        <v>1668</v>
      </c>
      <c r="C429" s="744">
        <v>30000</v>
      </c>
      <c r="D429" s="744">
        <f>30000+160000</f>
        <v>190000</v>
      </c>
      <c r="E429" s="744"/>
      <c r="F429" s="744"/>
      <c r="G429" s="1243"/>
      <c r="H429" s="1248"/>
      <c r="I429" s="1249"/>
    </row>
    <row r="430" spans="1:9" s="12" customFormat="1" ht="27" customHeight="1" x14ac:dyDescent="0.2">
      <c r="A430" s="1411" t="s">
        <v>1512</v>
      </c>
      <c r="B430" s="1412" t="s">
        <v>1669</v>
      </c>
      <c r="C430" s="744">
        <v>350000</v>
      </c>
      <c r="D430" s="744">
        <v>350000</v>
      </c>
      <c r="E430" s="744"/>
      <c r="F430" s="744"/>
      <c r="G430" s="1243"/>
      <c r="H430" s="1248"/>
      <c r="I430" s="1249"/>
    </row>
    <row r="431" spans="1:9" s="12" customFormat="1" ht="27" customHeight="1" x14ac:dyDescent="0.2">
      <c r="A431" s="1411" t="s">
        <v>453</v>
      </c>
      <c r="B431" s="1412" t="s">
        <v>1310</v>
      </c>
      <c r="C431" s="744">
        <v>200000</v>
      </c>
      <c r="D431" s="744">
        <v>200000</v>
      </c>
      <c r="E431" s="744"/>
      <c r="F431" s="744"/>
      <c r="G431" s="1243"/>
      <c r="H431" s="1248"/>
      <c r="I431" s="1249"/>
    </row>
    <row r="432" spans="1:9" s="12" customFormat="1" ht="27" customHeight="1" x14ac:dyDescent="0.2">
      <c r="A432" s="1411" t="s">
        <v>1670</v>
      </c>
      <c r="B432" s="1412" t="s">
        <v>1671</v>
      </c>
      <c r="C432" s="744">
        <v>500000</v>
      </c>
      <c r="D432" s="744">
        <v>500000</v>
      </c>
      <c r="E432" s="744"/>
      <c r="F432" s="744"/>
      <c r="G432" s="1243"/>
      <c r="H432" s="1248"/>
      <c r="I432" s="1249"/>
    </row>
    <row r="433" spans="1:9" s="12" customFormat="1" ht="27" customHeight="1" x14ac:dyDescent="0.2">
      <c r="A433" s="1411" t="s">
        <v>455</v>
      </c>
      <c r="B433" s="1412" t="s">
        <v>1513</v>
      </c>
      <c r="C433" s="744">
        <v>0</v>
      </c>
      <c r="D433" s="744">
        <v>0</v>
      </c>
      <c r="E433" s="744"/>
      <c r="F433" s="744"/>
      <c r="G433" s="1243"/>
      <c r="H433" s="1248"/>
      <c r="I433" s="1249"/>
    </row>
    <row r="434" spans="1:9" s="12" customFormat="1" ht="27" customHeight="1" x14ac:dyDescent="0.2">
      <c r="A434" s="1411" t="s">
        <v>1652</v>
      </c>
      <c r="B434" s="1412" t="s">
        <v>1653</v>
      </c>
      <c r="C434" s="744">
        <v>350000</v>
      </c>
      <c r="D434" s="744">
        <v>350000</v>
      </c>
      <c r="E434" s="920"/>
      <c r="F434" s="1301"/>
      <c r="G434" s="825"/>
      <c r="H434" s="1244"/>
      <c r="I434" s="1255"/>
    </row>
    <row r="435" spans="1:9" s="12" customFormat="1" ht="27" customHeight="1" x14ac:dyDescent="0.2">
      <c r="A435" s="1411" t="s">
        <v>1268</v>
      </c>
      <c r="B435" s="1412" t="s">
        <v>1514</v>
      </c>
      <c r="C435" s="744">
        <v>3000000</v>
      </c>
      <c r="D435" s="744">
        <f>3000000-400000</f>
        <v>2600000</v>
      </c>
      <c r="E435" s="744"/>
      <c r="F435" s="744"/>
      <c r="G435" s="1243"/>
      <c r="H435" s="1248"/>
      <c r="I435" s="1249"/>
    </row>
    <row r="436" spans="1:9" s="12" customFormat="1" ht="27" customHeight="1" x14ac:dyDescent="0.2">
      <c r="A436" s="1411" t="s">
        <v>1269</v>
      </c>
      <c r="B436" s="1412" t="s">
        <v>1162</v>
      </c>
      <c r="C436" s="744">
        <v>350000</v>
      </c>
      <c r="D436" s="744">
        <v>350000</v>
      </c>
      <c r="E436" s="744"/>
      <c r="F436" s="744"/>
      <c r="G436" s="1243"/>
      <c r="H436" s="1248"/>
      <c r="I436" s="1249"/>
    </row>
    <row r="437" spans="1:9" s="12" customFormat="1" ht="27" customHeight="1" x14ac:dyDescent="0.2">
      <c r="A437" s="1411" t="s">
        <v>1270</v>
      </c>
      <c r="B437" s="1412" t="s">
        <v>1765</v>
      </c>
      <c r="C437" s="744">
        <v>3250000</v>
      </c>
      <c r="D437" s="744">
        <f>3250000+400000</f>
        <v>3650000</v>
      </c>
      <c r="E437" s="744"/>
      <c r="F437" s="744"/>
      <c r="G437" s="1243"/>
      <c r="H437" s="1248"/>
      <c r="I437" s="1249"/>
    </row>
    <row r="438" spans="1:9" s="12" customFormat="1" ht="27" customHeight="1" x14ac:dyDescent="0.2">
      <c r="A438" s="1411" t="s">
        <v>1614</v>
      </c>
      <c r="B438" s="1412" t="s">
        <v>1720</v>
      </c>
      <c r="C438" s="744">
        <v>250000</v>
      </c>
      <c r="D438" s="744">
        <v>250000</v>
      </c>
      <c r="E438" s="744"/>
      <c r="F438" s="744"/>
      <c r="G438" s="1243"/>
      <c r="H438" s="1248"/>
      <c r="I438" s="1249"/>
    </row>
    <row r="439" spans="1:9" s="12" customFormat="1" ht="27" customHeight="1" x14ac:dyDescent="0.2">
      <c r="A439" s="1411" t="s">
        <v>1615</v>
      </c>
      <c r="B439" s="1412" t="s">
        <v>1591</v>
      </c>
      <c r="C439" s="744">
        <v>200000</v>
      </c>
      <c r="D439" s="744">
        <v>200000</v>
      </c>
      <c r="E439" s="744"/>
      <c r="F439" s="744"/>
      <c r="G439" s="1243"/>
      <c r="H439" s="1248"/>
      <c r="I439" s="1249"/>
    </row>
    <row r="440" spans="1:9" s="12" customFormat="1" ht="27" customHeight="1" x14ac:dyDescent="0.2">
      <c r="A440" s="1407">
        <v>2219</v>
      </c>
      <c r="B440" s="1408" t="s">
        <v>1359</v>
      </c>
      <c r="C440" s="920">
        <f>SUM(C441:C476)</f>
        <v>34448950</v>
      </c>
      <c r="D440" s="920">
        <f>SUM(D441:D476)</f>
        <v>32848950</v>
      </c>
      <c r="E440" s="744"/>
      <c r="F440" s="744"/>
      <c r="G440" s="1243"/>
      <c r="H440" s="1248"/>
      <c r="I440" s="1249"/>
    </row>
    <row r="441" spans="1:9" s="12" customFormat="1" ht="27" customHeight="1" x14ac:dyDescent="0.2">
      <c r="A441" s="1411" t="s">
        <v>299</v>
      </c>
      <c r="B441" s="1412" t="s">
        <v>463</v>
      </c>
      <c r="C441" s="744">
        <v>200000</v>
      </c>
      <c r="D441" s="744">
        <v>200000</v>
      </c>
      <c r="E441" s="744"/>
      <c r="F441" s="744"/>
      <c r="G441" s="1243"/>
      <c r="H441" s="1248"/>
      <c r="I441" s="1249"/>
    </row>
    <row r="442" spans="1:9" s="12" customFormat="1" ht="27" customHeight="1" x14ac:dyDescent="0.2">
      <c r="A442" s="1411" t="s">
        <v>301</v>
      </c>
      <c r="B442" s="1412" t="s">
        <v>464</v>
      </c>
      <c r="C442" s="744">
        <v>1500000</v>
      </c>
      <c r="D442" s="744">
        <v>1500000</v>
      </c>
      <c r="E442" s="744"/>
      <c r="F442" s="744"/>
      <c r="G442" s="1243"/>
      <c r="H442" s="1248"/>
      <c r="I442" s="1249"/>
    </row>
    <row r="443" spans="1:9" s="12" customFormat="1" ht="27" customHeight="1" x14ac:dyDescent="0.2">
      <c r="A443" s="1411" t="s">
        <v>467</v>
      </c>
      <c r="B443" s="1412" t="s">
        <v>1721</v>
      </c>
      <c r="C443" s="744">
        <v>2000000</v>
      </c>
      <c r="D443" s="744">
        <f>2000000+481000</f>
        <v>2481000</v>
      </c>
      <c r="E443" s="744"/>
      <c r="F443" s="744"/>
      <c r="G443" s="1243"/>
      <c r="H443" s="1248"/>
      <c r="I443" s="1249"/>
    </row>
    <row r="444" spans="1:9" s="12" customFormat="1" ht="27" customHeight="1" x14ac:dyDescent="0.2">
      <c r="A444" s="1411" t="s">
        <v>471</v>
      </c>
      <c r="B444" s="1412" t="s">
        <v>1722</v>
      </c>
      <c r="C444" s="744">
        <v>500000</v>
      </c>
      <c r="D444" s="744">
        <v>500000</v>
      </c>
      <c r="E444" s="744"/>
      <c r="F444" s="744"/>
      <c r="G444" s="1243"/>
      <c r="H444" s="1248"/>
      <c r="I444" s="1249"/>
    </row>
    <row r="445" spans="1:9" s="12" customFormat="1" ht="27" customHeight="1" x14ac:dyDescent="0.2">
      <c r="A445" s="1411" t="s">
        <v>1592</v>
      </c>
      <c r="B445" s="1405" t="s">
        <v>1723</v>
      </c>
      <c r="C445" s="744">
        <v>2200000</v>
      </c>
      <c r="D445" s="744">
        <f>2200000-500000</f>
        <v>1700000</v>
      </c>
      <c r="E445" s="744"/>
      <c r="F445" s="744"/>
      <c r="G445" s="1243"/>
      <c r="H445" s="1248"/>
      <c r="I445" s="1249"/>
    </row>
    <row r="446" spans="1:9" s="12" customFormat="1" ht="27" customHeight="1" x14ac:dyDescent="0.2">
      <c r="A446" s="926" t="s">
        <v>473</v>
      </c>
      <c r="B446" s="1405" t="s">
        <v>1766</v>
      </c>
      <c r="C446" s="744">
        <v>5000</v>
      </c>
      <c r="D446" s="744">
        <v>5000</v>
      </c>
      <c r="E446" s="744"/>
      <c r="F446" s="744"/>
      <c r="G446" s="1243"/>
      <c r="H446" s="1248"/>
      <c r="I446" s="1249"/>
    </row>
    <row r="447" spans="1:9" s="12" customFormat="1" ht="27" customHeight="1" x14ac:dyDescent="0.2">
      <c r="A447" s="1411" t="s">
        <v>489</v>
      </c>
      <c r="B447" s="1412" t="s">
        <v>1724</v>
      </c>
      <c r="C447" s="744">
        <v>0</v>
      </c>
      <c r="D447" s="744">
        <v>0</v>
      </c>
      <c r="E447" s="744"/>
      <c r="F447" s="744"/>
      <c r="G447" s="1243"/>
      <c r="H447" s="1248"/>
      <c r="I447" s="1249"/>
    </row>
    <row r="448" spans="1:9" s="12" customFormat="1" ht="27" customHeight="1" x14ac:dyDescent="0.2">
      <c r="A448" s="1411" t="s">
        <v>495</v>
      </c>
      <c r="B448" s="1405" t="s">
        <v>1515</v>
      </c>
      <c r="C448" s="744">
        <v>2800000</v>
      </c>
      <c r="D448" s="744">
        <f>2800000-500000-12000</f>
        <v>2288000</v>
      </c>
      <c r="E448" s="744"/>
      <c r="F448" s="744"/>
      <c r="G448" s="1243"/>
      <c r="H448" s="1248"/>
      <c r="I448" s="1249"/>
    </row>
    <row r="449" spans="1:9" s="12" customFormat="1" ht="27" customHeight="1" x14ac:dyDescent="0.2">
      <c r="A449" s="1411" t="s">
        <v>1163</v>
      </c>
      <c r="B449" s="1405" t="s">
        <v>1516</v>
      </c>
      <c r="C449" s="744">
        <v>5050000</v>
      </c>
      <c r="D449" s="744">
        <f>5050000-500000</f>
        <v>4550000</v>
      </c>
      <c r="E449" s="744"/>
      <c r="F449" s="744"/>
      <c r="G449" s="1243"/>
      <c r="H449" s="1248"/>
      <c r="I449" s="1249"/>
    </row>
    <row r="450" spans="1:9" s="12" customFormat="1" ht="27" customHeight="1" x14ac:dyDescent="0.2">
      <c r="A450" s="926" t="s">
        <v>1048</v>
      </c>
      <c r="B450" s="1405" t="s">
        <v>1517</v>
      </c>
      <c r="C450" s="744">
        <v>200000</v>
      </c>
      <c r="D450" s="744">
        <v>200000</v>
      </c>
      <c r="E450" s="744"/>
      <c r="F450" s="744"/>
      <c r="G450" s="1243"/>
      <c r="H450" s="1248"/>
      <c r="I450" s="1249"/>
    </row>
    <row r="451" spans="1:9" s="12" customFormat="1" ht="27" customHeight="1" x14ac:dyDescent="0.2">
      <c r="A451" s="926" t="s">
        <v>1049</v>
      </c>
      <c r="B451" s="1405" t="s">
        <v>1518</v>
      </c>
      <c r="C451" s="744">
        <v>0</v>
      </c>
      <c r="D451" s="744">
        <v>0</v>
      </c>
      <c r="E451" s="744"/>
      <c r="F451" s="744"/>
      <c r="G451" s="1243"/>
      <c r="H451" s="1248"/>
      <c r="I451" s="1249"/>
    </row>
    <row r="452" spans="1:9" s="12" customFormat="1" ht="27" customHeight="1" x14ac:dyDescent="0.2">
      <c r="A452" s="926" t="s">
        <v>1050</v>
      </c>
      <c r="B452" s="1405" t="s">
        <v>1519</v>
      </c>
      <c r="C452" s="744">
        <v>0</v>
      </c>
      <c r="D452" s="744">
        <v>0</v>
      </c>
      <c r="E452" s="744"/>
      <c r="F452" s="744"/>
      <c r="G452" s="1243"/>
      <c r="H452" s="1248"/>
      <c r="I452" s="1249"/>
    </row>
    <row r="453" spans="1:9" s="12" customFormat="1" ht="27" customHeight="1" x14ac:dyDescent="0.2">
      <c r="A453" s="926" t="s">
        <v>1051</v>
      </c>
      <c r="B453" s="1405" t="s">
        <v>1520</v>
      </c>
      <c r="C453" s="744">
        <v>0</v>
      </c>
      <c r="D453" s="744">
        <v>0</v>
      </c>
      <c r="E453" s="744"/>
      <c r="F453" s="744"/>
      <c r="G453" s="1243"/>
      <c r="H453" s="1248"/>
      <c r="I453" s="1249"/>
    </row>
    <row r="454" spans="1:9" s="12" customFormat="1" ht="27" customHeight="1" x14ac:dyDescent="0.2">
      <c r="A454" s="926" t="s">
        <v>1052</v>
      </c>
      <c r="B454" s="1405" t="s">
        <v>1521</v>
      </c>
      <c r="C454" s="744">
        <v>0</v>
      </c>
      <c r="D454" s="744">
        <v>0</v>
      </c>
      <c r="E454" s="744"/>
      <c r="F454" s="744"/>
      <c r="G454" s="1243"/>
      <c r="H454" s="1248"/>
      <c r="I454" s="1249"/>
    </row>
    <row r="455" spans="1:9" s="12" customFormat="1" ht="27" customHeight="1" x14ac:dyDescent="0.2">
      <c r="A455" s="926" t="s">
        <v>1164</v>
      </c>
      <c r="B455" s="1405" t="s">
        <v>1522</v>
      </c>
      <c r="C455" s="744">
        <v>0</v>
      </c>
      <c r="D455" s="744">
        <v>0</v>
      </c>
      <c r="E455" s="744"/>
      <c r="F455" s="744"/>
      <c r="G455" s="1243"/>
      <c r="H455" s="1248"/>
      <c r="I455" s="1249"/>
    </row>
    <row r="456" spans="1:9" s="12" customFormat="1" ht="27" customHeight="1" x14ac:dyDescent="0.2">
      <c r="A456" s="926" t="s">
        <v>1165</v>
      </c>
      <c r="B456" s="1405" t="s">
        <v>1523</v>
      </c>
      <c r="C456" s="744">
        <v>2000000</v>
      </c>
      <c r="D456" s="744">
        <f>2000000-1055000+1255000</f>
        <v>2200000</v>
      </c>
      <c r="E456" s="744"/>
      <c r="F456" s="744"/>
      <c r="G456" s="1243"/>
      <c r="H456" s="1248"/>
      <c r="I456" s="1249"/>
    </row>
    <row r="457" spans="1:9" s="12" customFormat="1" ht="27" customHeight="1" x14ac:dyDescent="0.2">
      <c r="A457" s="926" t="s">
        <v>1166</v>
      </c>
      <c r="B457" s="1405" t="s">
        <v>1256</v>
      </c>
      <c r="C457" s="744">
        <v>0</v>
      </c>
      <c r="D457" s="744">
        <v>0</v>
      </c>
      <c r="E457" s="744"/>
      <c r="F457" s="744"/>
      <c r="G457" s="1243"/>
      <c r="H457" s="1248"/>
      <c r="I457" s="1249"/>
    </row>
    <row r="458" spans="1:9" s="12" customFormat="1" ht="27" customHeight="1" x14ac:dyDescent="0.2">
      <c r="A458" s="926" t="s">
        <v>1167</v>
      </c>
      <c r="B458" s="1405" t="s">
        <v>1725</v>
      </c>
      <c r="C458" s="744">
        <v>50000</v>
      </c>
      <c r="D458" s="744">
        <v>50000</v>
      </c>
      <c r="E458" s="744"/>
      <c r="F458" s="744"/>
      <c r="G458" s="1243"/>
      <c r="H458" s="1248"/>
      <c r="I458" s="1249"/>
    </row>
    <row r="459" spans="1:9" s="12" customFormat="1" ht="27" customHeight="1" x14ac:dyDescent="0.2">
      <c r="A459" s="926" t="s">
        <v>1271</v>
      </c>
      <c r="B459" s="1405" t="s">
        <v>1767</v>
      </c>
      <c r="C459" s="744">
        <v>60000</v>
      </c>
      <c r="D459" s="744">
        <f>60000+11390</f>
        <v>71390</v>
      </c>
      <c r="E459" s="744"/>
      <c r="F459" s="744"/>
      <c r="G459" s="1243"/>
      <c r="H459" s="1248"/>
      <c r="I459" s="1249"/>
    </row>
    <row r="460" spans="1:9" s="12" customFormat="1" ht="27" customHeight="1" x14ac:dyDescent="0.2">
      <c r="A460" s="926" t="s">
        <v>1272</v>
      </c>
      <c r="B460" s="1405" t="s">
        <v>1257</v>
      </c>
      <c r="C460" s="744">
        <v>330000</v>
      </c>
      <c r="D460" s="744">
        <v>330000</v>
      </c>
      <c r="E460" s="744"/>
      <c r="F460" s="744"/>
      <c r="G460" s="1243"/>
      <c r="H460" s="1248"/>
      <c r="I460" s="1249"/>
    </row>
    <row r="461" spans="1:9" s="12" customFormat="1" ht="27" customHeight="1" x14ac:dyDescent="0.2">
      <c r="A461" s="926" t="s">
        <v>1273</v>
      </c>
      <c r="B461" s="1405" t="s">
        <v>1258</v>
      </c>
      <c r="C461" s="744">
        <v>370000</v>
      </c>
      <c r="D461" s="744">
        <v>370000</v>
      </c>
      <c r="E461" s="744"/>
      <c r="F461" s="744"/>
      <c r="G461" s="1243"/>
      <c r="H461" s="1248"/>
      <c r="I461" s="1249"/>
    </row>
    <row r="462" spans="1:9" s="12" customFormat="1" ht="27" customHeight="1" x14ac:dyDescent="0.2">
      <c r="A462" s="926" t="s">
        <v>1274</v>
      </c>
      <c r="B462" s="1405" t="s">
        <v>1259</v>
      </c>
      <c r="C462" s="744">
        <v>26000</v>
      </c>
      <c r="D462" s="744">
        <f>26000+181000</f>
        <v>207000</v>
      </c>
      <c r="E462" s="744"/>
      <c r="F462" s="744"/>
      <c r="G462" s="1243"/>
      <c r="H462" s="1248"/>
      <c r="I462" s="1249"/>
    </row>
    <row r="463" spans="1:9" s="12" customFormat="1" ht="27" customHeight="1" x14ac:dyDescent="0.2">
      <c r="A463" s="926" t="s">
        <v>1593</v>
      </c>
      <c r="B463" s="1405" t="s">
        <v>1524</v>
      </c>
      <c r="C463" s="744">
        <v>500000</v>
      </c>
      <c r="D463" s="744">
        <f>500000-158000-34000</f>
        <v>308000</v>
      </c>
      <c r="E463" s="744"/>
      <c r="F463" s="744"/>
      <c r="G463" s="1243"/>
      <c r="H463" s="1248"/>
      <c r="I463" s="1249"/>
    </row>
    <row r="464" spans="1:9" s="12" customFormat="1" ht="27" customHeight="1" x14ac:dyDescent="0.2">
      <c r="A464" s="926" t="s">
        <v>1594</v>
      </c>
      <c r="B464" s="1405" t="s">
        <v>1768</v>
      </c>
      <c r="C464" s="744">
        <v>500000</v>
      </c>
      <c r="D464" s="744">
        <f>500000-323000+12000</f>
        <v>189000</v>
      </c>
      <c r="E464" s="744"/>
      <c r="F464" s="744"/>
      <c r="G464" s="1243"/>
      <c r="H464" s="1248"/>
      <c r="I464" s="1249"/>
    </row>
    <row r="465" spans="1:9" s="12" customFormat="1" ht="27" customHeight="1" x14ac:dyDescent="0.2">
      <c r="A465" s="926" t="s">
        <v>1595</v>
      </c>
      <c r="B465" s="1405" t="s">
        <v>1654</v>
      </c>
      <c r="C465" s="744">
        <v>500000</v>
      </c>
      <c r="D465" s="744">
        <f>500000</f>
        <v>500000</v>
      </c>
      <c r="E465" s="744"/>
      <c r="F465" s="744"/>
      <c r="G465" s="1243"/>
      <c r="H465" s="1248"/>
      <c r="I465" s="1249"/>
    </row>
    <row r="466" spans="1:9" s="12" customFormat="1" ht="27" customHeight="1" x14ac:dyDescent="0.2">
      <c r="A466" s="926" t="s">
        <v>1169</v>
      </c>
      <c r="B466" s="1405" t="s">
        <v>1769</v>
      </c>
      <c r="C466" s="744">
        <v>660000</v>
      </c>
      <c r="D466" s="744">
        <v>660000</v>
      </c>
      <c r="E466" s="920"/>
      <c r="F466" s="1301"/>
      <c r="G466" s="825"/>
      <c r="H466" s="1244"/>
      <c r="I466" s="1255"/>
    </row>
    <row r="467" spans="1:9" s="12" customFormat="1" ht="27" customHeight="1" x14ac:dyDescent="0.2">
      <c r="A467" s="926" t="s">
        <v>1170</v>
      </c>
      <c r="B467" s="1405" t="s">
        <v>1053</v>
      </c>
      <c r="C467" s="744">
        <v>730000</v>
      </c>
      <c r="D467" s="744">
        <f>730000+540500+34000</f>
        <v>1304500</v>
      </c>
      <c r="E467" s="744"/>
      <c r="F467" s="744"/>
      <c r="G467" s="1243"/>
      <c r="H467" s="1248"/>
      <c r="I467" s="1249"/>
    </row>
    <row r="468" spans="1:9" s="12" customFormat="1" ht="27" customHeight="1" x14ac:dyDescent="0.2">
      <c r="A468" s="926" t="s">
        <v>1275</v>
      </c>
      <c r="B468" s="1405" t="s">
        <v>1207</v>
      </c>
      <c r="C468" s="744">
        <v>114950</v>
      </c>
      <c r="D468" s="744">
        <f>114950+514500</f>
        <v>629450</v>
      </c>
      <c r="E468" s="744"/>
      <c r="F468" s="744"/>
      <c r="G468" s="1243"/>
      <c r="H468" s="1248"/>
      <c r="I468" s="1249"/>
    </row>
    <row r="469" spans="1:9" s="12" customFormat="1" ht="27" customHeight="1" x14ac:dyDescent="0.2">
      <c r="A469" s="926" t="s">
        <v>1276</v>
      </c>
      <c r="B469" s="1405" t="s">
        <v>1208</v>
      </c>
      <c r="C469" s="744">
        <v>560000</v>
      </c>
      <c r="D469" s="744">
        <v>560000</v>
      </c>
      <c r="E469" s="744"/>
      <c r="F469" s="744"/>
      <c r="G469" s="1243"/>
      <c r="H469" s="1248"/>
      <c r="I469" s="1249"/>
    </row>
    <row r="470" spans="1:9" s="12" customFormat="1" ht="27" customHeight="1" x14ac:dyDescent="0.2">
      <c r="A470" s="926" t="s">
        <v>1596</v>
      </c>
      <c r="B470" s="1405" t="s">
        <v>1525</v>
      </c>
      <c r="C470" s="744">
        <v>800000</v>
      </c>
      <c r="D470" s="744">
        <f>800000-11390-30000</f>
        <v>758610</v>
      </c>
      <c r="E470" s="744"/>
      <c r="F470" s="744"/>
      <c r="G470" s="1243"/>
      <c r="H470" s="1248"/>
      <c r="I470" s="1249"/>
    </row>
    <row r="471" spans="1:9" s="12" customFormat="1" ht="27" customHeight="1" x14ac:dyDescent="0.2">
      <c r="A471" s="926" t="s">
        <v>1171</v>
      </c>
      <c r="B471" s="1405" t="s">
        <v>1172</v>
      </c>
      <c r="C471" s="744">
        <v>363000</v>
      </c>
      <c r="D471" s="744">
        <f>363000+30000</f>
        <v>393000</v>
      </c>
      <c r="E471" s="744"/>
      <c r="F471" s="744"/>
      <c r="G471" s="1243"/>
      <c r="H471" s="1248"/>
      <c r="I471" s="1249"/>
    </row>
    <row r="472" spans="1:9" s="12" customFormat="1" ht="27" customHeight="1" x14ac:dyDescent="0.2">
      <c r="A472" s="926" t="s">
        <v>1173</v>
      </c>
      <c r="B472" s="1405" t="s">
        <v>1526</v>
      </c>
      <c r="C472" s="744">
        <v>100000</v>
      </c>
      <c r="D472" s="744">
        <f>100000-100000</f>
        <v>0</v>
      </c>
      <c r="E472" s="744"/>
      <c r="F472" s="744"/>
      <c r="G472" s="1243"/>
      <c r="H472" s="1248"/>
      <c r="I472" s="1249"/>
    </row>
    <row r="473" spans="1:9" s="12" customFormat="1" ht="27" customHeight="1" x14ac:dyDescent="0.2">
      <c r="A473" s="926" t="s">
        <v>1174</v>
      </c>
      <c r="B473" s="1405" t="s">
        <v>1211</v>
      </c>
      <c r="C473" s="744">
        <v>11000000</v>
      </c>
      <c r="D473" s="744">
        <f>11000000-181000-1255000</f>
        <v>9564000</v>
      </c>
      <c r="E473" s="744"/>
      <c r="F473" s="744"/>
      <c r="G473" s="1243"/>
      <c r="H473" s="1248"/>
      <c r="I473" s="1249"/>
    </row>
    <row r="474" spans="1:9" s="12" customFormat="1" ht="27" customHeight="1" x14ac:dyDescent="0.2">
      <c r="A474" s="926" t="s">
        <v>1054</v>
      </c>
      <c r="B474" s="1405" t="s">
        <v>1770</v>
      </c>
      <c r="C474" s="744">
        <v>1300000</v>
      </c>
      <c r="D474" s="744">
        <v>1300000</v>
      </c>
      <c r="E474" s="744"/>
      <c r="F474" s="744"/>
      <c r="G474" s="1243"/>
      <c r="H474" s="1248"/>
      <c r="I474" s="1249"/>
    </row>
    <row r="475" spans="1:9" s="12" customFormat="1" ht="27" customHeight="1" x14ac:dyDescent="0.2">
      <c r="A475" s="926" t="s">
        <v>1055</v>
      </c>
      <c r="B475" s="1405" t="s">
        <v>1260</v>
      </c>
      <c r="C475" s="744">
        <v>20000</v>
      </c>
      <c r="D475" s="744">
        <v>20000</v>
      </c>
      <c r="E475" s="744"/>
      <c r="F475" s="744"/>
      <c r="G475" s="1243"/>
      <c r="H475" s="1248"/>
      <c r="I475" s="1249"/>
    </row>
    <row r="476" spans="1:9" s="12" customFormat="1" ht="27" customHeight="1" x14ac:dyDescent="0.2">
      <c r="A476" s="1411" t="s">
        <v>503</v>
      </c>
      <c r="B476" s="1405" t="s">
        <v>1771</v>
      </c>
      <c r="C476" s="744">
        <v>10000</v>
      </c>
      <c r="D476" s="744">
        <v>10000</v>
      </c>
      <c r="E476" s="744"/>
      <c r="F476" s="744"/>
      <c r="G476" s="1243"/>
      <c r="H476" s="1248"/>
      <c r="I476" s="1249"/>
    </row>
    <row r="477" spans="1:9" s="12" customFormat="1" ht="27" customHeight="1" x14ac:dyDescent="0.2">
      <c r="A477" s="1407">
        <v>2221</v>
      </c>
      <c r="B477" s="1408" t="s">
        <v>1360</v>
      </c>
      <c r="C477" s="920">
        <f t="shared" ref="C477:D477" si="36">SUM(C478:C480)</f>
        <v>2146000</v>
      </c>
      <c r="D477" s="920">
        <f t="shared" si="36"/>
        <v>2146000</v>
      </c>
      <c r="E477" s="744"/>
      <c r="F477" s="744"/>
      <c r="G477" s="1243"/>
      <c r="H477" s="1248"/>
      <c r="I477" s="1249"/>
    </row>
    <row r="478" spans="1:9" s="12" customFormat="1" ht="27" customHeight="1" x14ac:dyDescent="0.2">
      <c r="A478" s="926" t="s">
        <v>521</v>
      </c>
      <c r="B478" s="1405" t="s">
        <v>1527</v>
      </c>
      <c r="C478" s="744">
        <v>0</v>
      </c>
      <c r="D478" s="744">
        <v>0</v>
      </c>
      <c r="E478" s="920"/>
      <c r="F478" s="1301"/>
      <c r="G478" s="825"/>
      <c r="H478" s="1244"/>
      <c r="I478" s="1255"/>
    </row>
    <row r="479" spans="1:9" s="12" customFormat="1" ht="27" customHeight="1" x14ac:dyDescent="0.2">
      <c r="A479" s="926" t="s">
        <v>1651</v>
      </c>
      <c r="B479" s="1402" t="s">
        <v>1175</v>
      </c>
      <c r="C479" s="744">
        <v>2000000</v>
      </c>
      <c r="D479" s="744">
        <v>2000000</v>
      </c>
      <c r="E479" s="744"/>
      <c r="F479" s="744"/>
      <c r="G479" s="1243"/>
      <c r="H479" s="1248"/>
      <c r="I479" s="1249"/>
    </row>
    <row r="480" spans="1:9" s="12" customFormat="1" ht="27" customHeight="1" thickBot="1" x14ac:dyDescent="0.25">
      <c r="A480" s="1404" t="s">
        <v>1056</v>
      </c>
      <c r="B480" s="1415" t="s">
        <v>1057</v>
      </c>
      <c r="C480" s="1143">
        <v>146000</v>
      </c>
      <c r="D480" s="1143">
        <v>146000</v>
      </c>
      <c r="E480" s="744"/>
      <c r="F480" s="744"/>
      <c r="G480" s="1243"/>
      <c r="H480" s="1248"/>
      <c r="I480" s="1249"/>
    </row>
    <row r="481" spans="1:9" s="12" customFormat="1" ht="27" customHeight="1" thickBot="1" x14ac:dyDescent="0.3">
      <c r="A481" s="886"/>
      <c r="B481" s="767" t="s">
        <v>1176</v>
      </c>
      <c r="C481" s="907">
        <f>SUM(C482,C492,C503,C506)</f>
        <v>68628000</v>
      </c>
      <c r="D481" s="907">
        <f>SUM(D482,D492,D503,D506)</f>
        <v>60648000</v>
      </c>
      <c r="E481" s="1303"/>
      <c r="F481" s="1304"/>
      <c r="G481" s="1237"/>
      <c r="H481" s="1237"/>
      <c r="I481" s="1253"/>
    </row>
    <row r="482" spans="1:9" s="12" customFormat="1" ht="27" customHeight="1" x14ac:dyDescent="0.2">
      <c r="A482" s="1416">
        <v>3111</v>
      </c>
      <c r="B482" s="1417" t="s">
        <v>1533</v>
      </c>
      <c r="C482" s="919">
        <f>SUM(C483:C491)</f>
        <v>6370000</v>
      </c>
      <c r="D482" s="919">
        <f>SUM(D483:D491)</f>
        <v>5870000</v>
      </c>
      <c r="E482" s="1305"/>
      <c r="F482" s="1306"/>
      <c r="G482" s="825"/>
      <c r="H482" s="1244"/>
      <c r="I482" s="1255"/>
    </row>
    <row r="483" spans="1:9" s="12" customFormat="1" ht="27" customHeight="1" x14ac:dyDescent="0.2">
      <c r="A483" s="926" t="s">
        <v>1177</v>
      </c>
      <c r="B483" s="1412" t="s">
        <v>1772</v>
      </c>
      <c r="C483" s="744">
        <v>6000000</v>
      </c>
      <c r="D483" s="744">
        <f>6000000-500000</f>
        <v>5500000</v>
      </c>
      <c r="E483" s="744"/>
      <c r="F483" s="744"/>
      <c r="G483" s="1243"/>
      <c r="H483" s="1248"/>
      <c r="I483" s="1249"/>
    </row>
    <row r="484" spans="1:9" s="12" customFormat="1" ht="27" customHeight="1" x14ac:dyDescent="0.2">
      <c r="A484" s="926" t="s">
        <v>1178</v>
      </c>
      <c r="B484" s="1412" t="s">
        <v>1773</v>
      </c>
      <c r="C484" s="744">
        <v>0</v>
      </c>
      <c r="D484" s="744">
        <v>0</v>
      </c>
      <c r="E484" s="744"/>
      <c r="F484" s="744"/>
      <c r="G484" s="1243"/>
      <c r="H484" s="1248"/>
      <c r="I484" s="1249"/>
    </row>
    <row r="485" spans="1:9" s="12" customFormat="1" ht="27" customHeight="1" x14ac:dyDescent="0.2">
      <c r="A485" s="926" t="s">
        <v>1179</v>
      </c>
      <c r="B485" s="1405" t="s">
        <v>1774</v>
      </c>
      <c r="C485" s="744">
        <v>10000</v>
      </c>
      <c r="D485" s="744">
        <v>10000</v>
      </c>
      <c r="E485" s="744"/>
      <c r="F485" s="744"/>
      <c r="G485" s="1243"/>
      <c r="H485" s="1248"/>
      <c r="I485" s="1249"/>
    </row>
    <row r="486" spans="1:9" s="12" customFormat="1" ht="27" customHeight="1" x14ac:dyDescent="0.2">
      <c r="A486" s="926" t="s">
        <v>1528</v>
      </c>
      <c r="B486" s="1405" t="s">
        <v>1775</v>
      </c>
      <c r="C486" s="744">
        <v>5000</v>
      </c>
      <c r="D486" s="744">
        <v>5000</v>
      </c>
      <c r="E486" s="744"/>
      <c r="F486" s="744"/>
      <c r="G486" s="1243"/>
      <c r="H486" s="1248"/>
      <c r="I486" s="1249"/>
    </row>
    <row r="487" spans="1:9" ht="27" customHeight="1" x14ac:dyDescent="0.2">
      <c r="A487" s="1418" t="s">
        <v>1776</v>
      </c>
      <c r="B487" s="1419" t="s">
        <v>1777</v>
      </c>
      <c r="C487" s="958">
        <v>45000</v>
      </c>
      <c r="D487" s="958">
        <f>45000+27000</f>
        <v>72000</v>
      </c>
      <c r="E487" s="744"/>
      <c r="F487" s="744"/>
      <c r="G487" s="1243"/>
      <c r="H487" s="1248"/>
      <c r="I487" s="1249"/>
    </row>
    <row r="488" spans="1:9" ht="27" customHeight="1" x14ac:dyDescent="0.2">
      <c r="A488" s="1418" t="s">
        <v>1778</v>
      </c>
      <c r="B488" s="1419" t="s">
        <v>1779</v>
      </c>
      <c r="C488" s="958">
        <v>100000</v>
      </c>
      <c r="D488" s="958">
        <f>100000+17000+12000</f>
        <v>129000</v>
      </c>
      <c r="E488" s="920"/>
      <c r="F488" s="1301"/>
      <c r="G488" s="825"/>
      <c r="H488" s="1244"/>
      <c r="I488" s="1255"/>
    </row>
    <row r="489" spans="1:9" ht="27" customHeight="1" x14ac:dyDescent="0.2">
      <c r="A489" s="1418" t="s">
        <v>1780</v>
      </c>
      <c r="B489" s="1419" t="s">
        <v>1781</v>
      </c>
      <c r="C489" s="958">
        <v>10000</v>
      </c>
      <c r="D489" s="958">
        <v>10000</v>
      </c>
      <c r="E489" s="744"/>
      <c r="F489" s="744"/>
      <c r="G489" s="1243"/>
      <c r="H489" s="1248"/>
      <c r="I489" s="1249"/>
    </row>
    <row r="490" spans="1:9" ht="27" customHeight="1" x14ac:dyDescent="0.2">
      <c r="A490" s="1418" t="s">
        <v>1782</v>
      </c>
      <c r="B490" s="1419" t="s">
        <v>1783</v>
      </c>
      <c r="C490" s="958">
        <v>100000</v>
      </c>
      <c r="D490" s="958">
        <f>100000-44000-12000</f>
        <v>44000</v>
      </c>
      <c r="E490" s="744"/>
      <c r="F490" s="744"/>
      <c r="G490" s="1243"/>
      <c r="H490" s="1248"/>
      <c r="I490" s="1249"/>
    </row>
    <row r="491" spans="1:9" ht="27" customHeight="1" x14ac:dyDescent="0.2">
      <c r="A491" s="1418" t="s">
        <v>1784</v>
      </c>
      <c r="B491" s="1419" t="s">
        <v>1785</v>
      </c>
      <c r="C491" s="958">
        <v>100000</v>
      </c>
      <c r="D491" s="958">
        <v>100000</v>
      </c>
      <c r="E491" s="744"/>
      <c r="F491" s="744"/>
      <c r="G491" s="1243"/>
      <c r="H491" s="1248"/>
      <c r="I491" s="1249"/>
    </row>
    <row r="492" spans="1:9" s="12" customFormat="1" ht="27" customHeight="1" x14ac:dyDescent="0.2">
      <c r="A492" s="1420">
        <v>3113</v>
      </c>
      <c r="B492" s="1419" t="s">
        <v>1534</v>
      </c>
      <c r="C492" s="1421">
        <f t="shared" ref="C492:D492" si="37">SUM(C493:C502)</f>
        <v>31955000</v>
      </c>
      <c r="D492" s="1421">
        <f t="shared" si="37"/>
        <v>31175000</v>
      </c>
      <c r="E492" s="744"/>
      <c r="F492" s="744"/>
      <c r="G492" s="1243"/>
      <c r="H492" s="1248"/>
      <c r="I492" s="1249"/>
    </row>
    <row r="493" spans="1:9" s="12" customFormat="1" ht="27" customHeight="1" x14ac:dyDescent="0.2">
      <c r="A493" s="1422" t="s">
        <v>1529</v>
      </c>
      <c r="B493" s="1031" t="s">
        <v>1212</v>
      </c>
      <c r="C493" s="1452">
        <v>500000</v>
      </c>
      <c r="D493" s="1452">
        <v>500000</v>
      </c>
      <c r="E493" s="744"/>
      <c r="F493" s="744"/>
      <c r="G493" s="1243"/>
      <c r="H493" s="1248"/>
      <c r="I493" s="1249"/>
    </row>
    <row r="494" spans="1:9" s="12" customFormat="1" ht="27" customHeight="1" x14ac:dyDescent="0.2">
      <c r="A494" s="1422" t="s">
        <v>1672</v>
      </c>
      <c r="B494" s="1031" t="s">
        <v>1786</v>
      </c>
      <c r="C494" s="1452">
        <v>5000</v>
      </c>
      <c r="D494" s="1452">
        <v>5000</v>
      </c>
      <c r="E494" s="920"/>
      <c r="F494" s="1301"/>
      <c r="G494" s="825"/>
      <c r="H494" s="1244"/>
      <c r="I494" s="1255"/>
    </row>
    <row r="495" spans="1:9" s="12" customFormat="1" ht="27" customHeight="1" x14ac:dyDescent="0.2">
      <c r="A495" s="1422" t="s">
        <v>1673</v>
      </c>
      <c r="B495" s="1031" t="s">
        <v>1530</v>
      </c>
      <c r="C495" s="1452">
        <v>0</v>
      </c>
      <c r="D495" s="1452">
        <v>0</v>
      </c>
      <c r="E495" s="744"/>
      <c r="F495" s="744"/>
      <c r="G495" s="1243"/>
      <c r="H495" s="1248"/>
      <c r="I495" s="1249"/>
    </row>
    <row r="496" spans="1:9" s="12" customFormat="1" ht="27" customHeight="1" x14ac:dyDescent="0.2">
      <c r="A496" s="1422" t="s">
        <v>1531</v>
      </c>
      <c r="B496" s="1031" t="s">
        <v>1787</v>
      </c>
      <c r="C496" s="1452">
        <v>0</v>
      </c>
      <c r="D496" s="1452">
        <v>0</v>
      </c>
      <c r="E496" s="744"/>
      <c r="F496" s="744"/>
      <c r="G496" s="1243"/>
      <c r="H496" s="1248"/>
      <c r="I496" s="1249"/>
    </row>
    <row r="497" spans="1:9" s="12" customFormat="1" ht="27" customHeight="1" x14ac:dyDescent="0.2">
      <c r="A497" s="1422" t="s">
        <v>1532</v>
      </c>
      <c r="B497" s="1031" t="s">
        <v>1180</v>
      </c>
      <c r="C497" s="1452">
        <v>30000000</v>
      </c>
      <c r="D497" s="1452">
        <v>30000000</v>
      </c>
      <c r="E497" s="744"/>
      <c r="F497" s="744"/>
      <c r="G497" s="1243"/>
      <c r="H497" s="1248"/>
      <c r="I497" s="1249"/>
    </row>
    <row r="498" spans="1:9" ht="27" customHeight="1" x14ac:dyDescent="0.2">
      <c r="A498" s="1418" t="s">
        <v>1788</v>
      </c>
      <c r="B498" s="1412" t="s">
        <v>1789</v>
      </c>
      <c r="C498" s="1452">
        <v>150000</v>
      </c>
      <c r="D498" s="1452">
        <f>150000+70000</f>
        <v>220000</v>
      </c>
      <c r="E498" s="744"/>
      <c r="F498" s="744"/>
      <c r="G498" s="1243"/>
      <c r="H498" s="1248"/>
      <c r="I498" s="1249"/>
    </row>
    <row r="499" spans="1:9" ht="27" customHeight="1" x14ac:dyDescent="0.2">
      <c r="A499" s="1418" t="s">
        <v>1790</v>
      </c>
      <c r="B499" s="1031" t="s">
        <v>1791</v>
      </c>
      <c r="C499" s="1452">
        <v>200000</v>
      </c>
      <c r="D499" s="1452">
        <f>200000-10000</f>
        <v>190000</v>
      </c>
      <c r="E499" s="920"/>
      <c r="F499" s="1301"/>
      <c r="G499" s="825"/>
      <c r="H499" s="1244"/>
      <c r="I499" s="1255"/>
    </row>
    <row r="500" spans="1:9" ht="27" customHeight="1" x14ac:dyDescent="0.2">
      <c r="A500" s="1418" t="s">
        <v>1792</v>
      </c>
      <c r="B500" s="1031" t="s">
        <v>1793</v>
      </c>
      <c r="C500" s="1452">
        <v>100000</v>
      </c>
      <c r="D500" s="1452">
        <f>100000+10000</f>
        <v>110000</v>
      </c>
      <c r="E500" s="744"/>
      <c r="F500" s="744"/>
      <c r="G500" s="1243"/>
      <c r="H500" s="1248"/>
      <c r="I500" s="1249"/>
    </row>
    <row r="501" spans="1:9" ht="27" customHeight="1" x14ac:dyDescent="0.2">
      <c r="A501" s="1418" t="s">
        <v>2019</v>
      </c>
      <c r="B501" s="1031" t="s">
        <v>1794</v>
      </c>
      <c r="C501" s="1452">
        <v>850000</v>
      </c>
      <c r="D501" s="1452">
        <f>850000-850000</f>
        <v>0</v>
      </c>
      <c r="E501" s="744"/>
      <c r="F501" s="744"/>
      <c r="G501" s="1243"/>
      <c r="H501" s="1248"/>
      <c r="I501" s="1249"/>
    </row>
    <row r="502" spans="1:9" ht="27" customHeight="1" x14ac:dyDescent="0.2">
      <c r="A502" s="1418" t="s">
        <v>1795</v>
      </c>
      <c r="B502" s="1031" t="s">
        <v>1796</v>
      </c>
      <c r="C502" s="1452">
        <v>150000</v>
      </c>
      <c r="D502" s="1452">
        <v>150000</v>
      </c>
      <c r="E502" s="744"/>
      <c r="F502" s="744"/>
      <c r="G502" s="1243"/>
      <c r="H502" s="1248"/>
      <c r="I502" s="1249"/>
    </row>
    <row r="503" spans="1:9" s="12" customFormat="1" ht="27" customHeight="1" x14ac:dyDescent="0.2">
      <c r="A503" s="1420">
        <v>3412</v>
      </c>
      <c r="B503" s="1423" t="s">
        <v>1797</v>
      </c>
      <c r="C503" s="1421">
        <f t="shared" ref="C503:D503" si="38">SUM(C504:C505)</f>
        <v>30003000</v>
      </c>
      <c r="D503" s="1421">
        <f t="shared" si="38"/>
        <v>23303000</v>
      </c>
      <c r="E503" s="744"/>
      <c r="F503" s="744"/>
      <c r="G503" s="1243"/>
      <c r="H503" s="1248"/>
      <c r="I503" s="1249"/>
    </row>
    <row r="504" spans="1:9" s="12" customFormat="1" ht="27" customHeight="1" x14ac:dyDescent="0.2">
      <c r="A504" s="1422" t="s">
        <v>1798</v>
      </c>
      <c r="B504" s="1031" t="s">
        <v>1799</v>
      </c>
      <c r="C504" s="958">
        <v>3000</v>
      </c>
      <c r="D504" s="958">
        <f>3000+40000+4000</f>
        <v>47000</v>
      </c>
      <c r="E504" s="744"/>
      <c r="F504" s="744"/>
      <c r="G504" s="1243"/>
      <c r="H504" s="1248"/>
      <c r="I504" s="1249"/>
    </row>
    <row r="505" spans="1:9" s="12" customFormat="1" ht="27" customHeight="1" x14ac:dyDescent="0.2">
      <c r="A505" s="1422" t="s">
        <v>1800</v>
      </c>
      <c r="B505" s="1031" t="s">
        <v>1801</v>
      </c>
      <c r="C505" s="958">
        <v>30000000</v>
      </c>
      <c r="D505" s="958">
        <f>30000000-40000-4000-5700000-1000000</f>
        <v>23256000</v>
      </c>
      <c r="E505" s="920"/>
      <c r="F505" s="1301"/>
      <c r="G505" s="825"/>
      <c r="H505" s="1244"/>
      <c r="I505" s="1255"/>
    </row>
    <row r="506" spans="1:9" ht="27" customHeight="1" x14ac:dyDescent="0.2">
      <c r="A506" s="1420">
        <v>3233</v>
      </c>
      <c r="B506" s="1424" t="s">
        <v>1802</v>
      </c>
      <c r="C506" s="1425">
        <f>SUM(C507)</f>
        <v>300000</v>
      </c>
      <c r="D506" s="1425">
        <f>SUM(D507)</f>
        <v>300000</v>
      </c>
      <c r="E506" s="744"/>
      <c r="F506" s="744"/>
      <c r="G506" s="1243"/>
      <c r="H506" s="1248"/>
      <c r="I506" s="1249"/>
    </row>
    <row r="507" spans="1:9" ht="27" customHeight="1" thickBot="1" x14ac:dyDescent="0.25">
      <c r="A507" s="1426" t="s">
        <v>1803</v>
      </c>
      <c r="B507" s="1427" t="s">
        <v>1804</v>
      </c>
      <c r="C507" s="1428">
        <v>300000</v>
      </c>
      <c r="D507" s="1428">
        <v>300000</v>
      </c>
      <c r="E507" s="744"/>
      <c r="F507" s="744"/>
      <c r="G507" s="1243"/>
      <c r="H507" s="1248"/>
      <c r="I507" s="1249"/>
    </row>
    <row r="508" spans="1:9" s="12" customFormat="1" ht="27" customHeight="1" thickBot="1" x14ac:dyDescent="0.3">
      <c r="A508" s="1072"/>
      <c r="B508" s="1073" t="s">
        <v>527</v>
      </c>
      <c r="C508" s="1074">
        <f>SUM(C509:C510,C513)</f>
        <v>7530000</v>
      </c>
      <c r="D508" s="1074">
        <f>SUM(D509:D510,D513)</f>
        <v>7130000</v>
      </c>
      <c r="E508" s="931"/>
      <c r="F508" s="1298"/>
      <c r="G508" s="1237"/>
      <c r="H508" s="1237"/>
      <c r="I508" s="1253"/>
    </row>
    <row r="509" spans="1:9" s="1546" customFormat="1" ht="27" customHeight="1" x14ac:dyDescent="0.2">
      <c r="A509" s="1547">
        <v>2219</v>
      </c>
      <c r="B509" s="1548" t="s">
        <v>2049</v>
      </c>
      <c r="C509" s="1549">
        <v>0</v>
      </c>
      <c r="D509" s="1549">
        <f>1000000+100000</f>
        <v>1100000</v>
      </c>
      <c r="E509" s="1299"/>
      <c r="F509" s="1300"/>
      <c r="G509" s="1550"/>
      <c r="H509" s="1551"/>
      <c r="I509" s="1552"/>
    </row>
    <row r="510" spans="1:9" s="12" customFormat="1" ht="27" customHeight="1" x14ac:dyDescent="0.2">
      <c r="A510" s="1431">
        <v>3613</v>
      </c>
      <c r="B510" s="1553" t="s">
        <v>1361</v>
      </c>
      <c r="C510" s="920">
        <f t="shared" ref="C510:D510" si="39">SUM(C511:C512)</f>
        <v>2000000</v>
      </c>
      <c r="D510" s="920">
        <f t="shared" si="39"/>
        <v>2000000</v>
      </c>
      <c r="E510" s="920"/>
      <c r="F510" s="1301"/>
      <c r="G510" s="825"/>
      <c r="H510" s="1244"/>
      <c r="I510" s="1554"/>
    </row>
    <row r="511" spans="1:9" s="12" customFormat="1" ht="27" customHeight="1" x14ac:dyDescent="0.2">
      <c r="A511" s="926" t="s">
        <v>1805</v>
      </c>
      <c r="B511" s="1403" t="s">
        <v>1806</v>
      </c>
      <c r="C511" s="744">
        <v>0</v>
      </c>
      <c r="D511" s="744">
        <v>0</v>
      </c>
      <c r="E511" s="744"/>
      <c r="F511" s="744"/>
      <c r="G511" s="1243"/>
      <c r="H511" s="1248"/>
      <c r="I511" s="1258"/>
    </row>
    <row r="512" spans="1:9" s="12" customFormat="1" ht="27" customHeight="1" x14ac:dyDescent="0.2">
      <c r="A512" s="926" t="s">
        <v>529</v>
      </c>
      <c r="B512" s="1403" t="s">
        <v>1726</v>
      </c>
      <c r="C512" s="744">
        <v>2000000</v>
      </c>
      <c r="D512" s="744">
        <v>2000000</v>
      </c>
      <c r="E512" s="920"/>
      <c r="F512" s="1301"/>
      <c r="G512" s="825"/>
      <c r="H512" s="1244"/>
      <c r="I512" s="1255"/>
    </row>
    <row r="513" spans="1:9" s="12" customFormat="1" ht="27" customHeight="1" x14ac:dyDescent="0.2">
      <c r="A513" s="1407">
        <v>3639</v>
      </c>
      <c r="B513" s="1408" t="s">
        <v>1362</v>
      </c>
      <c r="C513" s="920">
        <f t="shared" ref="C513:D513" si="40">SUM(C514:C522)</f>
        <v>5530000</v>
      </c>
      <c r="D513" s="920">
        <f t="shared" si="40"/>
        <v>4030000</v>
      </c>
      <c r="E513" s="744"/>
      <c r="F513" s="744"/>
      <c r="G513" s="1243"/>
      <c r="H513" s="1248"/>
      <c r="I513" s="1249"/>
    </row>
    <row r="514" spans="1:9" s="12" customFormat="1" ht="27" customHeight="1" x14ac:dyDescent="0.2">
      <c r="A514" s="926" t="s">
        <v>532</v>
      </c>
      <c r="B514" s="1405" t="s">
        <v>1058</v>
      </c>
      <c r="C514" s="744">
        <v>0</v>
      </c>
      <c r="D514" s="744">
        <v>0</v>
      </c>
      <c r="E514" s="744"/>
      <c r="F514" s="744"/>
      <c r="G514" s="1243"/>
      <c r="H514" s="1248"/>
      <c r="I514" s="1249"/>
    </row>
    <row r="515" spans="1:9" s="12" customFormat="1" ht="27" customHeight="1" x14ac:dyDescent="0.2">
      <c r="A515" s="926" t="s">
        <v>534</v>
      </c>
      <c r="B515" s="1405" t="s">
        <v>1597</v>
      </c>
      <c r="C515" s="744">
        <v>40000</v>
      </c>
      <c r="D515" s="744">
        <v>40000</v>
      </c>
      <c r="E515" s="744"/>
      <c r="F515" s="744"/>
      <c r="G515" s="1243"/>
      <c r="H515" s="1248"/>
      <c r="I515" s="1249"/>
    </row>
    <row r="516" spans="1:9" s="12" customFormat="1" ht="27" customHeight="1" x14ac:dyDescent="0.2">
      <c r="A516" s="926" t="s">
        <v>538</v>
      </c>
      <c r="B516" s="1405" t="s">
        <v>1807</v>
      </c>
      <c r="C516" s="744">
        <v>515000</v>
      </c>
      <c r="D516" s="744">
        <f>515000+200000</f>
        <v>715000</v>
      </c>
      <c r="E516" s="744"/>
      <c r="F516" s="744"/>
      <c r="G516" s="1243"/>
      <c r="H516" s="1248"/>
      <c r="I516" s="1249"/>
    </row>
    <row r="517" spans="1:9" s="12" customFormat="1" ht="27" customHeight="1" x14ac:dyDescent="0.2">
      <c r="A517" s="926" t="s">
        <v>540</v>
      </c>
      <c r="B517" s="1403" t="s">
        <v>1808</v>
      </c>
      <c r="C517" s="744">
        <v>4950000</v>
      </c>
      <c r="D517" s="744">
        <f>4950000-200000-400000+(-1000000-100000)-59290</f>
        <v>3190710</v>
      </c>
      <c r="E517" s="744"/>
      <c r="F517" s="744"/>
      <c r="G517" s="1243"/>
      <c r="H517" s="1248"/>
      <c r="I517" s="1249"/>
    </row>
    <row r="518" spans="1:9" s="12" customFormat="1" ht="27" customHeight="1" x14ac:dyDescent="0.2">
      <c r="A518" s="926" t="s">
        <v>2093</v>
      </c>
      <c r="B518" s="1403" t="s">
        <v>2094</v>
      </c>
      <c r="C518" s="744">
        <v>0</v>
      </c>
      <c r="D518" s="744">
        <f>(41503+17787)</f>
        <v>59290</v>
      </c>
      <c r="E518" s="744"/>
      <c r="F518" s="744"/>
      <c r="G518" s="1243"/>
      <c r="H518" s="1248"/>
      <c r="I518" s="1249"/>
    </row>
    <row r="519" spans="1:9" s="12" customFormat="1" ht="27" customHeight="1" x14ac:dyDescent="0.2">
      <c r="A519" s="926" t="s">
        <v>542</v>
      </c>
      <c r="B519" s="1402" t="s">
        <v>1809</v>
      </c>
      <c r="C519" s="744">
        <v>25000</v>
      </c>
      <c r="D519" s="744">
        <v>25000</v>
      </c>
      <c r="E519" s="744"/>
      <c r="F519" s="744"/>
      <c r="G519" s="1243"/>
      <c r="H519" s="1248"/>
      <c r="I519" s="1249"/>
    </row>
    <row r="520" spans="1:9" s="12" customFormat="1" ht="27" customHeight="1" x14ac:dyDescent="0.2">
      <c r="A520" s="926" t="s">
        <v>1535</v>
      </c>
      <c r="B520" s="1402" t="s">
        <v>1727</v>
      </c>
      <c r="C520" s="744">
        <v>0</v>
      </c>
      <c r="D520" s="744">
        <v>0</v>
      </c>
      <c r="E520" s="744"/>
      <c r="F520" s="744"/>
      <c r="G520" s="1243"/>
      <c r="H520" s="1248"/>
      <c r="I520" s="1249"/>
    </row>
    <row r="521" spans="1:9" s="12" customFormat="1" ht="27" customHeight="1" x14ac:dyDescent="0.2">
      <c r="A521" s="926" t="s">
        <v>1536</v>
      </c>
      <c r="B521" s="1402" t="s">
        <v>1727</v>
      </c>
      <c r="C521" s="744">
        <v>0</v>
      </c>
      <c r="D521" s="744">
        <v>0</v>
      </c>
      <c r="E521" s="744"/>
      <c r="F521" s="744"/>
      <c r="G521" s="1243"/>
      <c r="H521" s="1248"/>
      <c r="I521" s="1258"/>
    </row>
    <row r="522" spans="1:9" s="12" customFormat="1" ht="27" customHeight="1" thickBot="1" x14ac:dyDescent="0.25">
      <c r="A522" s="1406" t="s">
        <v>1537</v>
      </c>
      <c r="B522" s="1186" t="s">
        <v>1727</v>
      </c>
      <c r="C522" s="866">
        <v>0</v>
      </c>
      <c r="D522" s="866">
        <v>0</v>
      </c>
      <c r="E522" s="751"/>
      <c r="F522" s="751"/>
      <c r="G522" s="1243"/>
      <c r="H522" s="1248"/>
      <c r="I522" s="1249"/>
    </row>
    <row r="523" spans="1:9" s="12" customFormat="1" ht="27" customHeight="1" thickBot="1" x14ac:dyDescent="0.3">
      <c r="A523" s="892"/>
      <c r="B523" s="794" t="s">
        <v>1181</v>
      </c>
      <c r="C523" s="951">
        <f>SUM(C524,C528,C530)</f>
        <v>3805000</v>
      </c>
      <c r="D523" s="951">
        <f>SUM(D524,D528,D530)</f>
        <v>3965000</v>
      </c>
      <c r="E523" s="1170"/>
      <c r="F523" s="1307"/>
      <c r="G523" s="1237"/>
      <c r="H523" s="1237"/>
      <c r="I523" s="1253"/>
    </row>
    <row r="524" spans="1:9" s="12" customFormat="1" ht="27" customHeight="1" x14ac:dyDescent="0.2">
      <c r="A524" s="1409">
        <v>3311</v>
      </c>
      <c r="B524" s="1429" t="s">
        <v>1182</v>
      </c>
      <c r="C524" s="1430">
        <f t="shared" ref="C524:D524" si="41">SUM(C525:C527)</f>
        <v>800000</v>
      </c>
      <c r="D524" s="1430">
        <f t="shared" si="41"/>
        <v>800000</v>
      </c>
      <c r="E524" s="919"/>
      <c r="F524" s="1302"/>
      <c r="G524" s="825"/>
      <c r="H524" s="1244"/>
      <c r="I524" s="1255"/>
    </row>
    <row r="525" spans="1:9" s="12" customFormat="1" ht="27" customHeight="1" x14ac:dyDescent="0.2">
      <c r="A525" s="1422" t="s">
        <v>2064</v>
      </c>
      <c r="B525" s="1031" t="s">
        <v>2065</v>
      </c>
      <c r="C525" s="958">
        <v>250000</v>
      </c>
      <c r="D525" s="958">
        <v>250000</v>
      </c>
      <c r="E525" s="744"/>
      <c r="F525" s="744"/>
      <c r="G525" s="1243"/>
      <c r="H525" s="1248"/>
      <c r="I525" s="1249"/>
    </row>
    <row r="526" spans="1:9" s="12" customFormat="1" ht="27" customHeight="1" x14ac:dyDescent="0.2">
      <c r="A526" s="1422" t="s">
        <v>2024</v>
      </c>
      <c r="B526" s="1031" t="s">
        <v>1810</v>
      </c>
      <c r="C526" s="958">
        <v>250000</v>
      </c>
      <c r="D526" s="958">
        <v>250000</v>
      </c>
      <c r="E526" s="920"/>
      <c r="F526" s="1301"/>
      <c r="G526" s="825"/>
      <c r="H526" s="1244"/>
      <c r="I526" s="1255"/>
    </row>
    <row r="527" spans="1:9" ht="27" customHeight="1" x14ac:dyDescent="0.2">
      <c r="A527" s="1418" t="s">
        <v>1811</v>
      </c>
      <c r="B527" s="1031" t="s">
        <v>1812</v>
      </c>
      <c r="C527" s="958">
        <v>300000</v>
      </c>
      <c r="D527" s="958">
        <v>300000</v>
      </c>
      <c r="E527" s="744"/>
      <c r="F527" s="744"/>
      <c r="G527" s="1243"/>
      <c r="H527" s="1248"/>
      <c r="I527" s="1249"/>
    </row>
    <row r="528" spans="1:9" s="12" customFormat="1" ht="27" customHeight="1" x14ac:dyDescent="0.2">
      <c r="A528" s="1431">
        <v>3326</v>
      </c>
      <c r="B528" s="1424" t="s">
        <v>2040</v>
      </c>
      <c r="C528" s="1432">
        <f>SUM(C529)</f>
        <v>1600000</v>
      </c>
      <c r="D528" s="1432">
        <f>SUM(D529)</f>
        <v>1600000</v>
      </c>
      <c r="E528" s="751"/>
      <c r="F528" s="751"/>
      <c r="G528" s="1243"/>
      <c r="H528" s="1248"/>
      <c r="I528" s="1249"/>
    </row>
    <row r="529" spans="1:248" ht="27" customHeight="1" x14ac:dyDescent="0.2">
      <c r="A529" s="1418" t="s">
        <v>2041</v>
      </c>
      <c r="B529" s="1031" t="s">
        <v>1816</v>
      </c>
      <c r="C529" s="958">
        <v>1600000</v>
      </c>
      <c r="D529" s="958">
        <v>1600000</v>
      </c>
      <c r="E529" s="744"/>
      <c r="F529" s="744"/>
      <c r="G529" s="1243"/>
      <c r="H529" s="1248"/>
      <c r="I529" s="1249"/>
    </row>
    <row r="530" spans="1:248" s="12" customFormat="1" ht="27" customHeight="1" x14ac:dyDescent="0.2">
      <c r="A530" s="1431">
        <v>3392</v>
      </c>
      <c r="B530" s="1424" t="s">
        <v>1183</v>
      </c>
      <c r="C530" s="1432">
        <f>SUM(C531:C535)</f>
        <v>1405000</v>
      </c>
      <c r="D530" s="1432">
        <f>SUM(D531:D535)</f>
        <v>1565000</v>
      </c>
      <c r="E530" s="751"/>
      <c r="F530" s="751"/>
      <c r="G530" s="1243"/>
      <c r="H530" s="1248"/>
      <c r="I530" s="1249"/>
    </row>
    <row r="531" spans="1:248" s="12" customFormat="1" ht="27" customHeight="1" x14ac:dyDescent="0.2">
      <c r="A531" s="1422" t="s">
        <v>1184</v>
      </c>
      <c r="B531" s="1031" t="s">
        <v>1598</v>
      </c>
      <c r="C531" s="958">
        <v>750000</v>
      </c>
      <c r="D531" s="958">
        <f>750000-6000</f>
        <v>744000</v>
      </c>
      <c r="E531" s="744"/>
      <c r="F531" s="744"/>
      <c r="G531" s="1243"/>
      <c r="H531" s="1248"/>
      <c r="I531" s="1249"/>
    </row>
    <row r="532" spans="1:248" s="12" customFormat="1" ht="27" customHeight="1" x14ac:dyDescent="0.2">
      <c r="A532" s="1422" t="s">
        <v>1185</v>
      </c>
      <c r="B532" s="1031" t="s">
        <v>1599</v>
      </c>
      <c r="C532" s="958">
        <v>0</v>
      </c>
      <c r="D532" s="958">
        <v>0</v>
      </c>
      <c r="E532" s="920"/>
      <c r="F532" s="1301"/>
      <c r="G532" s="825"/>
      <c r="H532" s="1244"/>
      <c r="I532" s="1255"/>
    </row>
    <row r="533" spans="1:248" s="12" customFormat="1" ht="27" customHeight="1" x14ac:dyDescent="0.2">
      <c r="A533" s="1422" t="s">
        <v>1277</v>
      </c>
      <c r="B533" s="1031" t="s">
        <v>1600</v>
      </c>
      <c r="C533" s="958">
        <v>5000</v>
      </c>
      <c r="D533" s="958">
        <v>5000</v>
      </c>
      <c r="E533" s="744"/>
      <c r="F533" s="744"/>
      <c r="G533" s="1243"/>
      <c r="H533" s="1248"/>
      <c r="I533" s="1249"/>
    </row>
    <row r="534" spans="1:248" ht="27" customHeight="1" x14ac:dyDescent="0.2">
      <c r="A534" s="1418" t="s">
        <v>1814</v>
      </c>
      <c r="B534" s="1031" t="s">
        <v>1815</v>
      </c>
      <c r="C534" s="958">
        <v>150000</v>
      </c>
      <c r="D534" s="958">
        <f>150000+6000</f>
        <v>156000</v>
      </c>
      <c r="E534" s="751"/>
      <c r="F534" s="751"/>
      <c r="G534" s="1243"/>
      <c r="H534" s="1248"/>
      <c r="I534" s="1249"/>
    </row>
    <row r="535" spans="1:248" s="12" customFormat="1" ht="27" customHeight="1" thickBot="1" x14ac:dyDescent="0.25">
      <c r="A535" s="1540" t="s">
        <v>1813</v>
      </c>
      <c r="B535" s="1541" t="s">
        <v>1728</v>
      </c>
      <c r="C535" s="1542">
        <v>500000</v>
      </c>
      <c r="D535" s="1542">
        <f>500000+160000</f>
        <v>660000</v>
      </c>
      <c r="E535" s="751"/>
      <c r="F535" s="751"/>
      <c r="G535" s="1243"/>
      <c r="H535" s="1248"/>
      <c r="I535" s="1249"/>
    </row>
    <row r="536" spans="1:248" s="12" customFormat="1" ht="27" customHeight="1" thickBot="1" x14ac:dyDescent="0.3">
      <c r="A536" s="1075"/>
      <c r="B536" s="1076" t="s">
        <v>1300</v>
      </c>
      <c r="C536" s="1077">
        <f t="shared" ref="C536:D536" si="42">SUM(C537)</f>
        <v>8650000</v>
      </c>
      <c r="D536" s="1077">
        <f t="shared" si="42"/>
        <v>13150000</v>
      </c>
      <c r="E536" s="1170"/>
      <c r="F536" s="1308"/>
      <c r="G536" s="1237"/>
      <c r="H536" s="1237"/>
      <c r="I536" s="1253"/>
    </row>
    <row r="537" spans="1:248" s="12" customFormat="1" ht="27" customHeight="1" x14ac:dyDescent="0.2">
      <c r="A537" s="1433">
        <v>6171</v>
      </c>
      <c r="B537" s="1434" t="s">
        <v>1186</v>
      </c>
      <c r="C537" s="1435">
        <f t="shared" ref="C537:D537" si="43">SUM(C538:C542)</f>
        <v>8650000</v>
      </c>
      <c r="D537" s="1435">
        <f t="shared" si="43"/>
        <v>13150000</v>
      </c>
      <c r="E537" s="919"/>
      <c r="F537" s="1302"/>
      <c r="G537" s="825"/>
      <c r="H537" s="1244"/>
      <c r="I537" s="1255"/>
    </row>
    <row r="538" spans="1:248" s="12" customFormat="1" ht="27" customHeight="1" x14ac:dyDescent="0.2">
      <c r="A538" s="1422" t="s">
        <v>1278</v>
      </c>
      <c r="B538" s="1031" t="s">
        <v>1674</v>
      </c>
      <c r="C538" s="958">
        <v>0</v>
      </c>
      <c r="D538" s="958">
        <v>0</v>
      </c>
      <c r="E538" s="744"/>
      <c r="F538" s="744"/>
      <c r="G538" s="1243"/>
      <c r="H538" s="1248"/>
      <c r="I538" s="1249"/>
    </row>
    <row r="539" spans="1:248" s="12" customFormat="1" ht="27" customHeight="1" x14ac:dyDescent="0.2">
      <c r="A539" s="926" t="s">
        <v>1279</v>
      </c>
      <c r="B539" s="1412" t="s">
        <v>2039</v>
      </c>
      <c r="C539" s="744">
        <v>0</v>
      </c>
      <c r="D539" s="744">
        <v>150470</v>
      </c>
      <c r="E539" s="744"/>
      <c r="F539" s="744"/>
      <c r="G539" s="1243"/>
      <c r="H539" s="1248"/>
      <c r="I539" s="1249"/>
    </row>
    <row r="540" spans="1:248" s="12" customFormat="1" ht="27" customHeight="1" x14ac:dyDescent="0.2">
      <c r="A540" s="926" t="s">
        <v>1280</v>
      </c>
      <c r="B540" s="1412" t="s">
        <v>1675</v>
      </c>
      <c r="C540" s="744">
        <v>0</v>
      </c>
      <c r="D540" s="744">
        <v>0</v>
      </c>
      <c r="E540" s="744"/>
      <c r="F540" s="744"/>
      <c r="G540" s="1243"/>
      <c r="H540" s="1248"/>
      <c r="I540" s="1249"/>
    </row>
    <row r="541" spans="1:248" s="12" customFormat="1" ht="27" customHeight="1" x14ac:dyDescent="0.2">
      <c r="A541" s="926" t="s">
        <v>1281</v>
      </c>
      <c r="B541" s="1412" t="s">
        <v>1817</v>
      </c>
      <c r="C541" s="744">
        <v>8300000</v>
      </c>
      <c r="D541" s="744">
        <f>8300000-20000-150470+4500000</f>
        <v>12629530</v>
      </c>
      <c r="E541" s="744"/>
      <c r="F541" s="744"/>
      <c r="G541" s="1243"/>
      <c r="H541" s="1248"/>
      <c r="I541" s="1249"/>
    </row>
    <row r="542" spans="1:248" s="12" customFormat="1" ht="27" customHeight="1" thickBot="1" x14ac:dyDescent="0.25">
      <c r="A542" s="1183" t="s">
        <v>1282</v>
      </c>
      <c r="B542" s="1414" t="s">
        <v>1818</v>
      </c>
      <c r="C542" s="1143">
        <v>350000</v>
      </c>
      <c r="D542" s="1143">
        <f>350000+20000</f>
        <v>370000</v>
      </c>
      <c r="E542" s="1143"/>
      <c r="F542" s="1143"/>
      <c r="G542" s="1243"/>
      <c r="H542" s="1248"/>
      <c r="I542" s="1249"/>
      <c r="FH542" s="695"/>
      <c r="FI542" s="695"/>
      <c r="FJ542" s="695"/>
      <c r="FK542" s="695"/>
      <c r="FL542" s="695"/>
      <c r="FM542" s="695"/>
      <c r="FN542" s="695"/>
      <c r="FO542" s="695"/>
      <c r="FP542" s="695"/>
      <c r="FQ542" s="695"/>
      <c r="FR542" s="695"/>
      <c r="FS542" s="695"/>
      <c r="FT542" s="695"/>
      <c r="FU542" s="695"/>
      <c r="FV542" s="695"/>
      <c r="FW542" s="695"/>
      <c r="FX542" s="695"/>
      <c r="FY542" s="695"/>
      <c r="FZ542" s="695"/>
      <c r="GA542" s="695"/>
      <c r="GB542" s="695"/>
      <c r="GC542" s="695"/>
      <c r="GD542" s="695"/>
      <c r="GE542" s="695"/>
      <c r="GF542" s="695"/>
      <c r="GG542" s="695"/>
      <c r="GH542" s="695"/>
      <c r="GI542" s="695"/>
      <c r="GJ542" s="695"/>
      <c r="GK542" s="695"/>
      <c r="GL542" s="695"/>
      <c r="GM542" s="695"/>
      <c r="GN542" s="695"/>
      <c r="GO542" s="695"/>
      <c r="GP542" s="695"/>
      <c r="GQ542" s="695"/>
      <c r="GR542" s="695"/>
      <c r="GS542" s="695"/>
      <c r="GT542" s="695"/>
      <c r="GU542" s="695"/>
      <c r="GV542" s="695"/>
      <c r="GW542" s="695"/>
      <c r="GX542" s="695"/>
      <c r="GY542" s="695"/>
      <c r="GZ542" s="695"/>
      <c r="HA542" s="695"/>
      <c r="HB542" s="695"/>
      <c r="HC542" s="695"/>
      <c r="HD542" s="695"/>
      <c r="HE542" s="695"/>
      <c r="HF542" s="695"/>
      <c r="HG542" s="695"/>
      <c r="HH542" s="695"/>
      <c r="HI542" s="695"/>
      <c r="HJ542" s="695"/>
      <c r="HK542" s="695"/>
      <c r="HL542" s="695"/>
      <c r="HM542" s="695"/>
      <c r="HN542" s="695"/>
      <c r="HO542" s="695"/>
      <c r="HP542" s="695"/>
      <c r="HQ542" s="695"/>
      <c r="HR542" s="695"/>
      <c r="HS542" s="695"/>
      <c r="HT542" s="695"/>
      <c r="HU542" s="695"/>
      <c r="HV542" s="695"/>
      <c r="HW542" s="695"/>
      <c r="HX542" s="695"/>
      <c r="HY542" s="695"/>
      <c r="HZ542" s="695"/>
      <c r="IA542" s="695"/>
      <c r="IB542" s="695"/>
      <c r="IC542" s="695"/>
      <c r="ID542" s="695"/>
      <c r="IE542" s="695"/>
      <c r="IF542" s="695"/>
      <c r="IG542" s="695"/>
      <c r="IH542" s="695"/>
      <c r="II542" s="695"/>
      <c r="IJ542" s="695"/>
      <c r="IK542" s="695"/>
      <c r="IL542" s="695"/>
      <c r="IM542" s="695"/>
      <c r="IN542" s="695"/>
    </row>
    <row r="543" spans="1:248" s="893" customFormat="1" ht="27" customHeight="1" thickBot="1" x14ac:dyDescent="0.3">
      <c r="A543" s="892"/>
      <c r="B543" s="795" t="s">
        <v>1187</v>
      </c>
      <c r="C543" s="951">
        <f>SUM(C544,C547,C549,C551,C554)</f>
        <v>5955000</v>
      </c>
      <c r="D543" s="951">
        <f>SUM(D544,D547,D549,D551,D554)</f>
        <v>5885000</v>
      </c>
      <c r="E543" s="1170"/>
      <c r="F543" s="1308"/>
      <c r="G543" s="1237"/>
      <c r="H543" s="1237"/>
      <c r="I543" s="1253"/>
      <c r="J543" s="695"/>
      <c r="K543" s="695"/>
      <c r="L543" s="695"/>
      <c r="M543" s="695"/>
      <c r="N543" s="695"/>
      <c r="O543" s="695"/>
      <c r="P543" s="695"/>
      <c r="Q543" s="695"/>
      <c r="R543" s="695"/>
      <c r="S543" s="695"/>
      <c r="T543" s="695"/>
      <c r="U543" s="695"/>
      <c r="V543" s="695"/>
      <c r="W543" s="695"/>
      <c r="X543" s="695"/>
      <c r="Y543" s="695"/>
      <c r="Z543" s="695"/>
      <c r="AA543" s="695"/>
      <c r="AB543" s="695"/>
      <c r="AC543" s="695"/>
      <c r="AD543" s="695"/>
      <c r="AE543" s="695"/>
      <c r="AF543" s="695"/>
      <c r="AG543" s="695"/>
      <c r="FH543" s="695"/>
      <c r="FI543" s="695"/>
      <c r="FJ543" s="695"/>
      <c r="FK543" s="695"/>
      <c r="FL543" s="695"/>
      <c r="FM543" s="695"/>
      <c r="FN543" s="695"/>
      <c r="FO543" s="695"/>
      <c r="FP543" s="695"/>
      <c r="FQ543" s="695"/>
      <c r="FR543" s="695"/>
      <c r="FS543" s="695"/>
      <c r="FT543" s="695"/>
      <c r="FU543" s="695"/>
      <c r="FV543" s="695"/>
      <c r="FW543" s="695"/>
      <c r="FX543" s="695"/>
      <c r="FY543" s="695"/>
      <c r="FZ543" s="695"/>
      <c r="GA543" s="695"/>
      <c r="GB543" s="695"/>
      <c r="GC543" s="695"/>
      <c r="GD543" s="695"/>
      <c r="GE543" s="695"/>
      <c r="GF543" s="695"/>
      <c r="GG543" s="695"/>
      <c r="GH543" s="695"/>
      <c r="GI543" s="695"/>
      <c r="GJ543" s="695"/>
      <c r="GK543" s="695"/>
      <c r="GL543" s="695"/>
      <c r="GM543" s="695"/>
      <c r="GN543" s="695"/>
      <c r="GO543" s="695"/>
      <c r="GP543" s="695"/>
      <c r="GQ543" s="695"/>
      <c r="GR543" s="695"/>
      <c r="GS543" s="695"/>
      <c r="GT543" s="695"/>
      <c r="GU543" s="695"/>
      <c r="GV543" s="695"/>
      <c r="GW543" s="695"/>
      <c r="GX543" s="695"/>
      <c r="GY543" s="695"/>
      <c r="GZ543" s="695"/>
      <c r="HA543" s="695"/>
      <c r="HB543" s="695"/>
      <c r="HC543" s="695"/>
      <c r="HD543" s="695"/>
      <c r="HE543" s="695"/>
      <c r="HF543" s="695"/>
      <c r="HG543" s="695"/>
      <c r="HH543" s="695"/>
      <c r="HI543" s="695"/>
      <c r="HJ543" s="695"/>
      <c r="HK543" s="695"/>
      <c r="HL543" s="695"/>
      <c r="HM543" s="695"/>
      <c r="HN543" s="695"/>
      <c r="HO543" s="695"/>
      <c r="HP543" s="695"/>
      <c r="HQ543" s="695"/>
      <c r="HR543" s="695"/>
      <c r="HS543" s="695"/>
      <c r="HT543" s="695"/>
      <c r="HU543" s="695"/>
      <c r="HV543" s="695"/>
      <c r="HW543" s="695"/>
      <c r="HX543" s="695"/>
      <c r="HY543" s="695"/>
      <c r="HZ543" s="695"/>
      <c r="IA543" s="695"/>
      <c r="IB543" s="695"/>
      <c r="IC543" s="695"/>
      <c r="ID543" s="695"/>
      <c r="IE543" s="695"/>
      <c r="IF543" s="695"/>
      <c r="IG543" s="695"/>
      <c r="IH543" s="695"/>
      <c r="II543" s="695"/>
      <c r="IJ543" s="695"/>
      <c r="IK543" s="695"/>
      <c r="IL543" s="695"/>
      <c r="IM543" s="695"/>
      <c r="IN543" s="695"/>
    </row>
    <row r="544" spans="1:248" s="894" customFormat="1" ht="27" customHeight="1" x14ac:dyDescent="0.2">
      <c r="A544" s="887">
        <v>3745</v>
      </c>
      <c r="B544" s="914" t="s">
        <v>1363</v>
      </c>
      <c r="C544" s="919">
        <f t="shared" ref="C544:D544" si="44">SUM(C545:C546)</f>
        <v>5000</v>
      </c>
      <c r="D544" s="919">
        <f t="shared" si="44"/>
        <v>5000</v>
      </c>
      <c r="E544" s="919"/>
      <c r="F544" s="1302"/>
      <c r="G544" s="825"/>
      <c r="H544" s="1244"/>
      <c r="I544" s="1255"/>
      <c r="J544" s="695"/>
      <c r="K544" s="695"/>
      <c r="L544" s="695"/>
      <c r="M544" s="695"/>
      <c r="N544" s="695"/>
      <c r="O544" s="695"/>
      <c r="P544" s="695"/>
      <c r="Q544" s="695"/>
      <c r="R544" s="695"/>
      <c r="S544" s="695"/>
      <c r="T544" s="695"/>
      <c r="U544" s="695"/>
      <c r="V544" s="695"/>
      <c r="W544" s="695"/>
      <c r="X544" s="695"/>
      <c r="Y544" s="695"/>
      <c r="Z544" s="695"/>
      <c r="AA544" s="695"/>
      <c r="AB544" s="695"/>
      <c r="AC544" s="695"/>
      <c r="AD544" s="695"/>
      <c r="AE544" s="695"/>
      <c r="AF544" s="695"/>
      <c r="AG544" s="695"/>
      <c r="AH544" s="695"/>
      <c r="AI544" s="695"/>
      <c r="AJ544" s="695"/>
      <c r="AK544" s="695"/>
      <c r="AL544" s="695"/>
      <c r="AM544" s="695"/>
      <c r="AN544" s="695"/>
      <c r="AO544" s="695"/>
      <c r="AP544" s="695"/>
      <c r="AQ544" s="695"/>
      <c r="AR544" s="695"/>
      <c r="AS544" s="695"/>
      <c r="AT544" s="695"/>
      <c r="AU544" s="695"/>
      <c r="AV544" s="695"/>
      <c r="AW544" s="695"/>
      <c r="AX544" s="695"/>
      <c r="AY544" s="695"/>
      <c r="AZ544" s="695"/>
      <c r="BA544" s="695"/>
      <c r="BB544" s="695"/>
      <c r="BC544" s="695"/>
      <c r="BD544" s="695"/>
      <c r="BE544" s="695"/>
      <c r="BF544" s="695"/>
      <c r="BG544" s="695"/>
      <c r="BH544" s="695"/>
      <c r="BI544" s="695"/>
      <c r="BJ544" s="695"/>
      <c r="BK544" s="695"/>
      <c r="BL544" s="695"/>
      <c r="BM544" s="695"/>
      <c r="BN544" s="695"/>
      <c r="BO544" s="695"/>
      <c r="BP544" s="695"/>
      <c r="BQ544" s="695"/>
      <c r="BR544" s="695"/>
      <c r="BS544" s="695"/>
      <c r="BT544" s="695"/>
      <c r="BU544" s="695"/>
      <c r="BV544" s="695"/>
      <c r="BW544" s="695"/>
      <c r="BX544" s="695"/>
      <c r="BY544" s="695"/>
      <c r="BZ544" s="695"/>
      <c r="CA544" s="695"/>
      <c r="CB544" s="695"/>
      <c r="CC544" s="695"/>
      <c r="CD544" s="695"/>
      <c r="CE544" s="695"/>
      <c r="CF544" s="695"/>
      <c r="CG544" s="695"/>
      <c r="CH544" s="695"/>
      <c r="CI544" s="695"/>
      <c r="CJ544" s="695"/>
      <c r="CK544" s="695"/>
      <c r="CL544" s="695"/>
      <c r="CM544" s="695"/>
      <c r="CN544" s="695"/>
      <c r="CO544" s="695"/>
      <c r="CP544" s="695"/>
      <c r="CQ544" s="695"/>
      <c r="CR544" s="695"/>
      <c r="CS544" s="695"/>
      <c r="CT544" s="695"/>
      <c r="CU544" s="695"/>
      <c r="CV544" s="695"/>
      <c r="CW544" s="695"/>
      <c r="CX544" s="695"/>
      <c r="CY544" s="695"/>
      <c r="CZ544" s="695"/>
      <c r="DA544" s="695"/>
      <c r="DB544" s="695"/>
      <c r="DC544" s="695"/>
      <c r="DD544" s="695"/>
      <c r="DE544" s="695"/>
      <c r="DF544" s="695"/>
      <c r="DG544" s="695"/>
      <c r="DH544" s="695"/>
      <c r="DI544" s="695"/>
      <c r="DJ544" s="695"/>
      <c r="DK544" s="695"/>
      <c r="DL544" s="695"/>
      <c r="DM544" s="695"/>
      <c r="DN544" s="695"/>
      <c r="DO544" s="695"/>
      <c r="DP544" s="695"/>
      <c r="DQ544" s="695"/>
      <c r="DR544" s="695"/>
      <c r="DS544" s="695"/>
      <c r="DT544" s="695"/>
      <c r="DU544" s="695"/>
      <c r="DV544" s="695"/>
      <c r="DW544" s="695"/>
      <c r="DX544" s="695"/>
      <c r="DY544" s="695"/>
      <c r="DZ544" s="695"/>
      <c r="EA544" s="695"/>
      <c r="EB544" s="695"/>
      <c r="EC544" s="695"/>
      <c r="ED544" s="695"/>
      <c r="EE544" s="695"/>
      <c r="EF544" s="695"/>
      <c r="EG544" s="695"/>
      <c r="EH544" s="695"/>
      <c r="EI544" s="695"/>
      <c r="EJ544" s="695"/>
      <c r="EK544" s="695"/>
      <c r="EL544" s="695"/>
      <c r="EM544" s="695"/>
      <c r="EN544" s="695"/>
      <c r="EO544" s="695"/>
      <c r="EP544" s="695"/>
      <c r="EQ544" s="695"/>
      <c r="ER544" s="695"/>
      <c r="ES544" s="695"/>
      <c r="ET544" s="695"/>
      <c r="EU544" s="695"/>
      <c r="EV544" s="695"/>
      <c r="EW544" s="695"/>
      <c r="EX544" s="695"/>
      <c r="EY544" s="695"/>
      <c r="EZ544" s="695"/>
      <c r="FA544" s="695"/>
      <c r="FB544" s="695"/>
      <c r="FC544" s="695"/>
      <c r="FD544" s="695"/>
      <c r="FE544" s="695"/>
      <c r="FF544" s="695"/>
      <c r="FG544" s="695"/>
      <c r="FH544" s="695"/>
      <c r="FI544" s="695"/>
      <c r="FJ544" s="695"/>
      <c r="FK544" s="695"/>
      <c r="FL544" s="695"/>
      <c r="FM544" s="695"/>
      <c r="FN544" s="695"/>
      <c r="FO544" s="695"/>
      <c r="FP544" s="695"/>
      <c r="FQ544" s="695"/>
      <c r="FR544" s="695"/>
      <c r="FS544" s="695"/>
      <c r="FT544" s="695"/>
      <c r="FU544" s="695"/>
      <c r="FV544" s="695"/>
      <c r="FW544" s="695"/>
      <c r="FX544" s="695"/>
      <c r="FY544" s="695"/>
      <c r="FZ544" s="695"/>
      <c r="GA544" s="695"/>
      <c r="GB544" s="695"/>
      <c r="GC544" s="695"/>
      <c r="GD544" s="695"/>
      <c r="GE544" s="695"/>
      <c r="GF544" s="695"/>
      <c r="GG544" s="695"/>
      <c r="GH544" s="695"/>
      <c r="GI544" s="695"/>
      <c r="GJ544" s="695"/>
      <c r="GK544" s="695"/>
      <c r="GL544" s="695"/>
      <c r="GM544" s="695"/>
      <c r="GN544" s="695"/>
      <c r="GO544" s="695"/>
      <c r="GP544" s="695"/>
      <c r="GQ544" s="695"/>
      <c r="GR544" s="695"/>
      <c r="GS544" s="695"/>
      <c r="GT544" s="695"/>
      <c r="GU544" s="695"/>
      <c r="GV544" s="695"/>
      <c r="GW544" s="695"/>
      <c r="GX544" s="695"/>
      <c r="GY544" s="695"/>
      <c r="GZ544" s="695"/>
      <c r="HA544" s="695"/>
      <c r="HB544" s="695"/>
      <c r="HC544" s="695"/>
      <c r="HD544" s="695"/>
      <c r="HE544" s="695"/>
      <c r="HF544" s="695"/>
      <c r="HG544" s="695"/>
      <c r="HH544" s="695"/>
      <c r="HI544" s="695"/>
      <c r="HJ544" s="695"/>
      <c r="HK544" s="695"/>
      <c r="HL544" s="695"/>
      <c r="HM544" s="695"/>
      <c r="HN544" s="695"/>
      <c r="HO544" s="695"/>
      <c r="HP544" s="695"/>
      <c r="HQ544" s="695"/>
      <c r="HR544" s="695"/>
      <c r="HS544" s="695"/>
      <c r="HT544" s="695"/>
      <c r="HU544" s="695"/>
      <c r="HV544" s="695"/>
      <c r="HW544" s="695"/>
      <c r="HX544" s="695"/>
      <c r="HY544" s="695"/>
      <c r="HZ544" s="695"/>
      <c r="IA544" s="695"/>
      <c r="IB544" s="695"/>
      <c r="IC544" s="695"/>
      <c r="ID544" s="695"/>
      <c r="IE544" s="695"/>
      <c r="IF544" s="695"/>
      <c r="IG544" s="695"/>
      <c r="IH544" s="695"/>
      <c r="II544" s="695"/>
      <c r="IJ544" s="695"/>
      <c r="IK544" s="695"/>
      <c r="IL544" s="695"/>
      <c r="IM544" s="695"/>
      <c r="IN544" s="695"/>
    </row>
    <row r="545" spans="1:248" s="893" customFormat="1" ht="27" customHeight="1" x14ac:dyDescent="0.2">
      <c r="A545" s="748" t="s">
        <v>1188</v>
      </c>
      <c r="B545" s="913" t="s">
        <v>1819</v>
      </c>
      <c r="C545" s="709">
        <v>5000</v>
      </c>
      <c r="D545" s="709">
        <v>5000</v>
      </c>
      <c r="E545" s="744"/>
      <c r="F545" s="744"/>
      <c r="G545" s="1243"/>
      <c r="H545" s="1248"/>
      <c r="I545" s="1249"/>
      <c r="J545" s="695"/>
      <c r="K545" s="695"/>
      <c r="L545" s="695"/>
      <c r="M545" s="695"/>
      <c r="N545" s="695"/>
      <c r="O545" s="695"/>
      <c r="P545" s="695"/>
      <c r="Q545" s="695"/>
      <c r="R545" s="695"/>
      <c r="S545" s="695"/>
      <c r="T545" s="695"/>
      <c r="U545" s="695"/>
      <c r="V545" s="695"/>
      <c r="W545" s="695"/>
      <c r="X545" s="695"/>
      <c r="Y545" s="695"/>
      <c r="Z545" s="695"/>
      <c r="AA545" s="695"/>
      <c r="AB545" s="695"/>
      <c r="AC545" s="695"/>
      <c r="AD545" s="695"/>
      <c r="AE545" s="695"/>
      <c r="AF545" s="695"/>
      <c r="AG545" s="695"/>
      <c r="AH545" s="695"/>
      <c r="AI545" s="695"/>
      <c r="AJ545" s="695"/>
      <c r="AK545" s="695"/>
      <c r="AL545" s="695"/>
      <c r="AM545" s="695"/>
      <c r="AN545" s="695"/>
      <c r="AO545" s="695"/>
      <c r="AP545" s="695"/>
      <c r="AQ545" s="695"/>
      <c r="AR545" s="695"/>
      <c r="AS545" s="695"/>
      <c r="AT545" s="695"/>
      <c r="AU545" s="695"/>
      <c r="AV545" s="695"/>
      <c r="AW545" s="695"/>
      <c r="AX545" s="695"/>
      <c r="AY545" s="695"/>
      <c r="AZ545" s="695"/>
      <c r="BA545" s="695"/>
      <c r="BB545" s="695"/>
      <c r="BC545" s="695"/>
      <c r="BD545" s="695"/>
      <c r="BE545" s="695"/>
      <c r="BF545" s="695"/>
      <c r="BG545" s="695"/>
      <c r="BH545" s="695"/>
      <c r="BI545" s="695"/>
      <c r="BJ545" s="695"/>
      <c r="BK545" s="695"/>
      <c r="BL545" s="695"/>
      <c r="BM545" s="695"/>
      <c r="BN545" s="695"/>
      <c r="BO545" s="695"/>
      <c r="BP545" s="695"/>
      <c r="BQ545" s="695"/>
      <c r="BR545" s="695"/>
      <c r="BS545" s="695"/>
      <c r="BT545" s="695"/>
      <c r="BU545" s="695"/>
      <c r="BV545" s="695"/>
      <c r="BW545" s="695"/>
      <c r="BX545" s="695"/>
      <c r="BY545" s="695"/>
      <c r="BZ545" s="695"/>
      <c r="CA545" s="695"/>
      <c r="CB545" s="695"/>
      <c r="CC545" s="695"/>
      <c r="CD545" s="695"/>
      <c r="CE545" s="695"/>
      <c r="CF545" s="695"/>
      <c r="CG545" s="695"/>
      <c r="CH545" s="695"/>
      <c r="CI545" s="695"/>
      <c r="CJ545" s="695"/>
      <c r="CK545" s="695"/>
      <c r="CL545" s="695"/>
      <c r="CM545" s="695"/>
      <c r="CN545" s="695"/>
      <c r="CO545" s="695"/>
      <c r="CP545" s="695"/>
      <c r="CQ545" s="695"/>
      <c r="CR545" s="695"/>
      <c r="CS545" s="695"/>
      <c r="CT545" s="695"/>
      <c r="CU545" s="695"/>
      <c r="CV545" s="695"/>
      <c r="CW545" s="695"/>
      <c r="CX545" s="695"/>
      <c r="CY545" s="695"/>
      <c r="CZ545" s="695"/>
      <c r="DA545" s="695"/>
      <c r="DB545" s="695"/>
      <c r="DC545" s="695"/>
      <c r="DD545" s="695"/>
      <c r="DE545" s="695"/>
      <c r="DF545" s="695"/>
      <c r="DG545" s="695"/>
      <c r="DH545" s="695"/>
      <c r="DI545" s="695"/>
      <c r="DJ545" s="695"/>
      <c r="DK545" s="695"/>
      <c r="DL545" s="695"/>
      <c r="DM545" s="695"/>
      <c r="DN545" s="695"/>
      <c r="DO545" s="695"/>
      <c r="DP545" s="695"/>
      <c r="DQ545" s="695"/>
      <c r="DR545" s="695"/>
      <c r="DS545" s="695"/>
      <c r="DT545" s="695"/>
      <c r="DU545" s="695"/>
      <c r="DV545" s="695"/>
      <c r="DW545" s="695"/>
      <c r="DX545" s="695"/>
      <c r="DY545" s="695"/>
      <c r="DZ545" s="695"/>
      <c r="EA545" s="695"/>
      <c r="EB545" s="695"/>
      <c r="EC545" s="695"/>
      <c r="ED545" s="695"/>
      <c r="EE545" s="695"/>
      <c r="EF545" s="695"/>
      <c r="EG545" s="695"/>
      <c r="EH545" s="695"/>
      <c r="EI545" s="695"/>
      <c r="EJ545" s="695"/>
      <c r="EK545" s="695"/>
      <c r="EL545" s="695"/>
      <c r="EM545" s="695"/>
      <c r="EN545" s="695"/>
      <c r="EO545" s="695"/>
      <c r="EP545" s="695"/>
      <c r="EQ545" s="695"/>
      <c r="ER545" s="695"/>
      <c r="ES545" s="695"/>
      <c r="ET545" s="695"/>
      <c r="EU545" s="695"/>
      <c r="EV545" s="695"/>
      <c r="EW545" s="695"/>
      <c r="EX545" s="695"/>
      <c r="EY545" s="695"/>
      <c r="EZ545" s="695"/>
      <c r="FA545" s="695"/>
      <c r="FB545" s="695"/>
      <c r="FC545" s="695"/>
      <c r="FD545" s="695"/>
      <c r="FE545" s="695"/>
      <c r="FF545" s="695"/>
      <c r="FG545" s="695"/>
      <c r="FH545" s="695"/>
      <c r="FI545" s="695"/>
      <c r="FJ545" s="695"/>
      <c r="FK545" s="695"/>
      <c r="FL545" s="695"/>
      <c r="FM545" s="695"/>
      <c r="FN545" s="695"/>
      <c r="FO545" s="695"/>
      <c r="FP545" s="695"/>
      <c r="FQ545" s="695"/>
      <c r="FR545" s="695"/>
      <c r="FS545" s="695"/>
      <c r="FT545" s="695"/>
      <c r="FU545" s="695"/>
      <c r="FV545" s="695"/>
      <c r="FW545" s="695"/>
      <c r="FX545" s="695"/>
      <c r="FY545" s="695"/>
      <c r="FZ545" s="695"/>
      <c r="GA545" s="695"/>
      <c r="GB545" s="695"/>
      <c r="GC545" s="695"/>
      <c r="GD545" s="695"/>
      <c r="GE545" s="695"/>
      <c r="GF545" s="695"/>
      <c r="GG545" s="695"/>
      <c r="GH545" s="695"/>
      <c r="GI545" s="695"/>
      <c r="GJ545" s="695"/>
      <c r="GK545" s="695"/>
      <c r="GL545" s="695"/>
      <c r="GM545" s="695"/>
      <c r="GN545" s="695"/>
      <c r="GO545" s="695"/>
      <c r="GP545" s="695"/>
      <c r="GQ545" s="695"/>
      <c r="GR545" s="695"/>
      <c r="GS545" s="695"/>
      <c r="GT545" s="695"/>
      <c r="GU545" s="695"/>
      <c r="GV545" s="695"/>
      <c r="GW545" s="695"/>
      <c r="GX545" s="695"/>
      <c r="GY545" s="695"/>
      <c r="GZ545" s="695"/>
      <c r="HA545" s="695"/>
      <c r="HB545" s="695"/>
      <c r="HC545" s="695"/>
      <c r="HD545" s="695"/>
      <c r="HE545" s="695"/>
      <c r="HF545" s="695"/>
      <c r="HG545" s="695"/>
      <c r="HH545" s="695"/>
      <c r="HI545" s="695"/>
      <c r="HJ545" s="695"/>
      <c r="HK545" s="695"/>
      <c r="HL545" s="695"/>
      <c r="HM545" s="695"/>
      <c r="HN545" s="695"/>
      <c r="HO545" s="695"/>
      <c r="HP545" s="695"/>
      <c r="HQ545" s="695"/>
      <c r="HR545" s="695"/>
      <c r="HS545" s="695"/>
      <c r="HT545" s="695"/>
      <c r="HU545" s="695"/>
      <c r="HV545" s="695"/>
      <c r="HW545" s="695"/>
      <c r="HX545" s="695"/>
      <c r="HY545" s="695"/>
      <c r="HZ545" s="695"/>
      <c r="IA545" s="695"/>
      <c r="IB545" s="695"/>
      <c r="IC545" s="695"/>
      <c r="ID545" s="695"/>
      <c r="IE545" s="695"/>
      <c r="IF545" s="695"/>
      <c r="IG545" s="695"/>
      <c r="IH545" s="695"/>
      <c r="II545" s="695"/>
      <c r="IJ545" s="695"/>
      <c r="IK545" s="695"/>
      <c r="IL545" s="695"/>
      <c r="IM545" s="695"/>
      <c r="IN545" s="695"/>
    </row>
    <row r="546" spans="1:248" s="695" customFormat="1" ht="27" customHeight="1" x14ac:dyDescent="0.2">
      <c r="A546" s="923" t="s">
        <v>1311</v>
      </c>
      <c r="B546" s="758" t="s">
        <v>1704</v>
      </c>
      <c r="C546" s="744">
        <v>0</v>
      </c>
      <c r="D546" s="744">
        <v>0</v>
      </c>
      <c r="E546" s="920"/>
      <c r="F546" s="1301"/>
      <c r="G546" s="825"/>
      <c r="H546" s="1244"/>
      <c r="I546" s="1255"/>
    </row>
    <row r="547" spans="1:248" s="107" customFormat="1" ht="27" customHeight="1" x14ac:dyDescent="0.2">
      <c r="A547" s="752">
        <v>2321</v>
      </c>
      <c r="B547" s="915" t="s">
        <v>1357</v>
      </c>
      <c r="C547" s="754">
        <f t="shared" ref="C547:D547" si="45">SUM(C548:C548)</f>
        <v>250000</v>
      </c>
      <c r="D547" s="754">
        <f t="shared" si="45"/>
        <v>250000</v>
      </c>
      <c r="E547" s="744"/>
      <c r="F547" s="744"/>
      <c r="G547" s="1243"/>
      <c r="H547" s="1248"/>
      <c r="I547" s="1249"/>
      <c r="J547" s="1185"/>
      <c r="K547" s="1185"/>
      <c r="L547" s="1185"/>
      <c r="M547" s="1185"/>
      <c r="N547" s="1185"/>
      <c r="O547" s="1185"/>
      <c r="P547" s="1185"/>
      <c r="Q547" s="1185"/>
      <c r="R547" s="1185"/>
      <c r="S547" s="1185"/>
      <c r="T547" s="1185"/>
      <c r="U547" s="1185"/>
      <c r="V547" s="1185"/>
      <c r="W547" s="1185"/>
      <c r="X547" s="1185"/>
      <c r="Y547" s="1185"/>
      <c r="Z547" s="1185"/>
      <c r="AA547" s="1185"/>
      <c r="AB547" s="1185"/>
      <c r="AC547" s="1185"/>
      <c r="AD547" s="1185"/>
      <c r="AE547" s="1185"/>
      <c r="AF547" s="1185"/>
      <c r="AG547" s="1185"/>
      <c r="AH547" s="1185"/>
      <c r="AI547" s="1185"/>
      <c r="AJ547" s="1185"/>
      <c r="AK547" s="1185"/>
      <c r="AL547" s="1185"/>
      <c r="AM547" s="1185"/>
      <c r="AN547" s="1185"/>
      <c r="AO547" s="1185"/>
      <c r="AP547" s="1185"/>
      <c r="AQ547" s="1185"/>
      <c r="AR547" s="1185"/>
      <c r="AS547" s="1185"/>
      <c r="AT547" s="1185"/>
      <c r="AU547" s="1185"/>
      <c r="AV547" s="1185"/>
      <c r="AW547" s="1185"/>
      <c r="AX547" s="1185"/>
      <c r="AY547" s="1185"/>
      <c r="AZ547" s="1185"/>
      <c r="BA547" s="1185"/>
      <c r="BB547" s="1185"/>
      <c r="BC547" s="1185"/>
      <c r="BD547" s="1185"/>
      <c r="BE547" s="1185"/>
      <c r="BF547" s="1185"/>
      <c r="BG547" s="1185"/>
      <c r="BH547" s="1185"/>
      <c r="BI547" s="1185"/>
      <c r="BJ547" s="1185"/>
      <c r="BK547" s="1185"/>
      <c r="BL547" s="1185"/>
      <c r="BM547" s="1185"/>
      <c r="BN547" s="1185"/>
      <c r="BO547" s="1185"/>
      <c r="BP547" s="1185"/>
      <c r="BQ547" s="1185"/>
      <c r="BR547" s="1185"/>
      <c r="BS547" s="1185"/>
      <c r="BT547" s="1185"/>
      <c r="BU547" s="1185"/>
      <c r="BV547" s="1185"/>
      <c r="BW547" s="1185"/>
      <c r="BX547" s="1185"/>
      <c r="BY547" s="1185"/>
      <c r="BZ547" s="1185"/>
      <c r="CA547" s="1185"/>
      <c r="CB547" s="1185"/>
      <c r="CC547" s="1185"/>
      <c r="CD547" s="1185"/>
      <c r="CE547" s="1185"/>
      <c r="CF547" s="1185"/>
      <c r="CG547" s="1185"/>
      <c r="CH547" s="1185"/>
      <c r="CI547" s="1185"/>
      <c r="CJ547" s="1185"/>
      <c r="CK547" s="1185"/>
      <c r="CL547" s="1185"/>
      <c r="CM547" s="1185"/>
      <c r="CN547" s="1185"/>
      <c r="CO547" s="1185"/>
      <c r="CP547" s="1185"/>
      <c r="CQ547" s="1185"/>
      <c r="CR547" s="1185"/>
      <c r="CS547" s="1185"/>
      <c r="CT547" s="1185"/>
      <c r="CU547" s="1185"/>
      <c r="CV547" s="1185"/>
      <c r="CW547" s="1185"/>
      <c r="CX547" s="1185"/>
      <c r="CY547" s="1185"/>
      <c r="CZ547" s="1185"/>
      <c r="DA547" s="1185"/>
      <c r="DB547" s="1185"/>
      <c r="DC547" s="1185"/>
      <c r="DD547" s="1185"/>
      <c r="DE547" s="1185"/>
      <c r="DF547" s="1185"/>
      <c r="DG547" s="1185"/>
      <c r="DH547" s="1185"/>
      <c r="DI547" s="1185"/>
      <c r="DJ547" s="1185"/>
      <c r="DK547" s="1185"/>
      <c r="DL547" s="1185"/>
      <c r="DM547" s="1185"/>
      <c r="DN547" s="1185"/>
      <c r="DO547" s="1185"/>
      <c r="DP547" s="1185"/>
      <c r="DQ547" s="1185"/>
      <c r="DR547" s="1185"/>
      <c r="DS547" s="1185"/>
      <c r="DT547" s="1185"/>
      <c r="DU547" s="1185"/>
      <c r="DV547" s="1185"/>
      <c r="DW547" s="1185"/>
      <c r="DX547" s="1185"/>
      <c r="DY547" s="1185"/>
      <c r="DZ547" s="1185"/>
      <c r="EA547" s="1185"/>
      <c r="EB547" s="1185"/>
      <c r="EC547" s="1185"/>
      <c r="ED547" s="1185"/>
      <c r="EE547" s="1185"/>
      <c r="EF547" s="1185"/>
      <c r="EG547" s="1185"/>
      <c r="EH547" s="1185"/>
      <c r="EI547" s="1185"/>
      <c r="EJ547" s="1185"/>
      <c r="EK547" s="1185"/>
      <c r="EL547" s="1185"/>
      <c r="EM547" s="1185"/>
      <c r="EN547" s="1185"/>
      <c r="EO547" s="1185"/>
      <c r="EP547" s="1185"/>
      <c r="EQ547" s="1185"/>
      <c r="ER547" s="1185"/>
      <c r="ES547" s="1185"/>
      <c r="ET547" s="1185"/>
      <c r="EU547" s="1185"/>
      <c r="EV547" s="1185"/>
      <c r="EW547" s="1185"/>
      <c r="EX547" s="1185"/>
      <c r="EY547" s="1185"/>
      <c r="EZ547" s="1185"/>
      <c r="FA547" s="1185"/>
      <c r="FB547" s="1185"/>
      <c r="FC547" s="1185"/>
      <c r="FD547" s="1185"/>
      <c r="FE547" s="1185"/>
      <c r="FF547" s="1185"/>
      <c r="FG547" s="1185"/>
      <c r="FH547" s="1185"/>
      <c r="FI547" s="1185"/>
      <c r="FJ547" s="1185"/>
      <c r="FK547" s="1185"/>
      <c r="FL547" s="1185"/>
      <c r="FM547" s="1185"/>
      <c r="FN547" s="1185"/>
      <c r="FO547" s="1185"/>
      <c r="FP547" s="1185"/>
      <c r="FQ547" s="1185"/>
      <c r="FR547" s="1185"/>
      <c r="FS547" s="1185"/>
      <c r="FT547" s="1185"/>
      <c r="FU547" s="1185"/>
      <c r="FV547" s="1185"/>
      <c r="FW547" s="1185"/>
      <c r="FX547" s="1185"/>
      <c r="FY547" s="1185"/>
      <c r="FZ547" s="1185"/>
      <c r="GA547" s="1185"/>
      <c r="GB547" s="1185"/>
      <c r="GC547" s="1185"/>
      <c r="GD547" s="1185"/>
      <c r="GE547" s="1185"/>
      <c r="GF547" s="1185"/>
      <c r="GG547" s="1185"/>
      <c r="GH547" s="1185"/>
      <c r="GI547" s="1185"/>
      <c r="GJ547" s="1185"/>
      <c r="GK547" s="1185"/>
      <c r="GL547" s="1185"/>
      <c r="GM547" s="1185"/>
      <c r="GN547" s="1185"/>
      <c r="GO547" s="1185"/>
      <c r="GP547" s="1185"/>
      <c r="GQ547" s="1185"/>
      <c r="GR547" s="1185"/>
      <c r="GS547" s="1185"/>
      <c r="GT547" s="1185"/>
      <c r="GU547" s="1185"/>
      <c r="GV547" s="1185"/>
      <c r="GW547" s="1185"/>
      <c r="GX547" s="1185"/>
      <c r="GY547" s="1185"/>
      <c r="GZ547" s="1185"/>
      <c r="HA547" s="1185"/>
      <c r="HB547" s="1185"/>
      <c r="HC547" s="1185"/>
      <c r="HD547" s="1185"/>
      <c r="HE547" s="1185"/>
      <c r="HF547" s="1185"/>
      <c r="HG547" s="1185"/>
      <c r="HH547" s="1185"/>
      <c r="HI547" s="1185"/>
      <c r="HJ547" s="1185"/>
      <c r="HK547" s="1185"/>
      <c r="HL547" s="1185"/>
      <c r="HM547" s="1185"/>
      <c r="HN547" s="1185"/>
      <c r="HO547" s="1185"/>
      <c r="HP547" s="1185"/>
      <c r="HQ547" s="1185"/>
      <c r="HR547" s="1185"/>
      <c r="HS547" s="1185"/>
      <c r="HT547" s="1185"/>
      <c r="HU547" s="1185"/>
      <c r="HV547" s="1185"/>
      <c r="HW547" s="1185"/>
      <c r="HX547" s="1185"/>
      <c r="HY547" s="1185"/>
      <c r="HZ547" s="1185"/>
      <c r="IA547" s="1185"/>
      <c r="IB547" s="1185"/>
      <c r="IC547" s="1185"/>
      <c r="ID547" s="1185"/>
      <c r="IE547" s="1185"/>
      <c r="IF547" s="1185"/>
      <c r="IG547" s="1185"/>
      <c r="IH547" s="1185"/>
      <c r="II547" s="1185"/>
      <c r="IJ547" s="1185"/>
      <c r="IK547" s="1185"/>
      <c r="IL547" s="1185"/>
      <c r="IM547" s="1185"/>
      <c r="IN547" s="1185"/>
    </row>
    <row r="548" spans="1:248" s="904" customFormat="1" ht="27" customHeight="1" x14ac:dyDescent="0.2">
      <c r="A548" s="924" t="s">
        <v>1676</v>
      </c>
      <c r="B548" s="758" t="s">
        <v>1820</v>
      </c>
      <c r="C548" s="751">
        <v>250000</v>
      </c>
      <c r="D548" s="751">
        <v>250000</v>
      </c>
      <c r="E548" s="744"/>
      <c r="F548" s="744"/>
      <c r="G548" s="1243"/>
      <c r="H548" s="1248"/>
      <c r="I548" s="1249"/>
      <c r="J548" s="695"/>
      <c r="K548" s="695"/>
      <c r="L548" s="695"/>
      <c r="M548" s="695"/>
      <c r="N548" s="695"/>
      <c r="O548" s="695"/>
      <c r="P548" s="695"/>
      <c r="Q548" s="695"/>
      <c r="R548" s="695"/>
      <c r="S548" s="695"/>
      <c r="T548" s="695"/>
      <c r="U548" s="695"/>
      <c r="V548" s="695"/>
      <c r="W548" s="695"/>
      <c r="X548" s="695"/>
      <c r="Y548" s="695"/>
      <c r="Z548" s="695"/>
      <c r="AA548" s="695"/>
      <c r="AB548" s="695"/>
      <c r="AC548" s="695"/>
      <c r="AD548" s="695"/>
      <c r="AE548" s="695"/>
      <c r="AF548" s="695"/>
      <c r="AG548" s="695"/>
      <c r="AH548" s="695"/>
      <c r="AI548" s="695"/>
      <c r="AJ548" s="695"/>
      <c r="AK548" s="695"/>
      <c r="AL548" s="695"/>
      <c r="AM548" s="695"/>
      <c r="AN548" s="695"/>
      <c r="AO548" s="695"/>
      <c r="AP548" s="695"/>
      <c r="AQ548" s="695"/>
      <c r="AR548" s="695"/>
      <c r="AS548" s="695"/>
      <c r="AT548" s="695"/>
      <c r="AU548" s="695"/>
      <c r="AV548" s="695"/>
      <c r="AW548" s="695"/>
      <c r="AX548" s="695"/>
      <c r="AY548" s="695"/>
      <c r="AZ548" s="695"/>
      <c r="BA548" s="695"/>
      <c r="BB548" s="695"/>
      <c r="BC548" s="695"/>
      <c r="BD548" s="695"/>
      <c r="BE548" s="695"/>
      <c r="BF548" s="695"/>
      <c r="BG548" s="695"/>
      <c r="BH548" s="695"/>
      <c r="BI548" s="695"/>
      <c r="BJ548" s="695"/>
      <c r="BK548" s="695"/>
      <c r="BL548" s="695"/>
      <c r="BM548" s="695"/>
      <c r="BN548" s="695"/>
      <c r="BO548" s="695"/>
      <c r="BP548" s="695"/>
      <c r="BQ548" s="695"/>
      <c r="BR548" s="695"/>
      <c r="BS548" s="695"/>
      <c r="BT548" s="695"/>
      <c r="BU548" s="695"/>
      <c r="BV548" s="695"/>
      <c r="BW548" s="695"/>
      <c r="BX548" s="695"/>
      <c r="BY548" s="695"/>
      <c r="BZ548" s="695"/>
      <c r="CA548" s="695"/>
      <c r="CB548" s="695"/>
      <c r="CC548" s="695"/>
      <c r="CD548" s="695"/>
      <c r="CE548" s="695"/>
      <c r="CF548" s="695"/>
      <c r="CG548" s="695"/>
      <c r="CH548" s="695"/>
      <c r="CI548" s="695"/>
      <c r="CJ548" s="695"/>
      <c r="CK548" s="695"/>
      <c r="CL548" s="695"/>
      <c r="CM548" s="695"/>
      <c r="CN548" s="695"/>
      <c r="CO548" s="695"/>
      <c r="CP548" s="695"/>
      <c r="CQ548" s="695"/>
      <c r="CR548" s="695"/>
      <c r="CS548" s="695"/>
      <c r="CT548" s="695"/>
      <c r="CU548" s="695"/>
      <c r="CV548" s="695"/>
      <c r="CW548" s="695"/>
      <c r="CX548" s="695"/>
      <c r="CY548" s="695"/>
      <c r="CZ548" s="695"/>
      <c r="DA548" s="695"/>
      <c r="DB548" s="695"/>
      <c r="DC548" s="695"/>
      <c r="DD548" s="695"/>
      <c r="DE548" s="695"/>
      <c r="DF548" s="695"/>
      <c r="DG548" s="695"/>
      <c r="DH548" s="695"/>
      <c r="DI548" s="695"/>
      <c r="DJ548" s="695"/>
      <c r="DK548" s="695"/>
      <c r="DL548" s="695"/>
      <c r="DM548" s="695"/>
      <c r="DN548" s="695"/>
      <c r="DO548" s="695"/>
      <c r="DP548" s="695"/>
      <c r="DQ548" s="695"/>
      <c r="DR548" s="695"/>
      <c r="DS548" s="695"/>
      <c r="DT548" s="695"/>
      <c r="DU548" s="695"/>
      <c r="DV548" s="695"/>
      <c r="DW548" s="695"/>
      <c r="DX548" s="695"/>
      <c r="DY548" s="695"/>
      <c r="DZ548" s="695"/>
      <c r="EA548" s="695"/>
      <c r="EB548" s="695"/>
      <c r="EC548" s="695"/>
      <c r="ED548" s="695"/>
      <c r="EE548" s="695"/>
      <c r="EF548" s="695"/>
      <c r="EG548" s="695"/>
      <c r="EH548" s="695"/>
      <c r="EI548" s="695"/>
      <c r="EJ548" s="695"/>
      <c r="EK548" s="695"/>
      <c r="EL548" s="695"/>
      <c r="EM548" s="695"/>
      <c r="EN548" s="695"/>
      <c r="EO548" s="695"/>
      <c r="EP548" s="695"/>
      <c r="EQ548" s="695"/>
      <c r="ER548" s="695"/>
      <c r="ES548" s="695"/>
      <c r="ET548" s="695"/>
      <c r="EU548" s="695"/>
      <c r="EV548" s="695"/>
      <c r="EW548" s="695"/>
      <c r="EX548" s="695"/>
      <c r="EY548" s="695"/>
      <c r="EZ548" s="695"/>
      <c r="FA548" s="695"/>
      <c r="FB548" s="695"/>
      <c r="FC548" s="695"/>
      <c r="FD548" s="695"/>
      <c r="FE548" s="695"/>
      <c r="FF548" s="695"/>
      <c r="FG548" s="695"/>
      <c r="FH548" s="695"/>
      <c r="FI548" s="695"/>
      <c r="FJ548" s="695"/>
      <c r="FK548" s="695"/>
      <c r="FL548" s="695"/>
      <c r="FM548" s="695"/>
      <c r="FN548" s="695"/>
      <c r="FO548" s="695"/>
      <c r="FP548" s="695"/>
      <c r="FQ548" s="695"/>
      <c r="FR548" s="695"/>
      <c r="FS548" s="695"/>
      <c r="FT548" s="695"/>
      <c r="FU548" s="695"/>
      <c r="FV548" s="695"/>
      <c r="FW548" s="695"/>
      <c r="FX548" s="695"/>
      <c r="FY548" s="695"/>
      <c r="FZ548" s="695"/>
      <c r="GA548" s="695"/>
      <c r="GB548" s="695"/>
      <c r="GC548" s="695"/>
      <c r="GD548" s="695"/>
      <c r="GE548" s="695"/>
      <c r="GF548" s="695"/>
      <c r="GG548" s="695"/>
      <c r="GH548" s="695"/>
      <c r="GI548" s="695"/>
      <c r="GJ548" s="695"/>
      <c r="GK548" s="695"/>
      <c r="GL548" s="695"/>
      <c r="GM548" s="695"/>
      <c r="GN548" s="695"/>
      <c r="GO548" s="695"/>
      <c r="GP548" s="695"/>
      <c r="GQ548" s="695"/>
      <c r="GR548" s="695"/>
      <c r="GS548" s="695"/>
      <c r="GT548" s="695"/>
      <c r="GU548" s="695"/>
      <c r="GV548" s="695"/>
      <c r="GW548" s="695"/>
      <c r="GX548" s="695"/>
      <c r="GY548" s="695"/>
      <c r="GZ548" s="695"/>
      <c r="HA548" s="695"/>
      <c r="HB548" s="695"/>
      <c r="HC548" s="695"/>
      <c r="HD548" s="695"/>
      <c r="HE548" s="695"/>
      <c r="HF548" s="695"/>
      <c r="HG548" s="695"/>
      <c r="HH548" s="695"/>
      <c r="HI548" s="695"/>
      <c r="HJ548" s="695"/>
      <c r="HK548" s="695"/>
      <c r="HL548" s="695"/>
      <c r="HM548" s="695"/>
      <c r="HN548" s="695"/>
      <c r="HO548" s="695"/>
      <c r="HP548" s="695"/>
      <c r="HQ548" s="695"/>
      <c r="HR548" s="695"/>
      <c r="HS548" s="695"/>
      <c r="HT548" s="695"/>
      <c r="HU548" s="695"/>
      <c r="HV548" s="695"/>
      <c r="HW548" s="695"/>
      <c r="HX548" s="695"/>
      <c r="HY548" s="695"/>
      <c r="HZ548" s="695"/>
      <c r="IA548" s="695"/>
      <c r="IB548" s="695"/>
      <c r="IC548" s="695"/>
      <c r="ID548" s="695"/>
      <c r="IE548" s="695"/>
      <c r="IF548" s="695"/>
      <c r="IG548" s="695"/>
      <c r="IH548" s="695"/>
      <c r="II548" s="695"/>
      <c r="IJ548" s="695"/>
      <c r="IK548" s="695"/>
      <c r="IL548" s="695"/>
      <c r="IM548" s="695"/>
      <c r="IN548" s="695"/>
    </row>
    <row r="549" spans="1:248" s="12" customFormat="1" ht="27" customHeight="1" x14ac:dyDescent="0.2">
      <c r="A549" s="925">
        <v>3612</v>
      </c>
      <c r="B549" s="916" t="s">
        <v>1190</v>
      </c>
      <c r="C549" s="922">
        <f t="shared" ref="C549:D549" si="46">SUM(C550:C550)</f>
        <v>400000</v>
      </c>
      <c r="D549" s="922">
        <f t="shared" si="46"/>
        <v>400000</v>
      </c>
      <c r="E549" s="920"/>
      <c r="F549" s="1301"/>
      <c r="G549" s="825"/>
      <c r="H549" s="1244"/>
      <c r="I549" s="1255"/>
      <c r="J549" s="695"/>
      <c r="K549" s="695"/>
      <c r="L549" s="695"/>
      <c r="M549" s="695"/>
      <c r="N549" s="695"/>
      <c r="O549" s="695"/>
      <c r="P549" s="695"/>
      <c r="Q549" s="695"/>
      <c r="R549" s="695"/>
      <c r="S549" s="695"/>
      <c r="T549" s="695"/>
      <c r="U549" s="695"/>
      <c r="V549" s="695"/>
      <c r="W549" s="695"/>
      <c r="X549" s="695"/>
      <c r="Y549" s="695"/>
      <c r="Z549" s="695"/>
      <c r="AA549" s="695"/>
      <c r="AB549" s="695"/>
      <c r="AC549" s="695"/>
      <c r="AD549" s="695"/>
      <c r="AE549" s="695"/>
      <c r="AF549" s="695"/>
      <c r="AG549" s="695"/>
      <c r="AH549" s="695"/>
      <c r="AI549" s="695"/>
      <c r="AJ549" s="695"/>
      <c r="AK549" s="695"/>
      <c r="AL549" s="695"/>
      <c r="AM549" s="695"/>
      <c r="AN549" s="695"/>
      <c r="AO549" s="695"/>
      <c r="AP549" s="695"/>
      <c r="AQ549" s="695"/>
      <c r="AR549" s="695"/>
      <c r="AS549" s="695"/>
      <c r="AT549" s="695"/>
      <c r="AU549" s="695"/>
      <c r="AV549" s="695"/>
      <c r="AW549" s="695"/>
      <c r="AX549" s="695"/>
      <c r="AY549" s="695"/>
      <c r="AZ549" s="695"/>
      <c r="BA549" s="695"/>
      <c r="BB549" s="695"/>
      <c r="BC549" s="695"/>
      <c r="BD549" s="695"/>
      <c r="BE549" s="695"/>
      <c r="BF549" s="695"/>
      <c r="BG549" s="695"/>
      <c r="BH549" s="695"/>
      <c r="BI549" s="695"/>
      <c r="BJ549" s="695"/>
      <c r="BK549" s="695"/>
      <c r="BL549" s="695"/>
      <c r="BM549" s="695"/>
      <c r="BN549" s="695"/>
      <c r="BO549" s="695"/>
      <c r="BP549" s="695"/>
      <c r="BQ549" s="695"/>
      <c r="BR549" s="695"/>
      <c r="BS549" s="695"/>
      <c r="BT549" s="695"/>
      <c r="BU549" s="695"/>
      <c r="BV549" s="695"/>
      <c r="BW549" s="695"/>
      <c r="BX549" s="695"/>
      <c r="BY549" s="695"/>
      <c r="BZ549" s="695"/>
      <c r="CA549" s="695"/>
      <c r="CB549" s="695"/>
      <c r="CC549" s="695"/>
      <c r="CD549" s="695"/>
      <c r="CE549" s="695"/>
      <c r="CF549" s="695"/>
      <c r="CG549" s="695"/>
      <c r="CH549" s="695"/>
      <c r="CI549" s="695"/>
      <c r="CJ549" s="695"/>
      <c r="CK549" s="695"/>
      <c r="CL549" s="695"/>
      <c r="CM549" s="695"/>
      <c r="CN549" s="695"/>
      <c r="CO549" s="695"/>
      <c r="CP549" s="695"/>
      <c r="CQ549" s="695"/>
      <c r="CR549" s="695"/>
      <c r="CS549" s="695"/>
      <c r="CT549" s="695"/>
      <c r="CU549" s="695"/>
      <c r="CV549" s="695"/>
      <c r="CW549" s="695"/>
      <c r="CX549" s="695"/>
      <c r="CY549" s="695"/>
      <c r="CZ549" s="695"/>
      <c r="DA549" s="695"/>
      <c r="DB549" s="695"/>
      <c r="DC549" s="695"/>
      <c r="DD549" s="695"/>
      <c r="DE549" s="695"/>
      <c r="DF549" s="695"/>
      <c r="DG549" s="695"/>
      <c r="DH549" s="695"/>
      <c r="DI549" s="695"/>
      <c r="DJ549" s="695"/>
      <c r="DK549" s="695"/>
      <c r="DL549" s="695"/>
      <c r="DM549" s="695"/>
      <c r="DN549" s="695"/>
      <c r="DO549" s="695"/>
      <c r="DP549" s="695"/>
      <c r="DQ549" s="695"/>
      <c r="DR549" s="695"/>
      <c r="DS549" s="695"/>
      <c r="DT549" s="695"/>
      <c r="DU549" s="695"/>
      <c r="DV549" s="695"/>
      <c r="DW549" s="695"/>
      <c r="DX549" s="695"/>
      <c r="DY549" s="695"/>
      <c r="DZ549" s="695"/>
      <c r="EA549" s="695"/>
      <c r="EB549" s="695"/>
      <c r="EC549" s="695"/>
      <c r="ED549" s="695"/>
      <c r="EE549" s="695"/>
      <c r="EF549" s="695"/>
      <c r="EG549" s="695"/>
      <c r="EH549" s="695"/>
      <c r="EI549" s="695"/>
      <c r="EJ549" s="695"/>
      <c r="EK549" s="695"/>
      <c r="EL549" s="695"/>
      <c r="EM549" s="695"/>
      <c r="EN549" s="695"/>
      <c r="EO549" s="695"/>
      <c r="EP549" s="695"/>
      <c r="EQ549" s="695"/>
      <c r="ER549" s="695"/>
      <c r="ES549" s="695"/>
      <c r="ET549" s="695"/>
      <c r="EU549" s="695"/>
      <c r="EV549" s="695"/>
      <c r="EW549" s="695"/>
      <c r="EX549" s="695"/>
      <c r="EY549" s="695"/>
      <c r="EZ549" s="695"/>
      <c r="FA549" s="695"/>
      <c r="FB549" s="695"/>
      <c r="FC549" s="695"/>
      <c r="FD549" s="695"/>
      <c r="FE549" s="695"/>
      <c r="FF549" s="695"/>
      <c r="FG549" s="695"/>
      <c r="FH549" s="695"/>
      <c r="FI549" s="695"/>
      <c r="FJ549" s="695"/>
      <c r="FK549" s="695"/>
      <c r="FL549" s="695"/>
      <c r="FM549" s="695"/>
      <c r="FN549" s="695"/>
      <c r="FO549" s="695"/>
      <c r="FP549" s="695"/>
      <c r="FQ549" s="695"/>
      <c r="FR549" s="695"/>
      <c r="FS549" s="695"/>
      <c r="FT549" s="695"/>
      <c r="FU549" s="695"/>
      <c r="FV549" s="695"/>
      <c r="FW549" s="695"/>
      <c r="FX549" s="695"/>
      <c r="FY549" s="695"/>
      <c r="FZ549" s="695"/>
      <c r="GA549" s="695"/>
      <c r="GB549" s="695"/>
      <c r="GC549" s="695"/>
      <c r="GD549" s="695"/>
      <c r="GE549" s="695"/>
      <c r="GF549" s="695"/>
      <c r="GG549" s="695"/>
      <c r="GH549" s="695"/>
      <c r="GI549" s="695"/>
      <c r="GJ549" s="695"/>
      <c r="GK549" s="695"/>
      <c r="GL549" s="695"/>
      <c r="GM549" s="695"/>
      <c r="GN549" s="695"/>
      <c r="GO549" s="695"/>
      <c r="GP549" s="695"/>
      <c r="GQ549" s="695"/>
      <c r="GR549" s="695"/>
      <c r="GS549" s="695"/>
      <c r="GT549" s="695"/>
      <c r="GU549" s="695"/>
      <c r="GV549" s="695"/>
      <c r="GW549" s="695"/>
      <c r="GX549" s="695"/>
      <c r="GY549" s="695"/>
      <c r="GZ549" s="695"/>
      <c r="HA549" s="695"/>
      <c r="HB549" s="695"/>
      <c r="HC549" s="695"/>
      <c r="HD549" s="695"/>
      <c r="HE549" s="695"/>
      <c r="HF549" s="695"/>
      <c r="HG549" s="695"/>
      <c r="HH549" s="695"/>
      <c r="HI549" s="695"/>
      <c r="HJ549" s="695"/>
      <c r="HK549" s="695"/>
      <c r="HL549" s="695"/>
      <c r="HM549" s="695"/>
      <c r="HN549" s="695"/>
      <c r="HO549" s="695"/>
      <c r="HP549" s="695"/>
      <c r="HQ549" s="695"/>
      <c r="HR549" s="695"/>
      <c r="HS549" s="695"/>
      <c r="HT549" s="695"/>
      <c r="HU549" s="695"/>
      <c r="HV549" s="695"/>
      <c r="HW549" s="695"/>
      <c r="HX549" s="695"/>
      <c r="HY549" s="695"/>
      <c r="HZ549" s="695"/>
      <c r="IA549" s="695"/>
      <c r="IB549" s="695"/>
      <c r="IC549" s="695"/>
      <c r="ID549" s="695"/>
      <c r="IE549" s="695"/>
      <c r="IF549" s="695"/>
      <c r="IG549" s="695"/>
      <c r="IH549" s="695"/>
      <c r="II549" s="695"/>
      <c r="IJ549" s="695"/>
      <c r="IK549" s="695"/>
      <c r="IL549" s="695"/>
      <c r="IM549" s="695"/>
      <c r="IN549" s="695"/>
    </row>
    <row r="550" spans="1:248" s="695" customFormat="1" ht="27" customHeight="1" x14ac:dyDescent="0.2">
      <c r="A550" s="926"/>
      <c r="B550" s="758" t="s">
        <v>1703</v>
      </c>
      <c r="C550" s="709">
        <v>400000</v>
      </c>
      <c r="D550" s="709">
        <v>400000</v>
      </c>
      <c r="E550" s="744"/>
      <c r="F550" s="744"/>
      <c r="G550" s="1243"/>
      <c r="H550" s="1248"/>
      <c r="I550" s="1249"/>
    </row>
    <row r="551" spans="1:248" s="12" customFormat="1" ht="27" customHeight="1" x14ac:dyDescent="0.2">
      <c r="A551" s="927">
        <v>3613</v>
      </c>
      <c r="B551" s="917" t="s">
        <v>1364</v>
      </c>
      <c r="C551" s="921">
        <f t="shared" ref="C551:D551" si="47">SUM(C552:C553)</f>
        <v>700000</v>
      </c>
      <c r="D551" s="921">
        <f t="shared" si="47"/>
        <v>630000</v>
      </c>
      <c r="E551" s="744"/>
      <c r="F551" s="744"/>
      <c r="G551" s="1243"/>
      <c r="H551" s="1248"/>
      <c r="I551" s="1249"/>
      <c r="J551" s="695"/>
      <c r="K551" s="695"/>
      <c r="L551" s="695"/>
      <c r="M551" s="695"/>
      <c r="N551" s="695"/>
      <c r="O551" s="695"/>
      <c r="P551" s="695"/>
      <c r="Q551" s="695"/>
      <c r="R551" s="695"/>
      <c r="S551" s="695"/>
      <c r="T551" s="695"/>
      <c r="U551" s="695"/>
      <c r="V551" s="695"/>
      <c r="W551" s="695"/>
      <c r="X551" s="695"/>
      <c r="Y551" s="695"/>
      <c r="Z551" s="695"/>
      <c r="AA551" s="695"/>
      <c r="AB551" s="695"/>
      <c r="AC551" s="695"/>
      <c r="AD551" s="695"/>
      <c r="AE551" s="695"/>
      <c r="AF551" s="695"/>
      <c r="AG551" s="695"/>
      <c r="AH551" s="695"/>
      <c r="AI551" s="695"/>
      <c r="AJ551" s="695"/>
      <c r="AK551" s="695"/>
      <c r="AL551" s="695"/>
      <c r="AM551" s="695"/>
      <c r="AN551" s="695"/>
      <c r="AO551" s="695"/>
      <c r="AP551" s="695"/>
      <c r="AQ551" s="695"/>
      <c r="AR551" s="695"/>
      <c r="AS551" s="695"/>
      <c r="AT551" s="695"/>
      <c r="AU551" s="695"/>
      <c r="AV551" s="695"/>
      <c r="AW551" s="695"/>
      <c r="AX551" s="695"/>
      <c r="AY551" s="695"/>
      <c r="AZ551" s="695"/>
      <c r="BA551" s="695"/>
      <c r="BB551" s="695"/>
      <c r="BC551" s="695"/>
      <c r="BD551" s="695"/>
      <c r="BE551" s="695"/>
      <c r="BF551" s="695"/>
      <c r="BG551" s="695"/>
      <c r="BH551" s="695"/>
      <c r="BI551" s="695"/>
      <c r="BJ551" s="695"/>
      <c r="BK551" s="695"/>
      <c r="BL551" s="695"/>
      <c r="BM551" s="695"/>
      <c r="BN551" s="695"/>
      <c r="BO551" s="695"/>
      <c r="BP551" s="695"/>
      <c r="BQ551" s="695"/>
      <c r="BR551" s="695"/>
      <c r="BS551" s="695"/>
      <c r="BT551" s="695"/>
      <c r="BU551" s="695"/>
      <c r="BV551" s="695"/>
      <c r="BW551" s="695"/>
      <c r="BX551" s="695"/>
      <c r="BY551" s="695"/>
      <c r="BZ551" s="695"/>
      <c r="CA551" s="695"/>
      <c r="CB551" s="695"/>
      <c r="CC551" s="695"/>
      <c r="CD551" s="695"/>
      <c r="CE551" s="695"/>
      <c r="CF551" s="695"/>
      <c r="CG551" s="695"/>
      <c r="CH551" s="695"/>
      <c r="CI551" s="695"/>
      <c r="CJ551" s="695"/>
      <c r="CK551" s="695"/>
      <c r="CL551" s="695"/>
      <c r="CM551" s="695"/>
      <c r="CN551" s="695"/>
      <c r="CO551" s="695"/>
      <c r="CP551" s="695"/>
      <c r="CQ551" s="695"/>
      <c r="CR551" s="695"/>
      <c r="CS551" s="695"/>
      <c r="CT551" s="695"/>
      <c r="CU551" s="695"/>
      <c r="CV551" s="695"/>
      <c r="CW551" s="695"/>
      <c r="CX551" s="695"/>
      <c r="CY551" s="695"/>
      <c r="CZ551" s="695"/>
      <c r="DA551" s="695"/>
      <c r="DB551" s="695"/>
      <c r="DC551" s="695"/>
      <c r="DD551" s="695"/>
      <c r="DE551" s="695"/>
      <c r="DF551" s="695"/>
      <c r="DG551" s="695"/>
      <c r="DH551" s="695"/>
      <c r="DI551" s="695"/>
      <c r="DJ551" s="695"/>
      <c r="DK551" s="695"/>
      <c r="DL551" s="695"/>
      <c r="DM551" s="695"/>
      <c r="DN551" s="695"/>
      <c r="DO551" s="695"/>
      <c r="DP551" s="695"/>
      <c r="DQ551" s="695"/>
      <c r="DR551" s="695"/>
      <c r="DS551" s="695"/>
      <c r="DT551" s="695"/>
      <c r="DU551" s="695"/>
      <c r="DV551" s="695"/>
      <c r="DW551" s="695"/>
      <c r="DX551" s="695"/>
      <c r="DY551" s="695"/>
      <c r="DZ551" s="695"/>
      <c r="EA551" s="695"/>
      <c r="EB551" s="695"/>
      <c r="EC551" s="695"/>
      <c r="ED551" s="695"/>
      <c r="EE551" s="695"/>
      <c r="EF551" s="695"/>
      <c r="EG551" s="695"/>
      <c r="EH551" s="695"/>
      <c r="EI551" s="695"/>
      <c r="EJ551" s="695"/>
      <c r="EK551" s="695"/>
      <c r="EL551" s="695"/>
      <c r="EM551" s="695"/>
      <c r="EN551" s="695"/>
      <c r="EO551" s="695"/>
      <c r="EP551" s="695"/>
      <c r="EQ551" s="695"/>
      <c r="ER551" s="695"/>
      <c r="ES551" s="695"/>
      <c r="ET551" s="695"/>
      <c r="EU551" s="695"/>
      <c r="EV551" s="695"/>
      <c r="EW551" s="695"/>
      <c r="EX551" s="695"/>
      <c r="EY551" s="695"/>
      <c r="EZ551" s="695"/>
      <c r="FA551" s="695"/>
      <c r="FB551" s="695"/>
      <c r="FC551" s="695"/>
      <c r="FD551" s="695"/>
      <c r="FE551" s="695"/>
      <c r="FF551" s="695"/>
      <c r="FG551" s="695"/>
      <c r="FH551" s="695"/>
      <c r="FI551" s="695"/>
      <c r="FJ551" s="695"/>
      <c r="FK551" s="695"/>
      <c r="FL551" s="695"/>
      <c r="FM551" s="695"/>
      <c r="FN551" s="695"/>
      <c r="FO551" s="695"/>
      <c r="FP551" s="695"/>
      <c r="FQ551" s="695"/>
      <c r="FR551" s="695"/>
      <c r="FS551" s="695"/>
      <c r="FT551" s="695"/>
      <c r="FU551" s="695"/>
      <c r="FV551" s="695"/>
      <c r="FW551" s="695"/>
      <c r="FX551" s="695"/>
      <c r="FY551" s="695"/>
      <c r="FZ551" s="695"/>
      <c r="GA551" s="695"/>
      <c r="GB551" s="695"/>
      <c r="GC551" s="695"/>
      <c r="GD551" s="695"/>
      <c r="GE551" s="695"/>
      <c r="GF551" s="695"/>
      <c r="GG551" s="695"/>
      <c r="GH551" s="695"/>
      <c r="GI551" s="695"/>
      <c r="GJ551" s="695"/>
      <c r="GK551" s="695"/>
      <c r="GL551" s="695"/>
      <c r="GM551" s="695"/>
      <c r="GN551" s="695"/>
      <c r="GO551" s="695"/>
      <c r="GP551" s="695"/>
      <c r="GQ551" s="695"/>
      <c r="GR551" s="695"/>
      <c r="GS551" s="695"/>
      <c r="GT551" s="695"/>
      <c r="GU551" s="695"/>
      <c r="GV551" s="695"/>
      <c r="GW551" s="695"/>
      <c r="GX551" s="695"/>
      <c r="GY551" s="695"/>
      <c r="GZ551" s="695"/>
      <c r="HA551" s="695"/>
      <c r="HB551" s="695"/>
      <c r="HC551" s="695"/>
      <c r="HD551" s="695"/>
      <c r="HE551" s="695"/>
      <c r="HF551" s="695"/>
      <c r="HG551" s="695"/>
      <c r="HH551" s="695"/>
      <c r="HI551" s="695"/>
      <c r="HJ551" s="695"/>
      <c r="HK551" s="695"/>
      <c r="HL551" s="695"/>
      <c r="HM551" s="695"/>
      <c r="HN551" s="695"/>
      <c r="HO551" s="695"/>
      <c r="HP551" s="695"/>
      <c r="HQ551" s="695"/>
      <c r="HR551" s="695"/>
      <c r="HS551" s="695"/>
      <c r="HT551" s="695"/>
      <c r="HU551" s="695"/>
      <c r="HV551" s="695"/>
      <c r="HW551" s="695"/>
      <c r="HX551" s="695"/>
      <c r="HY551" s="695"/>
      <c r="HZ551" s="695"/>
      <c r="IA551" s="695"/>
      <c r="IB551" s="695"/>
      <c r="IC551" s="695"/>
      <c r="ID551" s="695"/>
      <c r="IE551" s="695"/>
      <c r="IF551" s="695"/>
      <c r="IG551" s="695"/>
      <c r="IH551" s="695"/>
      <c r="II551" s="695"/>
      <c r="IJ551" s="695"/>
      <c r="IK551" s="695"/>
      <c r="IL551" s="695"/>
      <c r="IM551" s="695"/>
      <c r="IN551" s="695"/>
    </row>
    <row r="552" spans="1:248" s="695" customFormat="1" ht="27" customHeight="1" x14ac:dyDescent="0.2">
      <c r="A552" s="928" t="s">
        <v>1678</v>
      </c>
      <c r="B552" s="753" t="s">
        <v>1821</v>
      </c>
      <c r="C552" s="744">
        <v>400000</v>
      </c>
      <c r="D552" s="744">
        <f>400000-70000</f>
        <v>330000</v>
      </c>
      <c r="E552" s="744"/>
      <c r="F552" s="744"/>
      <c r="G552" s="1243"/>
      <c r="H552" s="1248"/>
      <c r="I552" s="1249"/>
    </row>
    <row r="553" spans="1:248" s="904" customFormat="1" ht="27" customHeight="1" x14ac:dyDescent="0.2">
      <c r="A553" s="928" t="s">
        <v>1679</v>
      </c>
      <c r="B553" s="753" t="s">
        <v>1822</v>
      </c>
      <c r="C553" s="744">
        <v>300000</v>
      </c>
      <c r="D553" s="744">
        <v>300000</v>
      </c>
      <c r="E553" s="920"/>
      <c r="F553" s="1301"/>
      <c r="G553" s="825"/>
      <c r="H553" s="1244"/>
      <c r="I553" s="1255"/>
      <c r="J553" s="695"/>
      <c r="K553" s="695"/>
      <c r="L553" s="695"/>
      <c r="M553" s="695"/>
      <c r="N553" s="695"/>
      <c r="O553" s="695"/>
      <c r="P553" s="695"/>
      <c r="Q553" s="695"/>
      <c r="R553" s="695"/>
      <c r="S553" s="695"/>
      <c r="T553" s="695"/>
      <c r="U553" s="695"/>
      <c r="V553" s="695"/>
      <c r="W553" s="695"/>
      <c r="X553" s="695"/>
      <c r="Y553" s="695"/>
      <c r="Z553" s="695"/>
      <c r="AA553" s="695"/>
      <c r="AB553" s="695"/>
      <c r="AC553" s="695"/>
      <c r="AD553" s="695"/>
      <c r="AE553" s="695"/>
      <c r="AF553" s="695"/>
      <c r="AG553" s="695"/>
      <c r="AH553" s="695"/>
      <c r="AI553" s="695"/>
      <c r="AJ553" s="695"/>
      <c r="AK553" s="695"/>
      <c r="AL553" s="695"/>
      <c r="AM553" s="695"/>
      <c r="AN553" s="695"/>
      <c r="AO553" s="695"/>
      <c r="AP553" s="695"/>
      <c r="AQ553" s="695"/>
      <c r="AR553" s="695"/>
      <c r="AS553" s="695"/>
      <c r="AT553" s="695"/>
      <c r="AU553" s="695"/>
      <c r="AV553" s="695"/>
      <c r="AW553" s="695"/>
      <c r="AX553" s="695"/>
      <c r="AY553" s="695"/>
      <c r="AZ553" s="695"/>
      <c r="BA553" s="695"/>
      <c r="BB553" s="695"/>
      <c r="BC553" s="695"/>
      <c r="BD553" s="695"/>
      <c r="BE553" s="695"/>
      <c r="BF553" s="695"/>
      <c r="BG553" s="695"/>
      <c r="BH553" s="695"/>
      <c r="BI553" s="695"/>
      <c r="BJ553" s="695"/>
      <c r="BK553" s="695"/>
      <c r="BL553" s="695"/>
      <c r="BM553" s="695"/>
      <c r="BN553" s="695"/>
      <c r="BO553" s="695"/>
      <c r="BP553" s="695"/>
      <c r="BQ553" s="695"/>
      <c r="BR553" s="695"/>
      <c r="BS553" s="695"/>
      <c r="BT553" s="695"/>
      <c r="BU553" s="695"/>
      <c r="BV553" s="695"/>
      <c r="BW553" s="695"/>
      <c r="BX553" s="695"/>
      <c r="BY553" s="695"/>
      <c r="BZ553" s="695"/>
      <c r="CA553" s="695"/>
      <c r="CB553" s="695"/>
      <c r="CC553" s="695"/>
      <c r="CD553" s="695"/>
      <c r="CE553" s="695"/>
      <c r="CF553" s="695"/>
      <c r="CG553" s="695"/>
      <c r="CH553" s="695"/>
      <c r="CI553" s="695"/>
      <c r="CJ553" s="695"/>
      <c r="CK553" s="695"/>
      <c r="CL553" s="695"/>
      <c r="CM553" s="695"/>
      <c r="CN553" s="695"/>
      <c r="CO553" s="695"/>
      <c r="CP553" s="695"/>
      <c r="CQ553" s="695"/>
      <c r="CR553" s="695"/>
      <c r="CS553" s="695"/>
      <c r="CT553" s="695"/>
      <c r="CU553" s="695"/>
      <c r="CV553" s="695"/>
      <c r="CW553" s="695"/>
      <c r="CX553" s="695"/>
      <c r="CY553" s="695"/>
      <c r="CZ553" s="695"/>
      <c r="DA553" s="695"/>
      <c r="DB553" s="695"/>
      <c r="DC553" s="695"/>
      <c r="DD553" s="695"/>
      <c r="DE553" s="695"/>
      <c r="DF553" s="695"/>
      <c r="DG553" s="695"/>
      <c r="DH553" s="695"/>
      <c r="DI553" s="695"/>
      <c r="DJ553" s="695"/>
      <c r="DK553" s="695"/>
      <c r="DL553" s="695"/>
      <c r="DM553" s="695"/>
      <c r="DN553" s="695"/>
      <c r="DO553" s="695"/>
      <c r="DP553" s="695"/>
      <c r="DQ553" s="695"/>
      <c r="DR553" s="695"/>
      <c r="DS553" s="695"/>
      <c r="DT553" s="695"/>
      <c r="DU553" s="695"/>
      <c r="DV553" s="695"/>
      <c r="DW553" s="695"/>
      <c r="DX553" s="695"/>
      <c r="DY553" s="695"/>
      <c r="DZ553" s="695"/>
      <c r="EA553" s="695"/>
      <c r="EB553" s="695"/>
      <c r="EC553" s="695"/>
      <c r="ED553" s="695"/>
      <c r="EE553" s="695"/>
      <c r="EF553" s="695"/>
      <c r="EG553" s="695"/>
      <c r="EH553" s="695"/>
      <c r="EI553" s="695"/>
      <c r="EJ553" s="695"/>
      <c r="EK553" s="695"/>
      <c r="EL553" s="695"/>
      <c r="EM553" s="695"/>
      <c r="EN553" s="695"/>
      <c r="EO553" s="695"/>
      <c r="EP553" s="695"/>
      <c r="EQ553" s="695"/>
      <c r="ER553" s="695"/>
      <c r="ES553" s="695"/>
      <c r="ET553" s="695"/>
      <c r="EU553" s="695"/>
      <c r="EV553" s="695"/>
      <c r="EW553" s="695"/>
      <c r="EX553" s="695"/>
      <c r="EY553" s="695"/>
      <c r="EZ553" s="695"/>
      <c r="FA553" s="695"/>
      <c r="FB553" s="695"/>
      <c r="FC553" s="695"/>
      <c r="FD553" s="695"/>
      <c r="FE553" s="695"/>
      <c r="FF553" s="695"/>
      <c r="FG553" s="695"/>
      <c r="FH553" s="695"/>
      <c r="FI553" s="695"/>
      <c r="FJ553" s="695"/>
      <c r="FK553" s="695"/>
      <c r="FL553" s="695"/>
      <c r="FM553" s="695"/>
      <c r="FN553" s="695"/>
      <c r="FO553" s="695"/>
      <c r="FP553" s="695"/>
      <c r="FQ553" s="695"/>
      <c r="FR553" s="695"/>
      <c r="FS553" s="695"/>
      <c r="FT553" s="695"/>
      <c r="FU553" s="695"/>
      <c r="FV553" s="695"/>
      <c r="FW553" s="695"/>
      <c r="FX553" s="695"/>
      <c r="FY553" s="695"/>
      <c r="FZ553" s="695"/>
      <c r="GA553" s="695"/>
      <c r="GB553" s="695"/>
      <c r="GC553" s="695"/>
      <c r="GD553" s="695"/>
      <c r="GE553" s="695"/>
      <c r="GF553" s="695"/>
      <c r="GG553" s="695"/>
      <c r="GH553" s="695"/>
      <c r="GI553" s="695"/>
      <c r="GJ553" s="695"/>
      <c r="GK553" s="695"/>
      <c r="GL553" s="695"/>
      <c r="GM553" s="695"/>
      <c r="GN553" s="695"/>
      <c r="GO553" s="695"/>
      <c r="GP553" s="695"/>
      <c r="GQ553" s="695"/>
      <c r="GR553" s="695"/>
      <c r="GS553" s="695"/>
      <c r="GT553" s="695"/>
      <c r="GU553" s="695"/>
      <c r="GV553" s="695"/>
      <c r="GW553" s="695"/>
      <c r="GX553" s="695"/>
      <c r="GY553" s="695"/>
      <c r="GZ553" s="695"/>
      <c r="HA553" s="695"/>
      <c r="HB553" s="695"/>
      <c r="HC553" s="695"/>
      <c r="HD553" s="695"/>
      <c r="HE553" s="695"/>
      <c r="HF553" s="695"/>
      <c r="HG553" s="695"/>
      <c r="HH553" s="695"/>
      <c r="HI553" s="695"/>
      <c r="HJ553" s="695"/>
      <c r="HK553" s="695"/>
      <c r="HL553" s="695"/>
      <c r="HM553" s="695"/>
      <c r="HN553" s="695"/>
      <c r="HO553" s="695"/>
      <c r="HP553" s="695"/>
      <c r="HQ553" s="695"/>
      <c r="HR553" s="695"/>
      <c r="HS553" s="695"/>
      <c r="HT553" s="695"/>
      <c r="HU553" s="695"/>
      <c r="HV553" s="695"/>
      <c r="HW553" s="695"/>
      <c r="HX553" s="695"/>
      <c r="HY553" s="695"/>
      <c r="HZ553" s="695"/>
      <c r="IA553" s="695"/>
      <c r="IB553" s="695"/>
      <c r="IC553" s="695"/>
      <c r="ID553" s="695"/>
      <c r="IE553" s="695"/>
      <c r="IF553" s="695"/>
      <c r="IG553" s="695"/>
      <c r="IH553" s="695"/>
      <c r="II553" s="695"/>
      <c r="IJ553" s="695"/>
      <c r="IK553" s="695"/>
      <c r="IL553" s="695"/>
      <c r="IM553" s="695"/>
      <c r="IN553" s="695"/>
    </row>
    <row r="554" spans="1:248" s="12" customFormat="1" ht="27" customHeight="1" x14ac:dyDescent="0.2">
      <c r="A554" s="929">
        <v>3722</v>
      </c>
      <c r="B554" s="918" t="s">
        <v>1677</v>
      </c>
      <c r="C554" s="920">
        <f t="shared" ref="C554:D554" si="48">SUM(C555:C555)</f>
        <v>4600000</v>
      </c>
      <c r="D554" s="920">
        <f t="shared" si="48"/>
        <v>4600000</v>
      </c>
      <c r="E554" s="744"/>
      <c r="F554" s="744"/>
      <c r="G554" s="1243"/>
      <c r="H554" s="1248"/>
      <c r="I554" s="1249"/>
      <c r="J554" s="695"/>
      <c r="K554" s="695"/>
      <c r="L554" s="695"/>
      <c r="M554" s="695"/>
      <c r="N554" s="695"/>
      <c r="O554" s="695"/>
      <c r="P554" s="695"/>
      <c r="Q554" s="695"/>
      <c r="R554" s="695"/>
      <c r="S554" s="695"/>
      <c r="T554" s="695"/>
      <c r="U554" s="695"/>
      <c r="V554" s="695"/>
      <c r="W554" s="695"/>
      <c r="X554" s="695"/>
      <c r="Y554" s="695"/>
      <c r="Z554" s="695"/>
      <c r="AA554" s="695"/>
      <c r="AB554" s="695"/>
      <c r="AC554" s="695"/>
      <c r="AD554" s="695"/>
      <c r="AE554" s="695"/>
      <c r="AF554" s="695"/>
      <c r="AG554" s="695"/>
      <c r="AH554" s="695"/>
      <c r="AI554" s="695"/>
      <c r="AJ554" s="695"/>
      <c r="AK554" s="695"/>
      <c r="AL554" s="695"/>
      <c r="AM554" s="695"/>
      <c r="AN554" s="695"/>
      <c r="AO554" s="695"/>
      <c r="AP554" s="695"/>
      <c r="AQ554" s="695"/>
      <c r="AR554" s="695"/>
      <c r="AS554" s="695"/>
      <c r="AT554" s="695"/>
      <c r="AU554" s="695"/>
      <c r="AV554" s="695"/>
      <c r="AW554" s="695"/>
      <c r="AX554" s="695"/>
      <c r="AY554" s="695"/>
      <c r="AZ554" s="695"/>
      <c r="BA554" s="695"/>
      <c r="BB554" s="695"/>
      <c r="BC554" s="695"/>
      <c r="BD554" s="695"/>
      <c r="BE554" s="695"/>
      <c r="BF554" s="695"/>
      <c r="BG554" s="695"/>
      <c r="BH554" s="695"/>
      <c r="BI554" s="695"/>
      <c r="BJ554" s="695"/>
      <c r="BK554" s="695"/>
      <c r="BL554" s="695"/>
      <c r="BM554" s="695"/>
      <c r="BN554" s="695"/>
      <c r="BO554" s="695"/>
      <c r="BP554" s="695"/>
      <c r="BQ554" s="695"/>
      <c r="BR554" s="695"/>
      <c r="BS554" s="695"/>
      <c r="BT554" s="695"/>
      <c r="BU554" s="695"/>
      <c r="BV554" s="695"/>
      <c r="BW554" s="695"/>
      <c r="BX554" s="695"/>
      <c r="BY554" s="695"/>
      <c r="BZ554" s="695"/>
      <c r="CA554" s="695"/>
      <c r="CB554" s="695"/>
      <c r="CC554" s="695"/>
      <c r="CD554" s="695"/>
      <c r="CE554" s="695"/>
      <c r="CF554" s="695"/>
      <c r="CG554" s="695"/>
      <c r="CH554" s="695"/>
      <c r="CI554" s="695"/>
      <c r="CJ554" s="695"/>
      <c r="CK554" s="695"/>
      <c r="CL554" s="695"/>
      <c r="CM554" s="695"/>
      <c r="CN554" s="695"/>
      <c r="CO554" s="695"/>
      <c r="CP554" s="695"/>
      <c r="CQ554" s="695"/>
      <c r="CR554" s="695"/>
      <c r="CS554" s="695"/>
      <c r="CT554" s="695"/>
      <c r="CU554" s="695"/>
      <c r="CV554" s="695"/>
      <c r="CW554" s="695"/>
      <c r="CX554" s="695"/>
      <c r="CY554" s="695"/>
      <c r="CZ554" s="695"/>
      <c r="DA554" s="695"/>
      <c r="DB554" s="695"/>
      <c r="DC554" s="695"/>
      <c r="DD554" s="695"/>
      <c r="DE554" s="695"/>
      <c r="DF554" s="695"/>
      <c r="DG554" s="695"/>
      <c r="DH554" s="695"/>
      <c r="DI554" s="695"/>
      <c r="DJ554" s="695"/>
      <c r="DK554" s="695"/>
      <c r="DL554" s="695"/>
      <c r="DM554" s="695"/>
      <c r="DN554" s="695"/>
      <c r="DO554" s="695"/>
      <c r="DP554" s="695"/>
      <c r="DQ554" s="695"/>
      <c r="DR554" s="695"/>
      <c r="DS554" s="695"/>
      <c r="DT554" s="695"/>
      <c r="DU554" s="695"/>
      <c r="DV554" s="695"/>
      <c r="DW554" s="695"/>
      <c r="DX554" s="695"/>
      <c r="DY554" s="695"/>
      <c r="DZ554" s="695"/>
      <c r="EA554" s="695"/>
      <c r="EB554" s="695"/>
      <c r="EC554" s="695"/>
      <c r="ED554" s="695"/>
      <c r="EE554" s="695"/>
      <c r="EF554" s="695"/>
      <c r="EG554" s="695"/>
      <c r="EH554" s="695"/>
      <c r="EI554" s="695"/>
      <c r="EJ554" s="695"/>
      <c r="EK554" s="695"/>
      <c r="EL554" s="695"/>
      <c r="EM554" s="695"/>
      <c r="EN554" s="695"/>
      <c r="EO554" s="695"/>
      <c r="EP554" s="695"/>
      <c r="EQ554" s="695"/>
      <c r="ER554" s="695"/>
      <c r="ES554" s="695"/>
      <c r="ET554" s="695"/>
      <c r="EU554" s="695"/>
      <c r="EV554" s="695"/>
      <c r="EW554" s="695"/>
      <c r="EX554" s="695"/>
      <c r="EY554" s="695"/>
      <c r="EZ554" s="695"/>
      <c r="FA554" s="695"/>
      <c r="FB554" s="695"/>
      <c r="FC554" s="695"/>
      <c r="FD554" s="695"/>
      <c r="FE554" s="695"/>
      <c r="FF554" s="695"/>
      <c r="FG554" s="695"/>
      <c r="FH554" s="695"/>
      <c r="FI554" s="695"/>
      <c r="FJ554" s="695"/>
      <c r="FK554" s="695"/>
      <c r="FL554" s="695"/>
      <c r="FM554" s="695"/>
      <c r="FN554" s="695"/>
      <c r="FO554" s="695"/>
      <c r="FP554" s="695"/>
      <c r="FQ554" s="695"/>
      <c r="FR554" s="695"/>
      <c r="FS554" s="695"/>
      <c r="FT554" s="695"/>
      <c r="FU554" s="695"/>
      <c r="FV554" s="695"/>
      <c r="FW554" s="695"/>
      <c r="FX554" s="695"/>
      <c r="FY554" s="695"/>
      <c r="FZ554" s="695"/>
      <c r="GA554" s="695"/>
      <c r="GB554" s="695"/>
      <c r="GC554" s="695"/>
      <c r="GD554" s="695"/>
      <c r="GE554" s="695"/>
      <c r="GF554" s="695"/>
      <c r="GG554" s="695"/>
      <c r="GH554" s="695"/>
      <c r="GI554" s="695"/>
      <c r="GJ554" s="695"/>
      <c r="GK554" s="695"/>
      <c r="GL554" s="695"/>
      <c r="GM554" s="695"/>
      <c r="GN554" s="695"/>
      <c r="GO554" s="695"/>
      <c r="GP554" s="695"/>
      <c r="GQ554" s="695"/>
      <c r="GR554" s="695"/>
      <c r="GS554" s="695"/>
      <c r="GT554" s="695"/>
      <c r="GU554" s="695"/>
      <c r="GV554" s="695"/>
      <c r="GW554" s="695"/>
      <c r="GX554" s="695"/>
      <c r="GY554" s="695"/>
      <c r="GZ554" s="695"/>
      <c r="HA554" s="695"/>
      <c r="HB554" s="695"/>
      <c r="HC554" s="695"/>
      <c r="HD554" s="695"/>
      <c r="HE554" s="695"/>
      <c r="HF554" s="695"/>
      <c r="HG554" s="695"/>
      <c r="HH554" s="695"/>
      <c r="HI554" s="695"/>
      <c r="HJ554" s="695"/>
      <c r="HK554" s="695"/>
      <c r="HL554" s="695"/>
      <c r="HM554" s="695"/>
      <c r="HN554" s="695"/>
      <c r="HO554" s="695"/>
      <c r="HP554" s="695"/>
      <c r="HQ554" s="695"/>
      <c r="HR554" s="695"/>
      <c r="HS554" s="695"/>
      <c r="HT554" s="695"/>
      <c r="HU554" s="695"/>
      <c r="HV554" s="695"/>
      <c r="HW554" s="695"/>
      <c r="HX554" s="695"/>
      <c r="HY554" s="695"/>
      <c r="HZ554" s="695"/>
      <c r="IA554" s="695"/>
      <c r="IB554" s="695"/>
      <c r="IC554" s="695"/>
      <c r="ID554" s="695"/>
      <c r="IE554" s="695"/>
      <c r="IF554" s="695"/>
      <c r="IG554" s="695"/>
      <c r="IH554" s="695"/>
      <c r="II554" s="695"/>
      <c r="IJ554" s="695"/>
      <c r="IK554" s="695"/>
      <c r="IL554" s="695"/>
      <c r="IM554" s="695"/>
      <c r="IN554" s="695"/>
    </row>
    <row r="555" spans="1:248" s="695" customFormat="1" ht="27" customHeight="1" thickBot="1" x14ac:dyDescent="0.25">
      <c r="A555" s="757" t="s">
        <v>1696</v>
      </c>
      <c r="B555" s="1141" t="s">
        <v>1823</v>
      </c>
      <c r="C555" s="709">
        <v>4600000</v>
      </c>
      <c r="D555" s="709">
        <v>4600000</v>
      </c>
      <c r="E555" s="1143"/>
      <c r="F555" s="1143"/>
      <c r="G555" s="1243"/>
      <c r="H555" s="1248"/>
      <c r="I555" s="1249"/>
    </row>
    <row r="556" spans="1:248" s="12" customFormat="1" ht="27" customHeight="1" thickBot="1" x14ac:dyDescent="0.3">
      <c r="A556" s="891"/>
      <c r="B556" s="793" t="s">
        <v>1189</v>
      </c>
      <c r="C556" s="950">
        <f>SUM(C563,C557,C579,C591,C603,C605)</f>
        <v>76802000</v>
      </c>
      <c r="D556" s="950">
        <f>SUM(D563,D557,D579,D591,D603,D605)</f>
        <v>73242000</v>
      </c>
      <c r="E556" s="907"/>
      <c r="F556" s="1309"/>
      <c r="G556" s="1237"/>
      <c r="H556" s="1237"/>
      <c r="I556" s="1253"/>
    </row>
    <row r="557" spans="1:248" s="12" customFormat="1" ht="27" customHeight="1" x14ac:dyDescent="0.2">
      <c r="A557" s="1436">
        <v>3412</v>
      </c>
      <c r="B557" s="1437" t="s">
        <v>1261</v>
      </c>
      <c r="C557" s="1310">
        <f t="shared" ref="C557:D557" si="49">SUM(C558:C562)</f>
        <v>22500000</v>
      </c>
      <c r="D557" s="1310">
        <f t="shared" si="49"/>
        <v>22500000</v>
      </c>
      <c r="E557" s="1310"/>
      <c r="F557" s="1311"/>
      <c r="G557" s="825"/>
      <c r="H557" s="1244"/>
      <c r="I557" s="1255"/>
    </row>
    <row r="558" spans="1:248" s="12" customFormat="1" ht="27" customHeight="1" x14ac:dyDescent="0.2">
      <c r="A558" s="926" t="s">
        <v>1283</v>
      </c>
      <c r="B558" s="946" t="s">
        <v>1824</v>
      </c>
      <c r="C558" s="849">
        <v>20000000</v>
      </c>
      <c r="D558" s="849">
        <v>20000000</v>
      </c>
      <c r="E558" s="849"/>
      <c r="F558" s="849"/>
      <c r="G558" s="1243"/>
      <c r="H558" s="1248"/>
      <c r="I558" s="1249"/>
    </row>
    <row r="559" spans="1:248" s="12" customFormat="1" ht="27" customHeight="1" x14ac:dyDescent="0.2">
      <c r="A559" s="926" t="s">
        <v>1284</v>
      </c>
      <c r="B559" s="946" t="s">
        <v>1262</v>
      </c>
      <c r="C559" s="849">
        <v>700000</v>
      </c>
      <c r="D559" s="849">
        <v>700000</v>
      </c>
      <c r="E559" s="849"/>
      <c r="F559" s="849"/>
      <c r="G559" s="1243"/>
      <c r="H559" s="1248"/>
      <c r="I559" s="1249"/>
    </row>
    <row r="560" spans="1:248" s="12" customFormat="1" ht="27" customHeight="1" x14ac:dyDescent="0.2">
      <c r="A560" s="926" t="s">
        <v>1285</v>
      </c>
      <c r="B560" s="946" t="s">
        <v>1263</v>
      </c>
      <c r="C560" s="849">
        <v>500000</v>
      </c>
      <c r="D560" s="849">
        <v>500000</v>
      </c>
      <c r="E560" s="849"/>
      <c r="F560" s="849"/>
      <c r="G560" s="1243"/>
      <c r="H560" s="1248"/>
      <c r="I560" s="1249"/>
    </row>
    <row r="561" spans="1:9" s="12" customFormat="1" ht="27" customHeight="1" x14ac:dyDescent="0.2">
      <c r="A561" s="926" t="s">
        <v>1825</v>
      </c>
      <c r="B561" s="946" t="s">
        <v>1861</v>
      </c>
      <c r="C561" s="849">
        <v>1300000</v>
      </c>
      <c r="D561" s="849">
        <v>1300000</v>
      </c>
      <c r="E561" s="744"/>
      <c r="F561" s="744"/>
      <c r="G561" s="1243"/>
      <c r="H561" s="1248"/>
      <c r="I561" s="1249"/>
    </row>
    <row r="562" spans="1:9" s="12" customFormat="1" ht="27" customHeight="1" x14ac:dyDescent="0.2">
      <c r="A562" s="926" t="s">
        <v>1680</v>
      </c>
      <c r="B562" s="1438" t="s">
        <v>1927</v>
      </c>
      <c r="C562" s="849">
        <v>0</v>
      </c>
      <c r="D562" s="849">
        <v>0</v>
      </c>
      <c r="E562" s="920"/>
      <c r="F562" s="1301"/>
      <c r="G562" s="825"/>
      <c r="H562" s="1244"/>
      <c r="I562" s="1255"/>
    </row>
    <row r="563" spans="1:9" s="12" customFormat="1" ht="27" customHeight="1" x14ac:dyDescent="0.2">
      <c r="A563" s="1407">
        <v>3612</v>
      </c>
      <c r="B563" s="1408" t="s">
        <v>1190</v>
      </c>
      <c r="C563" s="1439">
        <f t="shared" ref="C563" si="50">SUM(C564:C578)</f>
        <v>22660000</v>
      </c>
      <c r="D563" s="1439">
        <f>SUM(D564:D578)</f>
        <v>19600000</v>
      </c>
      <c r="E563" s="744"/>
      <c r="F563" s="744"/>
      <c r="G563" s="1243"/>
      <c r="H563" s="1248"/>
      <c r="I563" s="1249"/>
    </row>
    <row r="564" spans="1:9" s="12" customFormat="1" ht="27" customHeight="1" x14ac:dyDescent="0.2">
      <c r="A564" s="926" t="s">
        <v>1563</v>
      </c>
      <c r="B564" s="1405" t="s">
        <v>1681</v>
      </c>
      <c r="C564" s="744">
        <v>10000</v>
      </c>
      <c r="D564" s="744">
        <v>10000</v>
      </c>
      <c r="E564" s="744"/>
      <c r="F564" s="744"/>
      <c r="G564" s="1243"/>
      <c r="H564" s="1248"/>
      <c r="I564" s="1249"/>
    </row>
    <row r="565" spans="1:9" s="12" customFormat="1" ht="27" customHeight="1" x14ac:dyDescent="0.2">
      <c r="A565" s="926" t="s">
        <v>1309</v>
      </c>
      <c r="B565" s="1405" t="s">
        <v>1682</v>
      </c>
      <c r="C565" s="744">
        <v>8800000</v>
      </c>
      <c r="D565" s="744">
        <f>8800000-1000000</f>
        <v>7800000</v>
      </c>
      <c r="E565" s="744"/>
      <c r="F565" s="744"/>
      <c r="G565" s="1243"/>
      <c r="H565" s="1248"/>
      <c r="I565" s="1249"/>
    </row>
    <row r="566" spans="1:9" s="12" customFormat="1" ht="27" customHeight="1" x14ac:dyDescent="0.2">
      <c r="A566" s="926" t="s">
        <v>1286</v>
      </c>
      <c r="B566" s="1412" t="s">
        <v>1826</v>
      </c>
      <c r="C566" s="744">
        <v>400000</v>
      </c>
      <c r="D566" s="744">
        <v>400000</v>
      </c>
      <c r="E566" s="744"/>
      <c r="F566" s="744"/>
      <c r="G566" s="1243"/>
      <c r="H566" s="1248"/>
      <c r="I566" s="1249"/>
    </row>
    <row r="567" spans="1:9" s="12" customFormat="1" ht="27" customHeight="1" x14ac:dyDescent="0.2">
      <c r="A567" s="926" t="s">
        <v>1683</v>
      </c>
      <c r="B567" s="1412" t="s">
        <v>1684</v>
      </c>
      <c r="C567" s="744">
        <v>0</v>
      </c>
      <c r="D567" s="744">
        <v>0</v>
      </c>
      <c r="E567" s="744"/>
      <c r="F567" s="744"/>
      <c r="G567" s="1243"/>
      <c r="H567" s="1248"/>
      <c r="I567" s="1249"/>
    </row>
    <row r="568" spans="1:9" s="12" customFormat="1" ht="27" customHeight="1" x14ac:dyDescent="0.2">
      <c r="A568" s="926" t="s">
        <v>1685</v>
      </c>
      <c r="B568" s="753" t="s">
        <v>1686</v>
      </c>
      <c r="C568" s="744">
        <v>0</v>
      </c>
      <c r="D568" s="744">
        <v>0</v>
      </c>
      <c r="E568" s="744"/>
      <c r="F568" s="744"/>
      <c r="G568" s="1243"/>
      <c r="H568" s="1248"/>
      <c r="I568" s="1249"/>
    </row>
    <row r="569" spans="1:9" s="12" customFormat="1" ht="27" customHeight="1" x14ac:dyDescent="0.2">
      <c r="A569" s="926" t="s">
        <v>1601</v>
      </c>
      <c r="B569" s="1412" t="s">
        <v>1827</v>
      </c>
      <c r="C569" s="744">
        <v>500000</v>
      </c>
      <c r="D569" s="744">
        <v>500000</v>
      </c>
      <c r="E569" s="920"/>
      <c r="F569" s="1301"/>
      <c r="G569" s="825"/>
      <c r="H569" s="1244"/>
      <c r="I569" s="1255"/>
    </row>
    <row r="570" spans="1:9" s="12" customFormat="1" ht="27" customHeight="1" x14ac:dyDescent="0.2">
      <c r="A570" s="926" t="s">
        <v>1602</v>
      </c>
      <c r="B570" s="1412" t="s">
        <v>1828</v>
      </c>
      <c r="C570" s="744">
        <v>550000</v>
      </c>
      <c r="D570" s="744">
        <f>550000-550000</f>
        <v>0</v>
      </c>
      <c r="E570" s="744"/>
      <c r="F570" s="744"/>
      <c r="G570" s="1243"/>
      <c r="H570" s="1248"/>
      <c r="I570" s="1249"/>
    </row>
    <row r="571" spans="1:9" s="12" customFormat="1" ht="27" customHeight="1" x14ac:dyDescent="0.2">
      <c r="A571" s="926" t="s">
        <v>1603</v>
      </c>
      <c r="B571" s="1412" t="s">
        <v>1829</v>
      </c>
      <c r="C571" s="744">
        <v>450000</v>
      </c>
      <c r="D571" s="744">
        <v>450000</v>
      </c>
      <c r="E571" s="744"/>
      <c r="F571" s="744"/>
      <c r="G571" s="1243"/>
      <c r="H571" s="1248"/>
      <c r="I571" s="1249"/>
    </row>
    <row r="572" spans="1:9" s="12" customFormat="1" ht="27" customHeight="1" x14ac:dyDescent="0.2">
      <c r="A572" s="926" t="s">
        <v>1604</v>
      </c>
      <c r="B572" s="1412" t="s">
        <v>1687</v>
      </c>
      <c r="C572" s="744">
        <v>450000</v>
      </c>
      <c r="D572" s="744">
        <v>450000</v>
      </c>
      <c r="E572" s="744"/>
      <c r="F572" s="744"/>
      <c r="G572" s="1243"/>
      <c r="H572" s="1248"/>
      <c r="I572" s="1249"/>
    </row>
    <row r="573" spans="1:9" s="12" customFormat="1" ht="27" customHeight="1" x14ac:dyDescent="0.2">
      <c r="A573" s="926" t="s">
        <v>1605</v>
      </c>
      <c r="B573" s="819" t="s">
        <v>1830</v>
      </c>
      <c r="C573" s="744">
        <v>400000</v>
      </c>
      <c r="D573" s="744">
        <v>400000</v>
      </c>
      <c r="E573" s="744"/>
      <c r="F573" s="744"/>
      <c r="G573" s="1243"/>
      <c r="H573" s="1248"/>
      <c r="I573" s="1249"/>
    </row>
    <row r="574" spans="1:9" s="12" customFormat="1" ht="27" customHeight="1" x14ac:dyDescent="0.2">
      <c r="A574" s="926" t="s">
        <v>1606</v>
      </c>
      <c r="B574" s="819" t="s">
        <v>1831</v>
      </c>
      <c r="C574" s="744">
        <v>300000</v>
      </c>
      <c r="D574" s="744">
        <v>300000</v>
      </c>
      <c r="E574" s="744"/>
      <c r="F574" s="744"/>
      <c r="G574" s="1243"/>
      <c r="H574" s="1248"/>
      <c r="I574" s="1249"/>
    </row>
    <row r="575" spans="1:9" s="12" customFormat="1" ht="27" customHeight="1" x14ac:dyDescent="0.2">
      <c r="A575" s="926" t="s">
        <v>1607</v>
      </c>
      <c r="B575" s="819" t="s">
        <v>1832</v>
      </c>
      <c r="C575" s="744">
        <v>300000</v>
      </c>
      <c r="D575" s="744">
        <v>300000</v>
      </c>
      <c r="E575" s="744"/>
      <c r="F575" s="744"/>
      <c r="G575" s="1243"/>
      <c r="H575" s="1248"/>
      <c r="I575" s="1249"/>
    </row>
    <row r="576" spans="1:9" s="12" customFormat="1" ht="27" customHeight="1" x14ac:dyDescent="0.2">
      <c r="A576" s="926" t="s">
        <v>2069</v>
      </c>
      <c r="B576" s="819" t="s">
        <v>2068</v>
      </c>
      <c r="C576" s="744">
        <v>0</v>
      </c>
      <c r="D576" s="744">
        <v>550000</v>
      </c>
      <c r="E576" s="744"/>
      <c r="F576" s="744"/>
      <c r="G576" s="1243"/>
      <c r="H576" s="1248"/>
      <c r="I576" s="1249"/>
    </row>
    <row r="577" spans="1:9" s="12" customFormat="1" ht="27" customHeight="1" x14ac:dyDescent="0.2">
      <c r="A577" s="926" t="s">
        <v>1608</v>
      </c>
      <c r="B577" s="819" t="s">
        <v>1688</v>
      </c>
      <c r="C577" s="744">
        <v>6000000</v>
      </c>
      <c r="D577" s="744">
        <f>6000000-1900000</f>
        <v>4100000</v>
      </c>
      <c r="E577" s="920"/>
      <c r="F577" s="1301"/>
      <c r="G577" s="825"/>
      <c r="H577" s="1244"/>
      <c r="I577" s="1255"/>
    </row>
    <row r="578" spans="1:9" s="12" customFormat="1" ht="27" customHeight="1" x14ac:dyDescent="0.2">
      <c r="A578" s="926" t="s">
        <v>1609</v>
      </c>
      <c r="B578" s="1412" t="s">
        <v>1833</v>
      </c>
      <c r="C578" s="744">
        <v>4500000</v>
      </c>
      <c r="D578" s="744">
        <f>4500000-160000</f>
        <v>4340000</v>
      </c>
      <c r="E578" s="744"/>
      <c r="F578" s="744"/>
      <c r="G578" s="1243"/>
      <c r="H578" s="1248"/>
      <c r="I578" s="1249"/>
    </row>
    <row r="579" spans="1:9" s="12" customFormat="1" ht="27" customHeight="1" x14ac:dyDescent="0.2">
      <c r="A579" s="929">
        <v>3613</v>
      </c>
      <c r="B579" s="1408" t="s">
        <v>1364</v>
      </c>
      <c r="C579" s="920">
        <f t="shared" ref="C579:D579" si="51">SUM(C580:C590)</f>
        <v>15837000</v>
      </c>
      <c r="D579" s="920">
        <f t="shared" si="51"/>
        <v>14037000</v>
      </c>
      <c r="E579" s="744"/>
      <c r="F579" s="744"/>
      <c r="G579" s="1243"/>
      <c r="H579" s="1248"/>
      <c r="I579" s="1249"/>
    </row>
    <row r="580" spans="1:9" s="12" customFormat="1" ht="27" customHeight="1" x14ac:dyDescent="0.2">
      <c r="A580" s="926" t="s">
        <v>1191</v>
      </c>
      <c r="B580" s="1412" t="s">
        <v>1834</v>
      </c>
      <c r="C580" s="744">
        <v>1000000</v>
      </c>
      <c r="D580" s="744">
        <v>1000000</v>
      </c>
      <c r="E580" s="744"/>
      <c r="F580" s="744"/>
      <c r="G580" s="1243"/>
      <c r="H580" s="1248"/>
      <c r="I580" s="1249"/>
    </row>
    <row r="581" spans="1:9" s="12" customFormat="1" ht="27" customHeight="1" x14ac:dyDescent="0.2">
      <c r="A581" s="926" t="s">
        <v>1287</v>
      </c>
      <c r="B581" s="1412" t="s">
        <v>1308</v>
      </c>
      <c r="C581" s="744">
        <v>3500000</v>
      </c>
      <c r="D581" s="744">
        <f>3500000-3500000</f>
        <v>0</v>
      </c>
      <c r="E581" s="744"/>
      <c r="F581" s="744"/>
      <c r="G581" s="1243"/>
      <c r="H581" s="1248"/>
      <c r="I581" s="1249"/>
    </row>
    <row r="582" spans="1:9" s="12" customFormat="1" ht="27" customHeight="1" x14ac:dyDescent="0.2">
      <c r="A582" s="926" t="s">
        <v>1288</v>
      </c>
      <c r="B582" s="1412" t="s">
        <v>1835</v>
      </c>
      <c r="C582" s="744">
        <v>6687000</v>
      </c>
      <c r="D582" s="744">
        <f>6687000+5600000</f>
        <v>12287000</v>
      </c>
      <c r="E582" s="744"/>
      <c r="F582" s="744"/>
      <c r="G582" s="1243"/>
      <c r="H582" s="1248"/>
      <c r="I582" s="1249"/>
    </row>
    <row r="583" spans="1:9" s="12" customFormat="1" ht="27" customHeight="1" x14ac:dyDescent="0.2">
      <c r="A583" s="926" t="s">
        <v>1289</v>
      </c>
      <c r="B583" s="1412" t="s">
        <v>1321</v>
      </c>
      <c r="C583" s="744">
        <v>0</v>
      </c>
      <c r="D583" s="744">
        <v>0</v>
      </c>
      <c r="E583" s="744"/>
      <c r="F583" s="744"/>
      <c r="G583" s="1243"/>
      <c r="H583" s="1248"/>
      <c r="I583" s="1249"/>
    </row>
    <row r="584" spans="1:9" s="12" customFormat="1" ht="27" customHeight="1" x14ac:dyDescent="0.2">
      <c r="A584" s="926" t="s">
        <v>1290</v>
      </c>
      <c r="B584" s="1412" t="s">
        <v>1836</v>
      </c>
      <c r="C584" s="744">
        <v>0</v>
      </c>
      <c r="D584" s="744">
        <v>0</v>
      </c>
      <c r="E584" s="744"/>
      <c r="F584" s="744"/>
      <c r="G584" s="1243"/>
      <c r="H584" s="1248"/>
      <c r="I584" s="1249"/>
    </row>
    <row r="585" spans="1:9" s="12" customFormat="1" ht="27" customHeight="1" x14ac:dyDescent="0.2">
      <c r="A585" s="926" t="s">
        <v>1291</v>
      </c>
      <c r="B585" s="1412" t="s">
        <v>1319</v>
      </c>
      <c r="C585" s="744">
        <v>500000</v>
      </c>
      <c r="D585" s="744">
        <f>500000-500000</f>
        <v>0</v>
      </c>
      <c r="E585" s="744"/>
      <c r="F585" s="744"/>
      <c r="G585" s="1243"/>
      <c r="H585" s="1248"/>
      <c r="I585" s="1249"/>
    </row>
    <row r="586" spans="1:9" s="12" customFormat="1" ht="27" customHeight="1" x14ac:dyDescent="0.2">
      <c r="A586" s="926" t="s">
        <v>1689</v>
      </c>
      <c r="B586" s="753" t="s">
        <v>1690</v>
      </c>
      <c r="C586" s="744">
        <v>0</v>
      </c>
      <c r="D586" s="744">
        <v>0</v>
      </c>
      <c r="E586" s="751"/>
      <c r="F586" s="751"/>
      <c r="G586" s="1243"/>
      <c r="H586" s="1248"/>
      <c r="I586" s="1249"/>
    </row>
    <row r="587" spans="1:9" s="12" customFormat="1" ht="27" customHeight="1" x14ac:dyDescent="0.2">
      <c r="A587" s="926" t="s">
        <v>1564</v>
      </c>
      <c r="B587" s="1412" t="s">
        <v>1691</v>
      </c>
      <c r="C587" s="744">
        <v>0</v>
      </c>
      <c r="D587" s="744">
        <v>0</v>
      </c>
      <c r="E587" s="920"/>
      <c r="F587" s="1301"/>
      <c r="G587" s="825"/>
      <c r="H587" s="1244"/>
      <c r="I587" s="1255"/>
    </row>
    <row r="588" spans="1:9" s="12" customFormat="1" ht="27" customHeight="1" x14ac:dyDescent="0.2">
      <c r="A588" s="1440" t="s">
        <v>2050</v>
      </c>
      <c r="B588" s="1412" t="s">
        <v>1837</v>
      </c>
      <c r="C588" s="744">
        <v>3500000</v>
      </c>
      <c r="D588" s="744">
        <f>3500000+(-900000-200000)-2300000</f>
        <v>100000</v>
      </c>
      <c r="E588" s="751"/>
      <c r="F588" s="751"/>
      <c r="G588" s="1243"/>
      <c r="H588" s="1248"/>
      <c r="I588" s="1249"/>
    </row>
    <row r="589" spans="1:9" s="12" customFormat="1" ht="27" customHeight="1" x14ac:dyDescent="0.2">
      <c r="A589" s="926" t="s">
        <v>1838</v>
      </c>
      <c r="B589" s="1412" t="s">
        <v>1839</v>
      </c>
      <c r="C589" s="744">
        <v>250000</v>
      </c>
      <c r="D589" s="744">
        <v>250000</v>
      </c>
      <c r="E589" s="920"/>
      <c r="F589" s="1301"/>
      <c r="G589" s="825"/>
      <c r="H589" s="1244"/>
      <c r="I589" s="1255"/>
    </row>
    <row r="590" spans="1:9" s="12" customFormat="1" ht="27" customHeight="1" x14ac:dyDescent="0.2">
      <c r="A590" s="928" t="s">
        <v>1610</v>
      </c>
      <c r="B590" s="1446" t="s">
        <v>1840</v>
      </c>
      <c r="C590" s="751">
        <v>400000</v>
      </c>
      <c r="D590" s="751">
        <v>400000</v>
      </c>
      <c r="E590" s="751"/>
      <c r="F590" s="751"/>
      <c r="G590" s="1441"/>
      <c r="H590" s="1442"/>
      <c r="I590" s="1397"/>
    </row>
    <row r="591" spans="1:9" s="12" customFormat="1" ht="27" customHeight="1" x14ac:dyDescent="0.2">
      <c r="A591" s="1407">
        <v>3634</v>
      </c>
      <c r="B591" s="1408" t="s">
        <v>1192</v>
      </c>
      <c r="C591" s="920">
        <f t="shared" ref="C591:D591" si="52">SUM(C592:C602)</f>
        <v>15805000</v>
      </c>
      <c r="D591" s="920">
        <f t="shared" si="52"/>
        <v>13105000</v>
      </c>
      <c r="E591" s="1537"/>
      <c r="F591" s="1489"/>
      <c r="G591" s="1538"/>
      <c r="H591" s="1538"/>
      <c r="I591" s="1538"/>
    </row>
    <row r="592" spans="1:9" s="12" customFormat="1" ht="27" customHeight="1" x14ac:dyDescent="0.2">
      <c r="A592" s="1486" t="s">
        <v>1193</v>
      </c>
      <c r="B592" s="1487" t="s">
        <v>1692</v>
      </c>
      <c r="C592" s="864">
        <v>0</v>
      </c>
      <c r="D592" s="864">
        <v>0</v>
      </c>
      <c r="E592" s="1299"/>
      <c r="F592" s="1300"/>
      <c r="G592" s="826"/>
      <c r="H592" s="1325"/>
      <c r="I592" s="1488"/>
    </row>
    <row r="593" spans="1:9" s="12" customFormat="1" ht="27" customHeight="1" x14ac:dyDescent="0.2">
      <c r="A593" s="926" t="s">
        <v>1292</v>
      </c>
      <c r="B593" s="1412" t="s">
        <v>1841</v>
      </c>
      <c r="C593" s="744">
        <v>200000</v>
      </c>
      <c r="D593" s="744">
        <v>200000</v>
      </c>
      <c r="E593" s="744"/>
      <c r="F593" s="744"/>
      <c r="G593" s="1243"/>
      <c r="H593" s="1248"/>
      <c r="I593" s="1249"/>
    </row>
    <row r="594" spans="1:9" s="12" customFormat="1" ht="27" customHeight="1" x14ac:dyDescent="0.2">
      <c r="A594" s="926" t="s">
        <v>1842</v>
      </c>
      <c r="B594" s="1412" t="s">
        <v>1843</v>
      </c>
      <c r="C594" s="744">
        <v>800000</v>
      </c>
      <c r="D594" s="744">
        <v>800000</v>
      </c>
      <c r="E594" s="744"/>
      <c r="F594" s="744"/>
      <c r="G594" s="1243"/>
      <c r="H594" s="1248"/>
      <c r="I594" s="1249"/>
    </row>
    <row r="595" spans="1:9" s="12" customFormat="1" ht="27" customHeight="1" x14ac:dyDescent="0.2">
      <c r="A595" s="926" t="s">
        <v>1611</v>
      </c>
      <c r="B595" s="1412" t="s">
        <v>1844</v>
      </c>
      <c r="C595" s="744">
        <v>3300000</v>
      </c>
      <c r="D595" s="744">
        <v>3300000</v>
      </c>
      <c r="E595" s="744"/>
      <c r="F595" s="744"/>
      <c r="G595" s="1243"/>
      <c r="H595" s="1248"/>
      <c r="I595" s="1249"/>
    </row>
    <row r="596" spans="1:9" s="12" customFormat="1" ht="27" customHeight="1" x14ac:dyDescent="0.2">
      <c r="A596" s="926" t="s">
        <v>1293</v>
      </c>
      <c r="B596" s="1412" t="s">
        <v>1845</v>
      </c>
      <c r="C596" s="744">
        <v>5000</v>
      </c>
      <c r="D596" s="744">
        <v>5000</v>
      </c>
      <c r="E596" s="744"/>
      <c r="F596" s="744"/>
      <c r="G596" s="1243"/>
      <c r="H596" s="1248"/>
      <c r="I596" s="1249"/>
    </row>
    <row r="597" spans="1:9" s="12" customFormat="1" ht="27" customHeight="1" x14ac:dyDescent="0.2">
      <c r="A597" s="926" t="s">
        <v>1294</v>
      </c>
      <c r="B597" s="1412" t="s">
        <v>1565</v>
      </c>
      <c r="C597" s="744">
        <v>0</v>
      </c>
      <c r="D597" s="744">
        <v>0</v>
      </c>
      <c r="E597" s="744"/>
      <c r="F597" s="744"/>
      <c r="G597" s="1243"/>
      <c r="H597" s="1248"/>
      <c r="I597" s="1249"/>
    </row>
    <row r="598" spans="1:9" s="12" customFormat="1" ht="27" customHeight="1" x14ac:dyDescent="0.2">
      <c r="A598" s="926" t="s">
        <v>1295</v>
      </c>
      <c r="B598" s="1412" t="s">
        <v>1566</v>
      </c>
      <c r="C598" s="744">
        <v>0</v>
      </c>
      <c r="D598" s="744">
        <v>0</v>
      </c>
      <c r="E598" s="744"/>
      <c r="F598" s="744"/>
      <c r="G598" s="1243"/>
      <c r="H598" s="1248"/>
      <c r="I598" s="1249"/>
    </row>
    <row r="599" spans="1:9" s="12" customFormat="1" ht="27" customHeight="1" x14ac:dyDescent="0.2">
      <c r="A599" s="926" t="s">
        <v>1296</v>
      </c>
      <c r="B599" s="1412" t="s">
        <v>1567</v>
      </c>
      <c r="C599" s="744">
        <v>0</v>
      </c>
      <c r="D599" s="744">
        <v>0</v>
      </c>
      <c r="E599" s="920"/>
      <c r="F599" s="1301"/>
      <c r="G599" s="825"/>
      <c r="H599" s="1244"/>
      <c r="I599" s="1255"/>
    </row>
    <row r="600" spans="1:9" s="12" customFormat="1" ht="27" customHeight="1" x14ac:dyDescent="0.2">
      <c r="A600" s="926" t="s">
        <v>1297</v>
      </c>
      <c r="B600" s="1412" t="s">
        <v>1693</v>
      </c>
      <c r="C600" s="744">
        <v>0</v>
      </c>
      <c r="D600" s="744">
        <v>0</v>
      </c>
      <c r="E600" s="744"/>
      <c r="F600" s="744"/>
      <c r="G600" s="1243"/>
      <c r="H600" s="1248"/>
      <c r="I600" s="1249"/>
    </row>
    <row r="601" spans="1:9" s="12" customFormat="1" ht="27" customHeight="1" x14ac:dyDescent="0.2">
      <c r="A601" s="926" t="s">
        <v>1194</v>
      </c>
      <c r="B601" s="1412" t="s">
        <v>1568</v>
      </c>
      <c r="C601" s="744">
        <v>0</v>
      </c>
      <c r="D601" s="744">
        <v>0</v>
      </c>
      <c r="E601" s="920"/>
      <c r="F601" s="1301"/>
      <c r="G601" s="825"/>
      <c r="H601" s="1244"/>
      <c r="I601" s="1255"/>
    </row>
    <row r="602" spans="1:9" s="12" customFormat="1" ht="27" customHeight="1" x14ac:dyDescent="0.2">
      <c r="A602" s="926" t="s">
        <v>1298</v>
      </c>
      <c r="B602" s="1412" t="s">
        <v>1846</v>
      </c>
      <c r="C602" s="744">
        <v>11500000</v>
      </c>
      <c r="D602" s="744">
        <f>11500000-2500000-200000</f>
        <v>8800000</v>
      </c>
      <c r="E602" s="744"/>
      <c r="F602" s="744"/>
      <c r="G602" s="1243"/>
      <c r="H602" s="1248"/>
      <c r="I602" s="1398"/>
    </row>
    <row r="603" spans="1:9" s="12" customFormat="1" ht="27" customHeight="1" x14ac:dyDescent="0.25">
      <c r="A603" s="1407">
        <v>4351</v>
      </c>
      <c r="B603" s="1408" t="s">
        <v>2020</v>
      </c>
      <c r="C603" s="920">
        <f>SUM(C604)</f>
        <v>0</v>
      </c>
      <c r="D603" s="920">
        <f>SUM(D604)</f>
        <v>3500000</v>
      </c>
      <c r="E603" s="1453"/>
      <c r="F603" s="1489"/>
      <c r="G603" s="1539"/>
      <c r="H603" s="1490"/>
      <c r="I603" s="1490"/>
    </row>
    <row r="604" spans="1:9" s="12" customFormat="1" ht="27" customHeight="1" x14ac:dyDescent="0.2">
      <c r="A604" s="926" t="s">
        <v>1287</v>
      </c>
      <c r="B604" s="1412" t="s">
        <v>1308</v>
      </c>
      <c r="C604" s="744">
        <v>0</v>
      </c>
      <c r="D604" s="744">
        <v>3500000</v>
      </c>
      <c r="E604" s="744"/>
      <c r="F604" s="744"/>
      <c r="G604" s="1243"/>
      <c r="H604" s="1248"/>
      <c r="I604" s="1399"/>
    </row>
    <row r="605" spans="1:9" s="12" customFormat="1" ht="27" customHeight="1" x14ac:dyDescent="0.25">
      <c r="A605" s="1407">
        <v>4374</v>
      </c>
      <c r="B605" s="1408" t="s">
        <v>759</v>
      </c>
      <c r="C605" s="920">
        <f>SUM(C606)</f>
        <v>0</v>
      </c>
      <c r="D605" s="920">
        <f>SUM(D606)</f>
        <v>500000</v>
      </c>
      <c r="E605" s="1453"/>
      <c r="F605" s="1489"/>
      <c r="G605" s="1539"/>
      <c r="H605" s="1490"/>
      <c r="I605" s="1490"/>
    </row>
    <row r="606" spans="1:9" s="12" customFormat="1" ht="27" customHeight="1" thickBot="1" x14ac:dyDescent="0.25">
      <c r="A606" s="926" t="s">
        <v>1291</v>
      </c>
      <c r="B606" s="1412" t="s">
        <v>1319</v>
      </c>
      <c r="C606" s="744">
        <v>0</v>
      </c>
      <c r="D606" s="744">
        <v>500000</v>
      </c>
      <c r="E606" s="1560"/>
      <c r="F606" s="1560"/>
      <c r="G606" s="1564"/>
      <c r="H606" s="1565"/>
      <c r="I606" s="1397"/>
    </row>
    <row r="607" spans="1:9" s="12" customFormat="1" ht="27" customHeight="1" thickBot="1" x14ac:dyDescent="0.3">
      <c r="A607" s="840"/>
      <c r="B607" s="908" t="s">
        <v>550</v>
      </c>
      <c r="C607" s="950">
        <f>SUM(C608,C616,C618,C624,C629)</f>
        <v>22807000</v>
      </c>
      <c r="D607" s="950">
        <f>SUM(D608,D616,D618,D624,D629)</f>
        <v>22807000</v>
      </c>
      <c r="E607" s="1307"/>
      <c r="F607" s="1307"/>
      <c r="G607" s="1574"/>
      <c r="H607" s="1575"/>
      <c r="I607" s="1576"/>
    </row>
    <row r="608" spans="1:9" s="12" customFormat="1" ht="27" customHeight="1" x14ac:dyDescent="0.2">
      <c r="A608" s="1444">
        <v>3412</v>
      </c>
      <c r="B608" s="1429" t="s">
        <v>1365</v>
      </c>
      <c r="C608" s="1299">
        <f t="shared" ref="C608:D608" si="53">SUM(C609:C615)</f>
        <v>13037000</v>
      </c>
      <c r="D608" s="1299">
        <f t="shared" si="53"/>
        <v>13037000</v>
      </c>
      <c r="E608" s="864"/>
      <c r="F608" s="864"/>
      <c r="G608" s="1246"/>
      <c r="H608" s="1443"/>
      <c r="I608" s="1249"/>
    </row>
    <row r="609" spans="1:9" s="12" customFormat="1" ht="27" customHeight="1" x14ac:dyDescent="0.2">
      <c r="A609" s="926" t="s">
        <v>1569</v>
      </c>
      <c r="B609" s="1412" t="s">
        <v>1570</v>
      </c>
      <c r="C609" s="744">
        <v>0</v>
      </c>
      <c r="D609" s="744">
        <v>0</v>
      </c>
      <c r="E609" s="744"/>
      <c r="F609" s="744"/>
      <c r="G609" s="1243"/>
      <c r="H609" s="1248"/>
      <c r="I609" s="1249"/>
    </row>
    <row r="610" spans="1:9" s="12" customFormat="1" ht="27" customHeight="1" x14ac:dyDescent="0.2">
      <c r="A610" s="926" t="s">
        <v>1195</v>
      </c>
      <c r="B610" s="1412" t="s">
        <v>1571</v>
      </c>
      <c r="C610" s="744">
        <v>0</v>
      </c>
      <c r="D610" s="744">
        <v>0</v>
      </c>
      <c r="E610" s="920"/>
      <c r="F610" s="1301"/>
      <c r="G610" s="825"/>
      <c r="H610" s="1244"/>
      <c r="I610" s="1255"/>
    </row>
    <row r="611" spans="1:9" s="12" customFormat="1" ht="27" customHeight="1" x14ac:dyDescent="0.2">
      <c r="A611" s="926" t="s">
        <v>1196</v>
      </c>
      <c r="B611" s="1412" t="s">
        <v>1059</v>
      </c>
      <c r="C611" s="744">
        <v>650000</v>
      </c>
      <c r="D611" s="744">
        <f>650000+380000</f>
        <v>1030000</v>
      </c>
      <c r="E611" s="744"/>
      <c r="F611" s="744"/>
      <c r="G611" s="1243"/>
      <c r="H611" s="1248"/>
      <c r="I611" s="1249"/>
    </row>
    <row r="612" spans="1:9" s="12" customFormat="1" ht="27" customHeight="1" x14ac:dyDescent="0.2">
      <c r="A612" s="926" t="s">
        <v>1197</v>
      </c>
      <c r="B612" s="1412" t="s">
        <v>1060</v>
      </c>
      <c r="C612" s="744">
        <v>250000</v>
      </c>
      <c r="D612" s="744">
        <f>250000+100000</f>
        <v>350000</v>
      </c>
      <c r="E612" s="744"/>
      <c r="F612" s="744"/>
      <c r="G612" s="1243"/>
      <c r="H612" s="1248"/>
      <c r="I612" s="1249"/>
    </row>
    <row r="613" spans="1:9" s="12" customFormat="1" ht="27" customHeight="1" x14ac:dyDescent="0.2">
      <c r="A613" s="926" t="s">
        <v>1198</v>
      </c>
      <c r="B613" s="1405" t="s">
        <v>1612</v>
      </c>
      <c r="C613" s="744">
        <v>137000</v>
      </c>
      <c r="D613" s="744">
        <v>137000</v>
      </c>
      <c r="E613" s="920"/>
      <c r="F613" s="1301"/>
      <c r="G613" s="825"/>
      <c r="H613" s="1244"/>
      <c r="I613" s="1255"/>
    </row>
    <row r="614" spans="1:9" s="12" customFormat="1" ht="27" customHeight="1" x14ac:dyDescent="0.2">
      <c r="A614" s="926" t="s">
        <v>1061</v>
      </c>
      <c r="B614" s="1412" t="s">
        <v>1572</v>
      </c>
      <c r="C614" s="744">
        <v>4000000</v>
      </c>
      <c r="D614" s="744">
        <f>4000000-480000</f>
        <v>3520000</v>
      </c>
      <c r="E614" s="744"/>
      <c r="F614" s="744"/>
      <c r="G614" s="1243"/>
      <c r="H614" s="1248"/>
      <c r="I614" s="1249"/>
    </row>
    <row r="615" spans="1:9" s="12" customFormat="1" ht="27" customHeight="1" x14ac:dyDescent="0.2">
      <c r="A615" s="926" t="s">
        <v>1613</v>
      </c>
      <c r="B615" s="1412" t="s">
        <v>1573</v>
      </c>
      <c r="C615" s="744">
        <v>8000000</v>
      </c>
      <c r="D615" s="744">
        <v>8000000</v>
      </c>
      <c r="E615" s="920"/>
      <c r="F615" s="1301"/>
      <c r="G615" s="825"/>
      <c r="H615" s="1244"/>
      <c r="I615" s="1255"/>
    </row>
    <row r="616" spans="1:9" s="12" customFormat="1" ht="27" customHeight="1" x14ac:dyDescent="0.2">
      <c r="A616" s="1407">
        <v>3613</v>
      </c>
      <c r="B616" s="1408" t="s">
        <v>1364</v>
      </c>
      <c r="C616" s="920">
        <f t="shared" ref="C616:D616" si="54">SUM(C617:C617)</f>
        <v>300000</v>
      </c>
      <c r="D616" s="920">
        <f t="shared" si="54"/>
        <v>300000</v>
      </c>
      <c r="E616" s="744"/>
      <c r="F616" s="744"/>
      <c r="G616" s="1243"/>
      <c r="H616" s="1248"/>
      <c r="I616" s="1249"/>
    </row>
    <row r="617" spans="1:9" s="12" customFormat="1" ht="27" customHeight="1" x14ac:dyDescent="0.2">
      <c r="A617" s="926" t="s">
        <v>558</v>
      </c>
      <c r="B617" s="1412" t="s">
        <v>1847</v>
      </c>
      <c r="C617" s="744">
        <v>300000</v>
      </c>
      <c r="D617" s="744">
        <v>300000</v>
      </c>
      <c r="E617" s="744"/>
      <c r="F617" s="744"/>
      <c r="G617" s="1243"/>
      <c r="H617" s="1248"/>
      <c r="I617" s="1249"/>
    </row>
    <row r="618" spans="1:9" s="12" customFormat="1" ht="27" customHeight="1" x14ac:dyDescent="0.2">
      <c r="A618" s="1407">
        <v>3631</v>
      </c>
      <c r="B618" s="1408" t="s">
        <v>1366</v>
      </c>
      <c r="C618" s="920">
        <f t="shared" ref="C618:D618" si="55">SUM(C619:C623)</f>
        <v>7850000</v>
      </c>
      <c r="D618" s="920">
        <f t="shared" si="55"/>
        <v>7850000</v>
      </c>
      <c r="E618" s="920"/>
      <c r="F618" s="1301"/>
      <c r="G618" s="825"/>
      <c r="H618" s="1244"/>
      <c r="I618" s="1255"/>
    </row>
    <row r="619" spans="1:9" s="12" customFormat="1" ht="27" customHeight="1" x14ac:dyDescent="0.2">
      <c r="A619" s="926" t="s">
        <v>573</v>
      </c>
      <c r="B619" s="1412" t="s">
        <v>1848</v>
      </c>
      <c r="C619" s="744">
        <v>7600000</v>
      </c>
      <c r="D619" s="744">
        <f>7600000+110000</f>
        <v>7710000</v>
      </c>
      <c r="E619" s="920"/>
      <c r="F619" s="1301"/>
      <c r="G619" s="825"/>
      <c r="H619" s="1244"/>
      <c r="I619" s="1255"/>
    </row>
    <row r="620" spans="1:9" s="12" customFormat="1" ht="27" customHeight="1" x14ac:dyDescent="0.2">
      <c r="A620" s="926" t="s">
        <v>583</v>
      </c>
      <c r="B620" s="1412" t="s">
        <v>1574</v>
      </c>
      <c r="C620" s="744">
        <v>0</v>
      </c>
      <c r="D620" s="744">
        <v>0</v>
      </c>
      <c r="E620" s="744"/>
      <c r="F620" s="744"/>
      <c r="G620" s="1243"/>
      <c r="H620" s="1248"/>
      <c r="I620" s="1249"/>
    </row>
    <row r="621" spans="1:9" s="12" customFormat="1" ht="27" customHeight="1" x14ac:dyDescent="0.2">
      <c r="A621" s="926" t="s">
        <v>587</v>
      </c>
      <c r="B621" s="1412" t="s">
        <v>1575</v>
      </c>
      <c r="C621" s="744">
        <v>0</v>
      </c>
      <c r="D621" s="744">
        <v>0</v>
      </c>
      <c r="E621" s="744"/>
      <c r="F621" s="744"/>
      <c r="G621" s="1243"/>
      <c r="H621" s="1248"/>
      <c r="I621" s="1249"/>
    </row>
    <row r="622" spans="1:9" s="12" customFormat="1" ht="27" customHeight="1" x14ac:dyDescent="0.2">
      <c r="A622" s="926" t="s">
        <v>1694</v>
      </c>
      <c r="B622" s="1412" t="s">
        <v>1650</v>
      </c>
      <c r="C622" s="744">
        <v>250000</v>
      </c>
      <c r="D622" s="744">
        <f>250000-110000</f>
        <v>140000</v>
      </c>
      <c r="E622" s="920"/>
      <c r="F622" s="1301"/>
      <c r="G622" s="825"/>
      <c r="H622" s="1244"/>
      <c r="I622" s="1255"/>
    </row>
    <row r="623" spans="1:9" s="12" customFormat="1" ht="27" customHeight="1" x14ac:dyDescent="0.2">
      <c r="A623" s="926" t="s">
        <v>591</v>
      </c>
      <c r="B623" s="1412" t="s">
        <v>1576</v>
      </c>
      <c r="C623" s="744">
        <v>0</v>
      </c>
      <c r="D623" s="744">
        <v>0</v>
      </c>
      <c r="E623" s="744"/>
      <c r="F623" s="744"/>
      <c r="G623" s="1243"/>
      <c r="H623" s="1248"/>
      <c r="I623" s="1249"/>
    </row>
    <row r="624" spans="1:9" s="12" customFormat="1" ht="27" customHeight="1" x14ac:dyDescent="0.2">
      <c r="A624" s="1407">
        <v>3632</v>
      </c>
      <c r="B624" s="1445" t="s">
        <v>1349</v>
      </c>
      <c r="C624" s="920">
        <f t="shared" ref="C624:D624" si="56">SUM(C625:C628)</f>
        <v>1220000</v>
      </c>
      <c r="D624" s="920">
        <f t="shared" si="56"/>
        <v>1220000</v>
      </c>
      <c r="E624" s="920"/>
      <c r="F624" s="1301"/>
      <c r="G624" s="825"/>
      <c r="H624" s="1244"/>
      <c r="I624" s="1255"/>
    </row>
    <row r="625" spans="1:9" s="12" customFormat="1" ht="27" customHeight="1" x14ac:dyDescent="0.2">
      <c r="A625" s="926" t="s">
        <v>1201</v>
      </c>
      <c r="B625" s="1412" t="s">
        <v>1849</v>
      </c>
      <c r="C625" s="744">
        <v>10000</v>
      </c>
      <c r="D625" s="744">
        <v>10000</v>
      </c>
      <c r="E625" s="744"/>
      <c r="F625" s="744"/>
      <c r="G625" s="1243"/>
      <c r="H625" s="1248"/>
      <c r="I625" s="1249"/>
    </row>
    <row r="626" spans="1:9" s="12" customFormat="1" ht="27" customHeight="1" x14ac:dyDescent="0.2">
      <c r="A626" s="926" t="s">
        <v>1201</v>
      </c>
      <c r="B626" s="1405" t="s">
        <v>1850</v>
      </c>
      <c r="C626" s="744">
        <v>5000</v>
      </c>
      <c r="D626" s="744">
        <v>5000</v>
      </c>
      <c r="E626" s="744"/>
      <c r="F626" s="744"/>
      <c r="G626" s="1243"/>
      <c r="H626" s="1248"/>
      <c r="I626" s="1249"/>
    </row>
    <row r="627" spans="1:9" s="12" customFormat="1" ht="27" customHeight="1" x14ac:dyDescent="0.2">
      <c r="A627" s="926" t="s">
        <v>594</v>
      </c>
      <c r="B627" s="1405" t="s">
        <v>1851</v>
      </c>
      <c r="C627" s="744">
        <v>1200000</v>
      </c>
      <c r="D627" s="744">
        <v>1200000</v>
      </c>
      <c r="E627" s="920"/>
      <c r="F627" s="1301"/>
      <c r="G627" s="825"/>
      <c r="H627" s="1244"/>
      <c r="I627" s="1255"/>
    </row>
    <row r="628" spans="1:9" s="12" customFormat="1" ht="27" customHeight="1" x14ac:dyDescent="0.2">
      <c r="A628" s="926" t="s">
        <v>1299</v>
      </c>
      <c r="B628" s="1405" t="s">
        <v>1852</v>
      </c>
      <c r="C628" s="744">
        <v>5000</v>
      </c>
      <c r="D628" s="744">
        <v>5000</v>
      </c>
      <c r="E628" s="744"/>
      <c r="F628" s="744"/>
      <c r="G628" s="1243"/>
      <c r="H628" s="1248"/>
      <c r="I628" s="1249"/>
    </row>
    <row r="629" spans="1:9" s="12" customFormat="1" ht="27" customHeight="1" x14ac:dyDescent="0.2">
      <c r="A629" s="1562">
        <v>3633</v>
      </c>
      <c r="B629" s="1563" t="s">
        <v>1350</v>
      </c>
      <c r="C629" s="1561">
        <f>SUM(C630:C631)</f>
        <v>400000</v>
      </c>
      <c r="D629" s="1561">
        <f>SUM(D630:D631)</f>
        <v>400000</v>
      </c>
      <c r="E629" s="1560"/>
      <c r="F629" s="1560"/>
      <c r="G629" s="1564"/>
      <c r="H629" s="1565"/>
      <c r="I629" s="1397"/>
    </row>
    <row r="630" spans="1:9" s="12" customFormat="1" ht="27" customHeight="1" x14ac:dyDescent="0.2">
      <c r="A630" s="1411" t="s">
        <v>598</v>
      </c>
      <c r="B630" s="1412" t="s">
        <v>599</v>
      </c>
      <c r="C630" s="744">
        <v>0</v>
      </c>
      <c r="D630" s="744">
        <v>0</v>
      </c>
      <c r="E630" s="920"/>
      <c r="F630" s="1301"/>
      <c r="G630" s="825"/>
      <c r="H630" s="1244"/>
      <c r="I630" s="1570"/>
    </row>
    <row r="631" spans="1:9" s="695" customFormat="1" ht="27" customHeight="1" x14ac:dyDescent="0.2">
      <c r="A631" s="926" t="s">
        <v>1648</v>
      </c>
      <c r="B631" s="1412" t="s">
        <v>1649</v>
      </c>
      <c r="C631" s="744">
        <v>400000</v>
      </c>
      <c r="D631" s="744">
        <v>400000</v>
      </c>
      <c r="E631" s="744"/>
      <c r="F631" s="744"/>
      <c r="G631" s="1243"/>
      <c r="H631" s="1248"/>
      <c r="I631" s="1399"/>
    </row>
    <row r="632" spans="1:9" ht="27" customHeight="1" x14ac:dyDescent="0.25">
      <c r="A632" s="1571"/>
      <c r="B632" s="1571" t="s">
        <v>1202</v>
      </c>
      <c r="C632" s="1572">
        <f t="shared" ref="C632:D632" si="57">SUM(C633:C633)</f>
        <v>400000</v>
      </c>
      <c r="D632" s="1572">
        <f t="shared" si="57"/>
        <v>400000</v>
      </c>
      <c r="E632" s="1572"/>
      <c r="F632" s="1573"/>
      <c r="G632" s="1490"/>
      <c r="H632" s="1490"/>
      <c r="I632" s="1490"/>
    </row>
    <row r="633" spans="1:9" s="12" customFormat="1" ht="27" customHeight="1" x14ac:dyDescent="0.2">
      <c r="A633" s="1566" t="s">
        <v>609</v>
      </c>
      <c r="B633" s="1567" t="s">
        <v>1367</v>
      </c>
      <c r="C633" s="1568">
        <v>400000</v>
      </c>
      <c r="D633" s="1568">
        <v>400000</v>
      </c>
      <c r="E633" s="1568"/>
      <c r="F633" s="1568"/>
      <c r="G633" s="1569"/>
      <c r="H633" s="1443"/>
      <c r="I633" s="1543"/>
    </row>
    <row r="634" spans="1:9" s="12" customFormat="1" ht="27" customHeight="1" thickBot="1" x14ac:dyDescent="0.25">
      <c r="A634" s="965"/>
      <c r="B634" s="966"/>
      <c r="C634" s="885"/>
      <c r="D634" s="885"/>
      <c r="E634" s="1143"/>
      <c r="F634" s="1143"/>
      <c r="G634" s="1143"/>
      <c r="H634" s="1143"/>
      <c r="I634" s="1312"/>
    </row>
    <row r="635" spans="1:9" ht="27" customHeight="1" thickBot="1" x14ac:dyDescent="0.25">
      <c r="A635" s="841"/>
      <c r="B635" s="796" t="s">
        <v>31</v>
      </c>
      <c r="C635" s="749">
        <f t="shared" ref="C635:D635" si="58">SUM(C636:C636)</f>
        <v>15000</v>
      </c>
      <c r="D635" s="749">
        <f t="shared" si="58"/>
        <v>15000</v>
      </c>
      <c r="E635" s="1313"/>
      <c r="F635" s="1314"/>
      <c r="G635" s="1284"/>
      <c r="H635" s="1284"/>
      <c r="I635" s="1285"/>
    </row>
    <row r="636" spans="1:9" ht="27" customHeight="1" x14ac:dyDescent="0.2">
      <c r="A636" s="842" t="s">
        <v>1368</v>
      </c>
      <c r="B636" s="721" t="s">
        <v>1407</v>
      </c>
      <c r="C636" s="870">
        <v>15000</v>
      </c>
      <c r="D636" s="870">
        <v>15000</v>
      </c>
      <c r="E636" s="1218"/>
      <c r="F636" s="1163"/>
      <c r="G636" s="825"/>
      <c r="H636" s="1244"/>
      <c r="I636" s="1255"/>
    </row>
    <row r="637" spans="1:9" s="289" customFormat="1" ht="27" customHeight="1" thickBot="1" x14ac:dyDescent="0.3">
      <c r="A637" s="843"/>
      <c r="B637" s="789"/>
      <c r="C637" s="708"/>
      <c r="D637" s="708"/>
      <c r="E637" s="708"/>
      <c r="F637" s="708"/>
      <c r="G637" s="708"/>
      <c r="H637" s="708"/>
      <c r="I637" s="1315"/>
    </row>
    <row r="638" spans="1:9" s="107" customFormat="1" ht="27" customHeight="1" thickBot="1" x14ac:dyDescent="0.35">
      <c r="A638" s="772"/>
      <c r="B638" s="783" t="s">
        <v>614</v>
      </c>
      <c r="C638" s="945">
        <f t="shared" ref="C638:D638" si="59">SUM(C639:C642)</f>
        <v>15625044</v>
      </c>
      <c r="D638" s="945">
        <f t="shared" si="59"/>
        <v>16236396.609999999</v>
      </c>
      <c r="E638" s="1316"/>
      <c r="F638" s="1287"/>
      <c r="G638" s="1284"/>
      <c r="H638" s="1284"/>
      <c r="I638" s="1285"/>
    </row>
    <row r="639" spans="1:9" s="107" customFormat="1" ht="29.25" customHeight="1" x14ac:dyDescent="0.2">
      <c r="A639" s="872">
        <v>2141</v>
      </c>
      <c r="B639" s="873" t="s">
        <v>1417</v>
      </c>
      <c r="C639" s="870">
        <v>871332</v>
      </c>
      <c r="D639" s="870">
        <v>871332</v>
      </c>
      <c r="E639" s="1218"/>
      <c r="F639" s="1163"/>
      <c r="G639" s="825"/>
      <c r="H639" s="1244"/>
      <c r="I639" s="1257"/>
    </row>
    <row r="640" spans="1:9" s="107" customFormat="1" ht="84.75" x14ac:dyDescent="0.2">
      <c r="A640" s="713">
        <v>2143</v>
      </c>
      <c r="B640" s="722" t="s">
        <v>1717</v>
      </c>
      <c r="C640" s="870">
        <v>13609712</v>
      </c>
      <c r="D640" s="870">
        <f>13609712+(34702.89+196649.72)-535000+80000+300000</f>
        <v>13686064.609999999</v>
      </c>
      <c r="E640" s="1218"/>
      <c r="F640" s="1163"/>
      <c r="G640" s="825"/>
      <c r="H640" s="1244"/>
      <c r="I640" s="1257"/>
    </row>
    <row r="641" spans="1:9" s="107" customFormat="1" ht="27.75" customHeight="1" x14ac:dyDescent="0.2">
      <c r="A641" s="713">
        <v>3399</v>
      </c>
      <c r="B641" s="723" t="s">
        <v>1304</v>
      </c>
      <c r="C641" s="870">
        <v>70000</v>
      </c>
      <c r="D641" s="870">
        <v>70000</v>
      </c>
      <c r="E641" s="1218"/>
      <c r="F641" s="1163"/>
      <c r="G641" s="825"/>
      <c r="H641" s="1244"/>
      <c r="I641" s="1257"/>
    </row>
    <row r="642" spans="1:9" s="107" customFormat="1" ht="29.25" customHeight="1" x14ac:dyDescent="0.2">
      <c r="A642" s="713">
        <v>6223</v>
      </c>
      <c r="B642" s="723" t="s">
        <v>1418</v>
      </c>
      <c r="C642" s="870">
        <v>1074000</v>
      </c>
      <c r="D642" s="870">
        <f>1074000+535000</f>
        <v>1609000</v>
      </c>
      <c r="E642" s="1218"/>
      <c r="F642" s="1163"/>
      <c r="G642" s="825"/>
      <c r="H642" s="1244"/>
      <c r="I642" s="1257"/>
    </row>
    <row r="643" spans="1:9" s="107" customFormat="1" ht="27" customHeight="1" thickBot="1" x14ac:dyDescent="0.25">
      <c r="A643" s="730"/>
      <c r="B643" s="769"/>
      <c r="C643" s="708"/>
      <c r="D643" s="708"/>
      <c r="E643" s="708"/>
      <c r="F643" s="708"/>
      <c r="G643" s="708"/>
      <c r="H643" s="708"/>
      <c r="I643" s="1317"/>
    </row>
    <row r="644" spans="1:9" s="116" customFormat="1" ht="27" customHeight="1" thickBot="1" x14ac:dyDescent="0.25">
      <c r="A644" s="836"/>
      <c r="B644" s="797" t="s">
        <v>33</v>
      </c>
      <c r="C644" s="952">
        <f t="shared" ref="C644:D644" si="60">SUM(C645,C646)</f>
        <v>11266280</v>
      </c>
      <c r="D644" s="952">
        <f t="shared" si="60"/>
        <v>11266280</v>
      </c>
      <c r="E644" s="1318"/>
      <c r="F644" s="1319"/>
      <c r="G644" s="1284"/>
      <c r="H644" s="1284"/>
      <c r="I644" s="1285"/>
    </row>
    <row r="645" spans="1:9" s="116" customFormat="1" ht="27" customHeight="1" x14ac:dyDescent="0.2">
      <c r="A645" s="713">
        <v>2223</v>
      </c>
      <c r="B645" s="723" t="s">
        <v>1303</v>
      </c>
      <c r="C645" s="706">
        <v>87000</v>
      </c>
      <c r="D645" s="706">
        <v>87000</v>
      </c>
      <c r="E645" s="706"/>
      <c r="F645" s="1294"/>
      <c r="G645" s="825"/>
      <c r="H645" s="1244"/>
      <c r="I645" s="1257"/>
    </row>
    <row r="646" spans="1:9" s="116" customFormat="1" ht="27" customHeight="1" x14ac:dyDescent="0.2">
      <c r="A646" s="713">
        <v>2292</v>
      </c>
      <c r="B646" s="760" t="s">
        <v>1369</v>
      </c>
      <c r="C646" s="870">
        <f t="shared" ref="C646:D646" si="61">SUM(C647:C651)</f>
        <v>11179280</v>
      </c>
      <c r="D646" s="870">
        <f t="shared" si="61"/>
        <v>11179280</v>
      </c>
      <c r="E646" s="1218"/>
      <c r="F646" s="1163"/>
      <c r="G646" s="825"/>
      <c r="H646" s="1244"/>
      <c r="I646" s="1255"/>
    </row>
    <row r="647" spans="1:9" s="116" customFormat="1" ht="27" customHeight="1" x14ac:dyDescent="0.2">
      <c r="A647" s="713"/>
      <c r="B647" s="761" t="s">
        <v>623</v>
      </c>
      <c r="C647" s="871">
        <v>1917280</v>
      </c>
      <c r="D647" s="871">
        <v>1917280</v>
      </c>
      <c r="E647" s="1163"/>
      <c r="F647" s="1163"/>
      <c r="G647" s="1243"/>
      <c r="H647" s="1248"/>
      <c r="I647" s="1249"/>
    </row>
    <row r="648" spans="1:9" s="116" customFormat="1" ht="27" customHeight="1" x14ac:dyDescent="0.2">
      <c r="A648" s="713"/>
      <c r="B648" s="761" t="s">
        <v>1370</v>
      </c>
      <c r="C648" s="871">
        <v>8500000</v>
      </c>
      <c r="D648" s="871">
        <v>8500000</v>
      </c>
      <c r="E648" s="1163"/>
      <c r="F648" s="1163"/>
      <c r="G648" s="1243"/>
      <c r="H648" s="1248"/>
      <c r="I648" s="1249"/>
    </row>
    <row r="649" spans="1:9" s="426" customFormat="1" ht="27" customHeight="1" x14ac:dyDescent="0.2">
      <c r="A649" s="713"/>
      <c r="B649" s="763" t="s">
        <v>1424</v>
      </c>
      <c r="C649" s="871">
        <v>350000</v>
      </c>
      <c r="D649" s="871">
        <v>350000</v>
      </c>
      <c r="E649" s="1163"/>
      <c r="F649" s="1163"/>
      <c r="G649" s="1243"/>
      <c r="H649" s="1248"/>
      <c r="I649" s="1249"/>
    </row>
    <row r="650" spans="1:9" s="116" customFormat="1" ht="27" customHeight="1" x14ac:dyDescent="0.2">
      <c r="A650" s="700"/>
      <c r="B650" s="798" t="s">
        <v>1062</v>
      </c>
      <c r="C650" s="707">
        <v>400000</v>
      </c>
      <c r="D650" s="707">
        <v>400000</v>
      </c>
      <c r="E650" s="707"/>
      <c r="F650" s="707"/>
      <c r="G650" s="1243"/>
      <c r="H650" s="1248"/>
      <c r="I650" s="1249"/>
    </row>
    <row r="651" spans="1:9" s="116" customFormat="1" ht="27" customHeight="1" x14ac:dyDescent="0.2">
      <c r="A651" s="704"/>
      <c r="B651" s="799" t="s">
        <v>1063</v>
      </c>
      <c r="C651" s="735">
        <v>12000</v>
      </c>
      <c r="D651" s="735">
        <v>12000</v>
      </c>
      <c r="E651" s="735"/>
      <c r="F651" s="735"/>
      <c r="G651" s="1243"/>
      <c r="H651" s="1248"/>
      <c r="I651" s="1249"/>
    </row>
    <row r="652" spans="1:9" s="116" customFormat="1" ht="27" customHeight="1" thickBot="1" x14ac:dyDescent="0.25">
      <c r="A652" s="704"/>
      <c r="B652" s="799"/>
      <c r="C652" s="711"/>
      <c r="D652" s="711"/>
      <c r="E652" s="711"/>
      <c r="F652" s="711"/>
      <c r="G652" s="711"/>
      <c r="H652" s="711"/>
      <c r="I652" s="1320"/>
    </row>
    <row r="653" spans="1:9" s="116" customFormat="1" ht="27" customHeight="1" thickBot="1" x14ac:dyDescent="0.35">
      <c r="A653" s="772"/>
      <c r="B653" s="783" t="s">
        <v>34</v>
      </c>
      <c r="C653" s="703">
        <f t="shared" ref="C653:D653" si="62">SUM(C654:C655)</f>
        <v>162000</v>
      </c>
      <c r="D653" s="703">
        <f t="shared" si="62"/>
        <v>162000</v>
      </c>
      <c r="E653" s="1321"/>
      <c r="F653" s="1322"/>
      <c r="G653" s="1272"/>
      <c r="H653" s="1272"/>
      <c r="I653" s="1285"/>
    </row>
    <row r="654" spans="1:9" s="116" customFormat="1" ht="27" customHeight="1" x14ac:dyDescent="0.2">
      <c r="A654" s="713">
        <v>2223</v>
      </c>
      <c r="B654" s="760" t="s">
        <v>1371</v>
      </c>
      <c r="C654" s="870">
        <v>150000</v>
      </c>
      <c r="D654" s="870">
        <v>150000</v>
      </c>
      <c r="E654" s="1218"/>
      <c r="F654" s="1163"/>
      <c r="G654" s="825"/>
      <c r="H654" s="1244"/>
      <c r="I654" s="1255"/>
    </row>
    <row r="655" spans="1:9" s="116" customFormat="1" ht="27" customHeight="1" x14ac:dyDescent="0.2">
      <c r="A655" s="713">
        <v>6171</v>
      </c>
      <c r="B655" s="768" t="s">
        <v>1372</v>
      </c>
      <c r="C655" s="870">
        <v>12000</v>
      </c>
      <c r="D655" s="870">
        <v>12000</v>
      </c>
      <c r="E655" s="1218"/>
      <c r="F655" s="1163"/>
      <c r="G655" s="825"/>
      <c r="H655" s="1244"/>
      <c r="I655" s="1255"/>
    </row>
    <row r="656" spans="1:9" s="116" customFormat="1" ht="27" customHeight="1" thickBot="1" x14ac:dyDescent="0.25">
      <c r="A656" s="781"/>
      <c r="B656" s="815"/>
      <c r="C656" s="708"/>
      <c r="D656" s="708"/>
      <c r="E656" s="876"/>
      <c r="F656" s="876"/>
      <c r="G656" s="876"/>
      <c r="H656" s="876"/>
      <c r="I656" s="1265"/>
    </row>
    <row r="657" spans="1:49" s="116" customFormat="1" ht="27" customHeight="1" thickBot="1" x14ac:dyDescent="0.35">
      <c r="A657" s="836"/>
      <c r="B657" s="1190" t="s">
        <v>630</v>
      </c>
      <c r="C657" s="953">
        <f t="shared" ref="C657:D657" si="63">SUM(C658:C660)</f>
        <v>1000000</v>
      </c>
      <c r="D657" s="953">
        <f t="shared" si="63"/>
        <v>1224000</v>
      </c>
      <c r="E657" s="1321"/>
      <c r="F657" s="1323"/>
      <c r="G657" s="1272"/>
      <c r="H657" s="1272"/>
      <c r="I657" s="1324"/>
      <c r="J657" s="107"/>
      <c r="K657" s="107"/>
      <c r="L657" s="107"/>
      <c r="M657" s="107"/>
      <c r="N657" s="107"/>
      <c r="O657" s="107"/>
      <c r="P657" s="107"/>
      <c r="Q657" s="107"/>
      <c r="R657" s="107"/>
      <c r="S657" s="107"/>
      <c r="T657" s="107"/>
      <c r="U657" s="107"/>
      <c r="V657" s="107"/>
      <c r="W657" s="107"/>
      <c r="X657" s="107"/>
      <c r="Y657" s="107"/>
      <c r="Z657" s="107"/>
      <c r="AA657" s="107"/>
      <c r="AB657" s="107"/>
      <c r="AC657" s="107"/>
      <c r="AD657" s="107"/>
      <c r="AE657" s="107"/>
      <c r="AF657" s="107"/>
      <c r="AG657" s="107"/>
      <c r="AH657" s="107"/>
      <c r="AI657" s="107"/>
      <c r="AJ657" s="107"/>
      <c r="AK657" s="107"/>
      <c r="AL657" s="107"/>
      <c r="AM657" s="107"/>
      <c r="AN657" s="107"/>
      <c r="AO657" s="107"/>
      <c r="AP657" s="107"/>
      <c r="AQ657" s="107"/>
      <c r="AR657" s="107"/>
      <c r="AS657" s="107"/>
      <c r="AT657" s="107"/>
      <c r="AU657" s="107"/>
      <c r="AV657" s="107"/>
      <c r="AW657" s="107"/>
    </row>
    <row r="658" spans="1:49" s="116" customFormat="1" ht="27" customHeight="1" x14ac:dyDescent="0.2">
      <c r="A658" s="909">
        <v>6118</v>
      </c>
      <c r="B658" s="1189" t="s">
        <v>1318</v>
      </c>
      <c r="C658" s="1454">
        <v>0</v>
      </c>
      <c r="D658" s="1454">
        <v>0</v>
      </c>
      <c r="E658" s="1218"/>
      <c r="F658" s="1163"/>
      <c r="G658" s="826"/>
      <c r="H658" s="1325"/>
      <c r="I658" s="1255"/>
      <c r="J658" s="107"/>
      <c r="K658" s="107"/>
      <c r="L658" s="107"/>
      <c r="M658" s="107"/>
      <c r="N658" s="107"/>
      <c r="O658" s="107"/>
      <c r="P658" s="107"/>
      <c r="Q658" s="107"/>
      <c r="R658" s="107"/>
      <c r="S658" s="107"/>
      <c r="T658" s="107"/>
      <c r="U658" s="107"/>
      <c r="V658" s="107"/>
      <c r="W658" s="107"/>
      <c r="X658" s="107"/>
      <c r="Y658" s="107"/>
      <c r="Z658" s="107"/>
      <c r="AA658" s="107"/>
      <c r="AB658" s="107"/>
      <c r="AC658" s="107"/>
      <c r="AD658" s="107"/>
      <c r="AE658" s="107"/>
      <c r="AF658" s="107"/>
      <c r="AG658" s="107"/>
      <c r="AH658" s="107"/>
      <c r="AI658" s="107"/>
      <c r="AJ658" s="107"/>
      <c r="AK658" s="107"/>
      <c r="AL658" s="107"/>
      <c r="AM658" s="107"/>
      <c r="AN658" s="107"/>
      <c r="AO658" s="107"/>
      <c r="AP658" s="107"/>
      <c r="AQ658" s="107"/>
      <c r="AR658" s="107"/>
      <c r="AS658" s="107"/>
      <c r="AT658" s="107"/>
      <c r="AU658" s="107"/>
      <c r="AV658" s="107"/>
      <c r="AW658" s="107"/>
    </row>
    <row r="659" spans="1:49" s="116" customFormat="1" ht="27" customHeight="1" x14ac:dyDescent="0.2">
      <c r="A659" s="895">
        <v>6117</v>
      </c>
      <c r="B659" s="713" t="s">
        <v>1427</v>
      </c>
      <c r="C659" s="701">
        <v>500000</v>
      </c>
      <c r="D659" s="701">
        <f>500000+(724000-500000)</f>
        <v>724000</v>
      </c>
      <c r="E659" s="1218"/>
      <c r="F659" s="1163"/>
      <c r="G659" s="825"/>
      <c r="H659" s="1244"/>
      <c r="I659" s="1255"/>
      <c r="J659" s="107"/>
      <c r="K659" s="107"/>
      <c r="L659" s="107"/>
      <c r="M659" s="107"/>
      <c r="N659" s="107"/>
      <c r="O659" s="107"/>
      <c r="P659" s="107"/>
      <c r="Q659" s="107"/>
      <c r="R659" s="107"/>
      <c r="S659" s="107"/>
      <c r="T659" s="107"/>
      <c r="U659" s="107"/>
      <c r="V659" s="107"/>
      <c r="W659" s="107"/>
      <c r="X659" s="107"/>
      <c r="Y659" s="107"/>
      <c r="Z659" s="107"/>
      <c r="AA659" s="107"/>
      <c r="AB659" s="107"/>
      <c r="AC659" s="107"/>
      <c r="AD659" s="107"/>
      <c r="AE659" s="107"/>
      <c r="AF659" s="107"/>
      <c r="AG659" s="107"/>
      <c r="AH659" s="107"/>
      <c r="AI659" s="107"/>
      <c r="AJ659" s="107"/>
      <c r="AK659" s="107"/>
      <c r="AL659" s="107"/>
      <c r="AM659" s="107"/>
      <c r="AN659" s="107"/>
      <c r="AO659" s="107"/>
      <c r="AP659" s="107"/>
      <c r="AQ659" s="107"/>
      <c r="AR659" s="107"/>
      <c r="AS659" s="107"/>
      <c r="AT659" s="107"/>
      <c r="AU659" s="107"/>
      <c r="AV659" s="107"/>
      <c r="AW659" s="107"/>
    </row>
    <row r="660" spans="1:49" s="116" customFormat="1" ht="27" customHeight="1" x14ac:dyDescent="0.2">
      <c r="A660" s="910">
        <v>6115</v>
      </c>
      <c r="B660" s="833" t="s">
        <v>631</v>
      </c>
      <c r="C660" s="701">
        <v>500000</v>
      </c>
      <c r="D660" s="701">
        <v>500000</v>
      </c>
      <c r="E660" s="1218"/>
      <c r="F660" s="1163"/>
      <c r="G660" s="825"/>
      <c r="H660" s="1244"/>
      <c r="I660" s="1255"/>
      <c r="J660" s="107"/>
      <c r="K660" s="107"/>
      <c r="L660" s="107"/>
      <c r="M660" s="107"/>
      <c r="N660" s="107"/>
      <c r="O660" s="107"/>
      <c r="P660" s="107"/>
      <c r="Q660" s="107"/>
      <c r="R660" s="107"/>
      <c r="S660" s="107"/>
      <c r="T660" s="107"/>
      <c r="U660" s="107"/>
      <c r="V660" s="107"/>
      <c r="W660" s="107"/>
      <c r="X660" s="107"/>
      <c r="Y660" s="107"/>
      <c r="Z660" s="107"/>
      <c r="AA660" s="107"/>
      <c r="AB660" s="107"/>
      <c r="AC660" s="107"/>
      <c r="AD660" s="107"/>
      <c r="AE660" s="107"/>
      <c r="AF660" s="107"/>
      <c r="AG660" s="107"/>
      <c r="AH660" s="107"/>
      <c r="AI660" s="107"/>
      <c r="AJ660" s="107"/>
      <c r="AK660" s="107"/>
      <c r="AL660" s="107"/>
      <c r="AM660" s="107"/>
      <c r="AN660" s="107"/>
      <c r="AO660" s="107"/>
      <c r="AP660" s="107"/>
      <c r="AQ660" s="107"/>
      <c r="AR660" s="107"/>
      <c r="AS660" s="107"/>
      <c r="AT660" s="107"/>
      <c r="AU660" s="107"/>
      <c r="AV660" s="107"/>
      <c r="AW660" s="107"/>
    </row>
    <row r="661" spans="1:49" s="116" customFormat="1" ht="27" customHeight="1" thickBot="1" x14ac:dyDescent="0.25">
      <c r="A661" s="911"/>
      <c r="B661" s="912"/>
      <c r="C661" s="718"/>
      <c r="D661" s="718"/>
      <c r="E661" s="1326"/>
      <c r="F661" s="1274"/>
      <c r="G661" s="1326"/>
      <c r="H661" s="1326"/>
      <c r="I661" s="1327"/>
      <c r="J661" s="107"/>
      <c r="K661" s="107"/>
      <c r="L661" s="107"/>
      <c r="M661" s="107"/>
      <c r="N661" s="107"/>
      <c r="O661" s="107"/>
      <c r="P661" s="107"/>
      <c r="Q661" s="107"/>
      <c r="R661" s="107"/>
      <c r="S661" s="107"/>
      <c r="T661" s="107"/>
      <c r="U661" s="107"/>
      <c r="V661" s="107"/>
      <c r="W661" s="107"/>
      <c r="X661" s="107"/>
      <c r="Y661" s="107"/>
      <c r="Z661" s="107"/>
      <c r="AA661" s="107"/>
      <c r="AB661" s="107"/>
      <c r="AC661" s="107"/>
      <c r="AD661" s="107"/>
      <c r="AE661" s="107"/>
      <c r="AF661" s="107"/>
      <c r="AG661" s="107"/>
      <c r="AH661" s="107"/>
      <c r="AI661" s="107"/>
      <c r="AJ661" s="107"/>
      <c r="AK661" s="107"/>
      <c r="AL661" s="107"/>
      <c r="AM661" s="107"/>
      <c r="AN661" s="107"/>
      <c r="AO661" s="107"/>
      <c r="AP661" s="107"/>
      <c r="AQ661" s="107"/>
      <c r="AR661" s="107"/>
      <c r="AS661" s="107"/>
      <c r="AT661" s="107"/>
      <c r="AU661" s="107"/>
      <c r="AV661" s="107"/>
      <c r="AW661" s="107"/>
    </row>
    <row r="662" spans="1:49" customFormat="1" ht="27" customHeight="1" thickBot="1" x14ac:dyDescent="0.35">
      <c r="A662" s="1125"/>
      <c r="B662" s="1126" t="s">
        <v>36</v>
      </c>
      <c r="C662" s="1137">
        <f t="shared" ref="C662:D662" si="64">C663+C707+C734</f>
        <v>112714300</v>
      </c>
      <c r="D662" s="1137">
        <f t="shared" si="64"/>
        <v>131296914.09999999</v>
      </c>
      <c r="E662" s="1321"/>
      <c r="F662" s="1323"/>
      <c r="G662" s="1272"/>
      <c r="H662" s="1272"/>
      <c r="I662" s="1285"/>
    </row>
    <row r="663" spans="1:49" customFormat="1" ht="27" customHeight="1" thickBot="1" x14ac:dyDescent="0.3">
      <c r="A663" s="1127"/>
      <c r="B663" s="1128" t="s">
        <v>633</v>
      </c>
      <c r="C663" s="1129">
        <f t="shared" ref="C663:D663" si="65">SUM(C664,C680,C705,C700)</f>
        <v>44001000</v>
      </c>
      <c r="D663" s="1129">
        <f t="shared" si="65"/>
        <v>56830062.099999994</v>
      </c>
      <c r="E663" s="1328"/>
      <c r="F663" s="1329"/>
      <c r="G663" s="1237"/>
      <c r="H663" s="1237"/>
      <c r="I663" s="1253"/>
    </row>
    <row r="664" spans="1:49" customFormat="1" ht="27" customHeight="1" x14ac:dyDescent="0.2">
      <c r="A664" s="1130">
        <v>3111</v>
      </c>
      <c r="B664" s="1131" t="s">
        <v>634</v>
      </c>
      <c r="C664" s="844">
        <f t="shared" ref="C664:D664" si="66">SUM(C665:C667)</f>
        <v>9931000</v>
      </c>
      <c r="D664" s="844">
        <f t="shared" si="66"/>
        <v>10154944</v>
      </c>
      <c r="E664" s="844"/>
      <c r="F664" s="1330"/>
      <c r="G664" s="825"/>
      <c r="H664" s="1244"/>
      <c r="I664" s="1255"/>
    </row>
    <row r="665" spans="1:49" customFormat="1" ht="27" customHeight="1" x14ac:dyDescent="0.2">
      <c r="A665" s="753"/>
      <c r="B665" s="930" t="s">
        <v>635</v>
      </c>
      <c r="C665" s="848">
        <f t="shared" ref="C665:D665" si="67">+C669+C673+C677</f>
        <v>8544000</v>
      </c>
      <c r="D665" s="848">
        <f t="shared" si="67"/>
        <v>8767944</v>
      </c>
      <c r="E665" s="744"/>
      <c r="F665" s="744"/>
      <c r="G665" s="1243"/>
      <c r="H665" s="1248"/>
      <c r="I665" s="1249"/>
    </row>
    <row r="666" spans="1:49" customFormat="1" ht="27" customHeight="1" x14ac:dyDescent="0.2">
      <c r="A666" s="753"/>
      <c r="B666" s="930" t="s">
        <v>1064</v>
      </c>
      <c r="C666" s="848">
        <f>+C670+C674+C678</f>
        <v>937000</v>
      </c>
      <c r="D666" s="848">
        <f>+D670+D674+D678</f>
        <v>937000</v>
      </c>
      <c r="E666" s="744"/>
      <c r="F666" s="744"/>
      <c r="G666" s="1243"/>
      <c r="H666" s="1248"/>
      <c r="I666" s="1249"/>
    </row>
    <row r="667" spans="1:49" customFormat="1" ht="27" customHeight="1" x14ac:dyDescent="0.2">
      <c r="A667" s="753"/>
      <c r="B667" s="930" t="s">
        <v>1065</v>
      </c>
      <c r="C667" s="848">
        <f t="shared" ref="C667:D667" si="68">+C671+C675+C679</f>
        <v>450000</v>
      </c>
      <c r="D667" s="848">
        <f t="shared" si="68"/>
        <v>450000</v>
      </c>
      <c r="E667" s="744"/>
      <c r="F667" s="744"/>
      <c r="G667" s="1243"/>
      <c r="H667" s="1248"/>
      <c r="I667" s="1249"/>
    </row>
    <row r="668" spans="1:49" customFormat="1" ht="27" customHeight="1" x14ac:dyDescent="0.2">
      <c r="A668" s="753"/>
      <c r="B668" s="819" t="s">
        <v>1373</v>
      </c>
      <c r="C668" s="845">
        <f t="shared" ref="C668:D668" si="69">C669+C670+C671</f>
        <v>2687000</v>
      </c>
      <c r="D668" s="845">
        <f t="shared" si="69"/>
        <v>2687000</v>
      </c>
      <c r="E668" s="744"/>
      <c r="F668" s="744"/>
      <c r="G668" s="744"/>
      <c r="H668" s="744"/>
      <c r="I668" s="1249"/>
    </row>
    <row r="669" spans="1:49" customFormat="1" ht="27" customHeight="1" x14ac:dyDescent="0.2">
      <c r="A669" s="753"/>
      <c r="B669" s="819" t="s">
        <v>1866</v>
      </c>
      <c r="C669" s="902">
        <v>2673000</v>
      </c>
      <c r="D669" s="902">
        <v>2673000</v>
      </c>
      <c r="E669" s="845"/>
      <c r="F669" s="744"/>
      <c r="G669" s="825"/>
      <c r="H669" s="1244"/>
      <c r="I669" s="1255"/>
    </row>
    <row r="670" spans="1:49" customFormat="1" ht="27" customHeight="1" x14ac:dyDescent="0.2">
      <c r="A670" s="753" t="s">
        <v>640</v>
      </c>
      <c r="B670" s="819" t="s">
        <v>1538</v>
      </c>
      <c r="C670" s="902">
        <v>14000</v>
      </c>
      <c r="D670" s="902">
        <v>14000</v>
      </c>
      <c r="E670" s="1331"/>
      <c r="F670" s="1331"/>
      <c r="G670" s="1243"/>
      <c r="H670" s="1248"/>
      <c r="I670" s="1249"/>
    </row>
    <row r="671" spans="1:49" customFormat="1" ht="27" customHeight="1" x14ac:dyDescent="0.2">
      <c r="A671" s="753"/>
      <c r="B671" s="819" t="s">
        <v>1539</v>
      </c>
      <c r="C671" s="902">
        <v>0</v>
      </c>
      <c r="D671" s="902">
        <v>0</v>
      </c>
      <c r="E671" s="1331"/>
      <c r="F671" s="1331"/>
      <c r="G671" s="1243"/>
      <c r="H671" s="1248"/>
      <c r="I671" s="1258"/>
    </row>
    <row r="672" spans="1:49" customFormat="1" ht="27" customHeight="1" x14ac:dyDescent="0.2">
      <c r="A672" s="753"/>
      <c r="B672" s="846" t="s">
        <v>1540</v>
      </c>
      <c r="C672" s="854">
        <f t="shared" ref="C672:D672" si="70">SUM(C673:C675)</f>
        <v>4000000</v>
      </c>
      <c r="D672" s="854">
        <f t="shared" si="70"/>
        <v>4000000</v>
      </c>
      <c r="E672" s="1331"/>
      <c r="F672" s="1331"/>
      <c r="G672" s="1243"/>
      <c r="H672" s="1248"/>
      <c r="I672" s="1249"/>
    </row>
    <row r="673" spans="1:9" customFormat="1" ht="27" customHeight="1" x14ac:dyDescent="0.2">
      <c r="A673" s="753"/>
      <c r="B673" s="819" t="s">
        <v>1867</v>
      </c>
      <c r="C673" s="902">
        <f>70000+3075000</f>
        <v>3145000</v>
      </c>
      <c r="D673" s="902">
        <f>70000+3075000</f>
        <v>3145000</v>
      </c>
      <c r="E673" s="744"/>
      <c r="F673" s="744"/>
      <c r="G673" s="744"/>
      <c r="H673" s="744"/>
      <c r="I673" s="1249"/>
    </row>
    <row r="674" spans="1:9" customFormat="1" ht="27" customHeight="1" x14ac:dyDescent="0.2">
      <c r="A674" s="753"/>
      <c r="B674" s="819" t="s">
        <v>1423</v>
      </c>
      <c r="C674" s="902">
        <v>455000</v>
      </c>
      <c r="D674" s="902">
        <v>455000</v>
      </c>
      <c r="E674" s="845"/>
      <c r="F674" s="744"/>
      <c r="G674" s="825"/>
      <c r="H674" s="1244"/>
      <c r="I674" s="1255"/>
    </row>
    <row r="675" spans="1:9" customFormat="1" ht="27" customHeight="1" x14ac:dyDescent="0.2">
      <c r="A675" s="753"/>
      <c r="B675" s="819" t="s">
        <v>1541</v>
      </c>
      <c r="C675" s="902">
        <v>400000</v>
      </c>
      <c r="D675" s="902">
        <v>400000</v>
      </c>
      <c r="E675" s="1331"/>
      <c r="F675" s="1331"/>
      <c r="G675" s="1243"/>
      <c r="H675" s="1248"/>
      <c r="I675" s="1249"/>
    </row>
    <row r="676" spans="1:9" customFormat="1" ht="27" customHeight="1" x14ac:dyDescent="0.2">
      <c r="A676" s="753"/>
      <c r="B676" s="819" t="s">
        <v>1374</v>
      </c>
      <c r="C676" s="854">
        <f>SUM(C677:C679)</f>
        <v>3244000</v>
      </c>
      <c r="D676" s="854">
        <f>SUM(D677:D679)</f>
        <v>3467944</v>
      </c>
      <c r="E676" s="1331"/>
      <c r="F676" s="1331"/>
      <c r="G676" s="1243"/>
      <c r="H676" s="1248"/>
      <c r="I676" s="1258"/>
    </row>
    <row r="677" spans="1:9" customFormat="1" ht="27" customHeight="1" x14ac:dyDescent="0.2">
      <c r="A677" s="753"/>
      <c r="B677" s="819" t="s">
        <v>1868</v>
      </c>
      <c r="C677" s="902">
        <v>2726000</v>
      </c>
      <c r="D677" s="902">
        <f>2726000+192228+(3419.6+30776.4)-1284-1196</f>
        <v>2949944</v>
      </c>
      <c r="E677" s="1331"/>
      <c r="F677" s="1331"/>
      <c r="G677" s="1243"/>
      <c r="H677" s="1248"/>
      <c r="I677" s="1249"/>
    </row>
    <row r="678" spans="1:9" customFormat="1" ht="27" customHeight="1" x14ac:dyDescent="0.2">
      <c r="A678" s="753"/>
      <c r="B678" s="819" t="s">
        <v>1542</v>
      </c>
      <c r="C678" s="902">
        <v>468000</v>
      </c>
      <c r="D678" s="902">
        <v>468000</v>
      </c>
      <c r="E678" s="1331"/>
      <c r="F678" s="1331"/>
      <c r="G678" s="1331"/>
      <c r="H678" s="1331"/>
      <c r="I678" s="1249"/>
    </row>
    <row r="679" spans="1:9" customFormat="1" ht="27" customHeight="1" x14ac:dyDescent="0.2">
      <c r="A679" s="753"/>
      <c r="B679" s="819" t="s">
        <v>1543</v>
      </c>
      <c r="C679" s="902">
        <v>50000</v>
      </c>
      <c r="D679" s="902">
        <v>50000</v>
      </c>
      <c r="E679" s="845"/>
      <c r="F679" s="744"/>
      <c r="G679" s="825"/>
      <c r="H679" s="1244"/>
      <c r="I679" s="1255"/>
    </row>
    <row r="680" spans="1:9" customFormat="1" ht="27" customHeight="1" x14ac:dyDescent="0.2">
      <c r="A680" s="834">
        <v>3113</v>
      </c>
      <c r="B680" s="847" t="s">
        <v>650</v>
      </c>
      <c r="C680" s="854">
        <f>SUM(C681:C684)</f>
        <v>31532000</v>
      </c>
      <c r="D680" s="854">
        <f>SUM(D681:D684)</f>
        <v>43926918.099999994</v>
      </c>
      <c r="E680" s="1331"/>
      <c r="F680" s="1331"/>
      <c r="G680" s="1243"/>
      <c r="H680" s="1248"/>
      <c r="I680" s="1249"/>
    </row>
    <row r="681" spans="1:9" customFormat="1" ht="27" customHeight="1" x14ac:dyDescent="0.2">
      <c r="A681" s="834"/>
      <c r="B681" s="819" t="s">
        <v>651</v>
      </c>
      <c r="C681" s="902">
        <v>548000</v>
      </c>
      <c r="D681" s="902">
        <f>548000+134310</f>
        <v>682310</v>
      </c>
      <c r="E681" s="1331"/>
      <c r="F681" s="1331"/>
      <c r="G681" s="1243"/>
      <c r="H681" s="1248"/>
      <c r="I681" s="1258"/>
    </row>
    <row r="682" spans="1:9" customFormat="1" ht="27" customHeight="1" x14ac:dyDescent="0.2">
      <c r="A682" s="753"/>
      <c r="B682" s="819" t="s">
        <v>652</v>
      </c>
      <c r="C682" s="848">
        <f t="shared" ref="C682:D683" si="71">+C686+C690+C693+C697</f>
        <v>26899000</v>
      </c>
      <c r="D682" s="848">
        <f t="shared" si="71"/>
        <v>32178301.050000001</v>
      </c>
      <c r="E682" s="1331"/>
      <c r="F682" s="1331"/>
      <c r="G682" s="1243"/>
      <c r="H682" s="1248"/>
      <c r="I682" s="1258"/>
    </row>
    <row r="683" spans="1:9" customFormat="1" ht="27" customHeight="1" x14ac:dyDescent="0.2">
      <c r="A683" s="753"/>
      <c r="B683" s="819" t="s">
        <v>1577</v>
      </c>
      <c r="C683" s="848">
        <f t="shared" si="71"/>
        <v>2123000</v>
      </c>
      <c r="D683" s="848">
        <f t="shared" si="71"/>
        <v>3045208</v>
      </c>
      <c r="E683" s="1331"/>
      <c r="F683" s="1331"/>
      <c r="G683" s="1331"/>
      <c r="H683" s="1331"/>
      <c r="I683" s="1249"/>
    </row>
    <row r="684" spans="1:9" customFormat="1" ht="27" customHeight="1" x14ac:dyDescent="0.2">
      <c r="A684" s="753"/>
      <c r="B684" s="819" t="s">
        <v>1578</v>
      </c>
      <c r="C684" s="848">
        <f t="shared" ref="C684:D684" si="72">+C688+C695+C699</f>
        <v>1962000</v>
      </c>
      <c r="D684" s="848">
        <f t="shared" si="72"/>
        <v>8021099.0500000007</v>
      </c>
      <c r="E684" s="845"/>
      <c r="F684" s="744"/>
      <c r="G684" s="825"/>
      <c r="H684" s="1244"/>
      <c r="I684" s="1255"/>
    </row>
    <row r="685" spans="1:9" customFormat="1" ht="27" customHeight="1" x14ac:dyDescent="0.2">
      <c r="A685" s="753"/>
      <c r="B685" s="819" t="s">
        <v>1375</v>
      </c>
      <c r="C685" s="854">
        <f>SUM(C686:C688)</f>
        <v>10921000</v>
      </c>
      <c r="D685" s="854">
        <f>SUM(D686:D688)</f>
        <v>11132596</v>
      </c>
      <c r="E685" s="1331"/>
      <c r="F685" s="1331"/>
      <c r="G685" s="1243"/>
      <c r="H685" s="1248"/>
      <c r="I685" s="1249"/>
    </row>
    <row r="686" spans="1:9" customFormat="1" ht="27" customHeight="1" x14ac:dyDescent="0.2">
      <c r="A686" s="753"/>
      <c r="B686" s="819" t="s">
        <v>1869</v>
      </c>
      <c r="C686" s="902">
        <v>9498000</v>
      </c>
      <c r="D686" s="902">
        <f>9498000+90488+(4890+44010)</f>
        <v>9637388</v>
      </c>
      <c r="E686" s="744"/>
      <c r="F686" s="744"/>
      <c r="G686" s="1243"/>
      <c r="H686" s="1248"/>
      <c r="I686" s="1249"/>
    </row>
    <row r="687" spans="1:9" customFormat="1" ht="27" customHeight="1" x14ac:dyDescent="0.2">
      <c r="A687" s="753"/>
      <c r="B687" s="819" t="s">
        <v>1544</v>
      </c>
      <c r="C687" s="902">
        <v>1131000</v>
      </c>
      <c r="D687" s="902">
        <f>1131000+72208</f>
        <v>1203208</v>
      </c>
      <c r="E687" s="744"/>
      <c r="F687" s="744"/>
      <c r="G687" s="1243"/>
      <c r="H687" s="1248"/>
      <c r="I687" s="1249"/>
    </row>
    <row r="688" spans="1:9" customFormat="1" ht="27" customHeight="1" x14ac:dyDescent="0.2">
      <c r="A688" s="753"/>
      <c r="B688" s="819" t="s">
        <v>1545</v>
      </c>
      <c r="C688" s="902">
        <v>292000</v>
      </c>
      <c r="D688" s="902">
        <v>292000</v>
      </c>
      <c r="E688" s="848"/>
      <c r="F688" s="848"/>
      <c r="G688" s="1243"/>
      <c r="H688" s="1248"/>
      <c r="I688" s="1249"/>
    </row>
    <row r="689" spans="1:9" customFormat="1" ht="27" customHeight="1" x14ac:dyDescent="0.2">
      <c r="A689" s="753"/>
      <c r="B689" s="819" t="s">
        <v>1376</v>
      </c>
      <c r="C689" s="854">
        <f t="shared" ref="C689:D689" si="73">SUM(C690:C691)</f>
        <v>5733000</v>
      </c>
      <c r="D689" s="854">
        <f t="shared" si="73"/>
        <v>5808190</v>
      </c>
      <c r="E689" s="848"/>
      <c r="F689" s="848"/>
      <c r="G689" s="848"/>
      <c r="H689" s="848"/>
      <c r="I689" s="1249"/>
    </row>
    <row r="690" spans="1:9" customFormat="1" ht="27" customHeight="1" x14ac:dyDescent="0.2">
      <c r="A690" s="753"/>
      <c r="B690" s="819" t="s">
        <v>1870</v>
      </c>
      <c r="C690" s="902">
        <v>5433000</v>
      </c>
      <c r="D690" s="902">
        <f>5433000+(7519+67671)</f>
        <v>5508190</v>
      </c>
      <c r="E690" s="1332"/>
      <c r="F690" s="1333"/>
      <c r="G690" s="825"/>
      <c r="H690" s="1244"/>
      <c r="I690" s="1255"/>
    </row>
    <row r="691" spans="1:9" customFormat="1" ht="27" customHeight="1" x14ac:dyDescent="0.2">
      <c r="A691" s="753"/>
      <c r="B691" s="819" t="s">
        <v>1546</v>
      </c>
      <c r="C691" s="902">
        <v>300000</v>
      </c>
      <c r="D691" s="902">
        <v>300000</v>
      </c>
      <c r="E691" s="1331"/>
      <c r="F691" s="1331"/>
      <c r="G691" s="1243"/>
      <c r="H691" s="1248"/>
      <c r="I691" s="1249"/>
    </row>
    <row r="692" spans="1:9" customFormat="1" ht="27" customHeight="1" x14ac:dyDescent="0.2">
      <c r="A692" s="753"/>
      <c r="B692" s="819" t="s">
        <v>1377</v>
      </c>
      <c r="C692" s="854">
        <f t="shared" ref="C692:D692" si="74">SUM(C693:C695)</f>
        <v>5192000</v>
      </c>
      <c r="D692" s="854">
        <f t="shared" si="74"/>
        <v>16315822.100000001</v>
      </c>
      <c r="E692" s="1331"/>
      <c r="F692" s="1331"/>
      <c r="G692" s="1243"/>
      <c r="H692" s="1248"/>
      <c r="I692" s="1258"/>
    </row>
    <row r="693" spans="1:9" customFormat="1" ht="27" customHeight="1" x14ac:dyDescent="0.2">
      <c r="A693" s="753"/>
      <c r="B693" s="819" t="s">
        <v>1871</v>
      </c>
      <c r="C693" s="902">
        <v>4927000</v>
      </c>
      <c r="D693" s="902">
        <f>4927000+(6180+55620)+313948+(261245.45+4441172.63)-13443.03</f>
        <v>9991723.0500000007</v>
      </c>
      <c r="E693" s="1331"/>
      <c r="F693" s="1331"/>
      <c r="G693" s="1243"/>
      <c r="H693" s="1248"/>
      <c r="I693" s="1258"/>
    </row>
    <row r="694" spans="1:9" customFormat="1" ht="27" customHeight="1" x14ac:dyDescent="0.2">
      <c r="A694" s="753"/>
      <c r="B694" s="819" t="s">
        <v>1547</v>
      </c>
      <c r="C694" s="902">
        <v>265000</v>
      </c>
      <c r="D694" s="902">
        <v>265000</v>
      </c>
      <c r="E694" s="744"/>
      <c r="F694" s="744"/>
      <c r="G694" s="744"/>
      <c r="H694" s="744"/>
      <c r="I694" s="1249"/>
    </row>
    <row r="695" spans="1:9" customFormat="1" ht="27" customHeight="1" x14ac:dyDescent="0.2">
      <c r="A695" s="753"/>
      <c r="B695" s="819" t="s">
        <v>1548</v>
      </c>
      <c r="C695" s="902">
        <v>0</v>
      </c>
      <c r="D695" s="902">
        <f>(336616.61+5722482.44)</f>
        <v>6059099.0500000007</v>
      </c>
      <c r="E695" s="1332"/>
      <c r="F695" s="1333"/>
      <c r="G695" s="825"/>
      <c r="H695" s="1244"/>
      <c r="I695" s="1255"/>
    </row>
    <row r="696" spans="1:9" customFormat="1" ht="27" customHeight="1" x14ac:dyDescent="0.2">
      <c r="A696" s="753"/>
      <c r="B696" s="819" t="s">
        <v>1378</v>
      </c>
      <c r="C696" s="854">
        <f t="shared" ref="C696:D696" si="75">SUM(C697:C699)</f>
        <v>9138000</v>
      </c>
      <c r="D696" s="854">
        <f t="shared" si="75"/>
        <v>9988000</v>
      </c>
      <c r="E696" s="1331"/>
      <c r="F696" s="1331"/>
      <c r="G696" s="1243"/>
      <c r="H696" s="1248"/>
      <c r="I696" s="1249"/>
    </row>
    <row r="697" spans="1:9" customFormat="1" ht="27" customHeight="1" x14ac:dyDescent="0.2">
      <c r="A697" s="753"/>
      <c r="B697" s="819" t="s">
        <v>1872</v>
      </c>
      <c r="C697" s="902">
        <v>7041000</v>
      </c>
      <c r="D697" s="902">
        <v>7041000</v>
      </c>
      <c r="E697" s="1331"/>
      <c r="F697" s="1331"/>
      <c r="G697" s="1243"/>
      <c r="H697" s="1248"/>
      <c r="I697" s="1258"/>
    </row>
    <row r="698" spans="1:9" customFormat="1" ht="27" customHeight="1" x14ac:dyDescent="0.2">
      <c r="A698" s="753"/>
      <c r="B698" s="819" t="s">
        <v>1549</v>
      </c>
      <c r="C698" s="902">
        <v>427000</v>
      </c>
      <c r="D698" s="902">
        <f>427000+850000</f>
        <v>1277000</v>
      </c>
      <c r="E698" s="1331"/>
      <c r="F698" s="1331"/>
      <c r="G698" s="1243"/>
      <c r="H698" s="1248"/>
      <c r="I698" s="1249"/>
    </row>
    <row r="699" spans="1:9" customFormat="1" ht="27" customHeight="1" x14ac:dyDescent="0.2">
      <c r="A699" s="753"/>
      <c r="B699" s="819" t="s">
        <v>1550</v>
      </c>
      <c r="C699" s="902">
        <v>1670000</v>
      </c>
      <c r="D699" s="902">
        <v>1670000</v>
      </c>
      <c r="E699" s="744"/>
      <c r="F699" s="744"/>
      <c r="G699" s="744"/>
      <c r="H699" s="744"/>
      <c r="I699" s="1249"/>
    </row>
    <row r="700" spans="1:9" customFormat="1" ht="27" customHeight="1" x14ac:dyDescent="0.2">
      <c r="A700" s="834">
        <v>3233</v>
      </c>
      <c r="B700" s="847" t="s">
        <v>671</v>
      </c>
      <c r="C700" s="854">
        <f>C701</f>
        <v>2458000</v>
      </c>
      <c r="D700" s="854">
        <f>D701</f>
        <v>2668200</v>
      </c>
      <c r="E700" s="845"/>
      <c r="F700" s="744"/>
      <c r="G700" s="825"/>
      <c r="H700" s="1244"/>
      <c r="I700" s="1255"/>
    </row>
    <row r="701" spans="1:9" customFormat="1" ht="27" customHeight="1" x14ac:dyDescent="0.2">
      <c r="A701" s="834"/>
      <c r="B701" s="819" t="s">
        <v>1379</v>
      </c>
      <c r="C701" s="848">
        <f>SUM(C702:C704)</f>
        <v>2458000</v>
      </c>
      <c r="D701" s="848">
        <f>SUM(D702:D704)</f>
        <v>2668200</v>
      </c>
      <c r="E701" s="1331"/>
      <c r="F701" s="1331"/>
      <c r="G701" s="1243"/>
      <c r="H701" s="1248"/>
      <c r="I701" s="1249"/>
    </row>
    <row r="702" spans="1:9" customFormat="1" ht="27" customHeight="1" x14ac:dyDescent="0.2">
      <c r="A702" s="834"/>
      <c r="B702" s="819" t="s">
        <v>1873</v>
      </c>
      <c r="C702" s="902">
        <v>2458000</v>
      </c>
      <c r="D702" s="902">
        <f>2458000+210200</f>
        <v>2668200</v>
      </c>
      <c r="E702" s="1331"/>
      <c r="F702" s="1331"/>
      <c r="G702" s="1243"/>
      <c r="H702" s="1248"/>
      <c r="I702" s="1258"/>
    </row>
    <row r="703" spans="1:9" customFormat="1" ht="27" customHeight="1" x14ac:dyDescent="0.2">
      <c r="A703" s="834"/>
      <c r="B703" s="819" t="s">
        <v>1551</v>
      </c>
      <c r="C703" s="902">
        <v>0</v>
      </c>
      <c r="D703" s="902">
        <v>0</v>
      </c>
      <c r="E703" s="1331"/>
      <c r="F703" s="1331"/>
      <c r="G703" s="1243"/>
      <c r="H703" s="1248"/>
      <c r="I703" s="1249"/>
    </row>
    <row r="704" spans="1:9" customFormat="1" ht="27" customHeight="1" x14ac:dyDescent="0.2">
      <c r="A704" s="834"/>
      <c r="B704" s="819" t="s">
        <v>1752</v>
      </c>
      <c r="C704" s="902">
        <v>0</v>
      </c>
      <c r="D704" s="902">
        <v>0</v>
      </c>
      <c r="E704" s="1331"/>
      <c r="F704" s="1331"/>
      <c r="G704" s="1243"/>
      <c r="H704" s="1248"/>
      <c r="I704" s="1258"/>
    </row>
    <row r="705" spans="1:9" customFormat="1" ht="27" customHeight="1" x14ac:dyDescent="0.2">
      <c r="A705" s="834">
        <v>3419</v>
      </c>
      <c r="B705" s="847" t="s">
        <v>1552</v>
      </c>
      <c r="C705" s="934">
        <v>80000</v>
      </c>
      <c r="D705" s="934">
        <v>80000</v>
      </c>
      <c r="E705" s="1331"/>
      <c r="F705" s="1331"/>
      <c r="G705" s="1243"/>
      <c r="H705" s="1248"/>
      <c r="I705" s="1258"/>
    </row>
    <row r="706" spans="1:9" customFormat="1" ht="27" customHeight="1" thickBot="1" x14ac:dyDescent="0.25">
      <c r="A706" s="833"/>
      <c r="B706" s="888"/>
      <c r="C706" s="896"/>
      <c r="D706" s="896"/>
      <c r="E706" s="1334"/>
      <c r="F706" s="1331"/>
      <c r="G706" s="825"/>
      <c r="H706" s="1244"/>
      <c r="I706" s="1255"/>
    </row>
    <row r="707" spans="1:9" customFormat="1" ht="27" customHeight="1" thickBot="1" x14ac:dyDescent="0.3">
      <c r="A707" s="1127"/>
      <c r="B707" s="1128" t="s">
        <v>677</v>
      </c>
      <c r="C707" s="1132">
        <f t="shared" ref="C707:D707" si="76">SUM(C708,C712,C715,C721,C724,C731)</f>
        <v>43723000</v>
      </c>
      <c r="D707" s="1132">
        <f t="shared" si="76"/>
        <v>48632652</v>
      </c>
      <c r="E707" s="1328"/>
      <c r="F707" s="1335"/>
      <c r="G707" s="1237"/>
      <c r="H707" s="1237"/>
      <c r="I707" s="1253"/>
    </row>
    <row r="708" spans="1:9" customFormat="1" ht="27" customHeight="1" x14ac:dyDescent="0.2">
      <c r="A708" s="1133">
        <v>3311</v>
      </c>
      <c r="B708" s="1134" t="s">
        <v>1380</v>
      </c>
      <c r="C708" s="934">
        <f>SUM(C709:C711)</f>
        <v>14219000</v>
      </c>
      <c r="D708" s="934">
        <f>SUM(D709:D711)</f>
        <v>14217452</v>
      </c>
      <c r="E708" s="1334"/>
      <c r="F708" s="1331"/>
      <c r="G708" s="825"/>
      <c r="H708" s="1244"/>
      <c r="I708" s="1255"/>
    </row>
    <row r="709" spans="1:9" customFormat="1" ht="27" customHeight="1" x14ac:dyDescent="0.2">
      <c r="A709" s="850"/>
      <c r="B709" s="851" t="s">
        <v>1874</v>
      </c>
      <c r="C709" s="902">
        <v>14219000</v>
      </c>
      <c r="D709" s="902">
        <f>14219000-1548</f>
        <v>14217452</v>
      </c>
      <c r="E709" s="1331"/>
      <c r="F709" s="1331"/>
      <c r="G709" s="1243"/>
      <c r="H709" s="1248"/>
      <c r="I709" s="1249"/>
    </row>
    <row r="710" spans="1:9" customFormat="1" ht="27" customHeight="1" x14ac:dyDescent="0.2">
      <c r="A710" s="850"/>
      <c r="B710" s="851" t="s">
        <v>1553</v>
      </c>
      <c r="C710" s="902">
        <v>0</v>
      </c>
      <c r="D710" s="902">
        <v>0</v>
      </c>
      <c r="E710" s="1331"/>
      <c r="F710" s="1331"/>
      <c r="G710" s="1243"/>
      <c r="H710" s="1248"/>
      <c r="I710" s="1249"/>
    </row>
    <row r="711" spans="1:9" customFormat="1" ht="27" customHeight="1" x14ac:dyDescent="0.2">
      <c r="A711" s="850"/>
      <c r="B711" s="819" t="s">
        <v>1422</v>
      </c>
      <c r="C711" s="902">
        <v>0</v>
      </c>
      <c r="D711" s="902">
        <v>0</v>
      </c>
      <c r="E711" s="845"/>
      <c r="F711" s="744"/>
      <c r="G711" s="825"/>
      <c r="H711" s="1244"/>
      <c r="I711" s="1255"/>
    </row>
    <row r="712" spans="1:9" customFormat="1" ht="27" customHeight="1" x14ac:dyDescent="0.2">
      <c r="A712" s="852">
        <v>3319</v>
      </c>
      <c r="B712" s="853" t="s">
        <v>682</v>
      </c>
      <c r="C712" s="854">
        <f t="shared" ref="C712:D712" si="77">SUM(C713:C714)</f>
        <v>1120000</v>
      </c>
      <c r="D712" s="854">
        <f t="shared" si="77"/>
        <v>1120000</v>
      </c>
      <c r="E712" s="1331"/>
      <c r="F712" s="1331"/>
      <c r="G712" s="1243"/>
      <c r="H712" s="1248"/>
      <c r="I712" s="1249"/>
    </row>
    <row r="713" spans="1:9" customFormat="1" ht="27" customHeight="1" x14ac:dyDescent="0.2">
      <c r="A713" s="852"/>
      <c r="B713" s="851" t="s">
        <v>1381</v>
      </c>
      <c r="C713" s="902">
        <v>470000</v>
      </c>
      <c r="D713" s="902">
        <v>470000</v>
      </c>
      <c r="E713" s="1331"/>
      <c r="F713" s="1331"/>
      <c r="G713" s="1243"/>
      <c r="H713" s="1248"/>
      <c r="I713" s="1249"/>
    </row>
    <row r="714" spans="1:9" customFormat="1" ht="27" customHeight="1" x14ac:dyDescent="0.2">
      <c r="A714" s="852"/>
      <c r="B714" s="855" t="s">
        <v>684</v>
      </c>
      <c r="C714" s="902">
        <v>650000</v>
      </c>
      <c r="D714" s="902">
        <v>650000</v>
      </c>
      <c r="E714" s="845"/>
      <c r="F714" s="744"/>
      <c r="G714" s="825"/>
      <c r="H714" s="1244"/>
      <c r="I714" s="1255"/>
    </row>
    <row r="715" spans="1:9" customFormat="1" ht="27" customHeight="1" x14ac:dyDescent="0.2">
      <c r="A715" s="852" t="s">
        <v>1089</v>
      </c>
      <c r="B715" s="853" t="s">
        <v>685</v>
      </c>
      <c r="C715" s="854">
        <f t="shared" ref="C715:D715" si="78">C716+C718+C719+C720+C717</f>
        <v>593000</v>
      </c>
      <c r="D715" s="854">
        <f t="shared" si="78"/>
        <v>398000</v>
      </c>
      <c r="E715" s="1331"/>
      <c r="F715" s="1331"/>
      <c r="G715" s="1243"/>
      <c r="H715" s="1248"/>
      <c r="I715" s="1249"/>
    </row>
    <row r="716" spans="1:9" customFormat="1" ht="27" customHeight="1" x14ac:dyDescent="0.2">
      <c r="A716" s="850"/>
      <c r="B716" s="851" t="s">
        <v>1554</v>
      </c>
      <c r="C716" s="902">
        <v>120000</v>
      </c>
      <c r="D716" s="902">
        <v>120000</v>
      </c>
      <c r="E716" s="1331"/>
      <c r="F716" s="1331"/>
      <c r="G716" s="1243"/>
      <c r="H716" s="1248"/>
      <c r="I716" s="1249"/>
    </row>
    <row r="717" spans="1:9" customFormat="1" ht="27" customHeight="1" x14ac:dyDescent="0.2">
      <c r="A717" s="850"/>
      <c r="B717" s="851" t="s">
        <v>1555</v>
      </c>
      <c r="C717" s="902">
        <v>5000</v>
      </c>
      <c r="D717" s="902">
        <v>5000</v>
      </c>
      <c r="E717" s="1331"/>
      <c r="F717" s="1331"/>
      <c r="G717" s="1243"/>
      <c r="H717" s="1248"/>
      <c r="I717" s="1258"/>
    </row>
    <row r="718" spans="1:9" customFormat="1" ht="27" customHeight="1" x14ac:dyDescent="0.2">
      <c r="A718" s="850"/>
      <c r="B718" s="851" t="s">
        <v>1066</v>
      </c>
      <c r="C718" s="902">
        <v>100000</v>
      </c>
      <c r="D718" s="902">
        <v>100000</v>
      </c>
      <c r="E718" s="1331"/>
      <c r="F718" s="1331"/>
      <c r="G718" s="1243"/>
      <c r="H718" s="1248"/>
      <c r="I718" s="1258"/>
    </row>
    <row r="719" spans="1:9" customFormat="1" ht="27" customHeight="1" x14ac:dyDescent="0.2">
      <c r="A719" s="850"/>
      <c r="B719" s="851" t="s">
        <v>1556</v>
      </c>
      <c r="C719" s="902">
        <v>168000</v>
      </c>
      <c r="D719" s="902">
        <f>168000-25000</f>
        <v>143000</v>
      </c>
      <c r="E719" s="845"/>
      <c r="F719" s="744"/>
      <c r="G719" s="825"/>
      <c r="H719" s="1244"/>
      <c r="I719" s="1255"/>
    </row>
    <row r="720" spans="1:9" customFormat="1" ht="27" customHeight="1" x14ac:dyDescent="0.2">
      <c r="A720" s="850"/>
      <c r="B720" s="851" t="s">
        <v>1557</v>
      </c>
      <c r="C720" s="902">
        <v>200000</v>
      </c>
      <c r="D720" s="902">
        <f>200000-170000</f>
        <v>30000</v>
      </c>
      <c r="E720" s="1331"/>
      <c r="F720" s="1331"/>
      <c r="G720" s="1243"/>
      <c r="H720" s="1248"/>
      <c r="I720" s="1258"/>
    </row>
    <row r="721" spans="1:9" customFormat="1" ht="27" customHeight="1" x14ac:dyDescent="0.2">
      <c r="A721" s="852" t="s">
        <v>1090</v>
      </c>
      <c r="B721" s="853" t="s">
        <v>690</v>
      </c>
      <c r="C721" s="854">
        <f t="shared" ref="C721:D721" si="79">C722+C723</f>
        <v>555000</v>
      </c>
      <c r="D721" s="854">
        <f t="shared" si="79"/>
        <v>750000</v>
      </c>
      <c r="E721" s="1331"/>
      <c r="F721" s="1331"/>
      <c r="G721" s="1243"/>
      <c r="H721" s="1248"/>
      <c r="I721" s="1249"/>
    </row>
    <row r="722" spans="1:9" customFormat="1" ht="27" customHeight="1" x14ac:dyDescent="0.2">
      <c r="A722" s="850"/>
      <c r="B722" s="851" t="s">
        <v>1558</v>
      </c>
      <c r="C722" s="902">
        <v>540000</v>
      </c>
      <c r="D722" s="902">
        <f>540000+195000</f>
        <v>735000</v>
      </c>
      <c r="E722" s="1331"/>
      <c r="F722" s="1331"/>
      <c r="G722" s="1243"/>
      <c r="H722" s="1248"/>
      <c r="I722" s="1249"/>
    </row>
    <row r="723" spans="1:9" customFormat="1" ht="27" customHeight="1" x14ac:dyDescent="0.2">
      <c r="A723" s="850"/>
      <c r="B723" s="851" t="s">
        <v>1094</v>
      </c>
      <c r="C723" s="902">
        <v>15000</v>
      </c>
      <c r="D723" s="902">
        <v>15000</v>
      </c>
      <c r="E723" s="845"/>
      <c r="F723" s="744"/>
      <c r="G723" s="825"/>
      <c r="H723" s="1244"/>
      <c r="I723" s="1255"/>
    </row>
    <row r="724" spans="1:9" customFormat="1" ht="27" customHeight="1" x14ac:dyDescent="0.2">
      <c r="A724" s="852">
        <v>3392</v>
      </c>
      <c r="B724" s="853" t="s">
        <v>693</v>
      </c>
      <c r="C724" s="854">
        <f t="shared" ref="C724:D724" si="80">C726+C725</f>
        <v>26946000</v>
      </c>
      <c r="D724" s="854">
        <f t="shared" si="80"/>
        <v>31857200</v>
      </c>
      <c r="E724" s="1331"/>
      <c r="F724" s="1331"/>
      <c r="G724" s="1243"/>
      <c r="H724" s="1248"/>
      <c r="I724" s="1249"/>
    </row>
    <row r="725" spans="1:9" customFormat="1" ht="27" customHeight="1" x14ac:dyDescent="0.2">
      <c r="A725" s="852"/>
      <c r="B725" s="851" t="s">
        <v>2066</v>
      </c>
      <c r="C725" s="902">
        <v>26000</v>
      </c>
      <c r="D725" s="902">
        <v>26000</v>
      </c>
      <c r="E725" s="845"/>
      <c r="F725" s="744"/>
      <c r="G725" s="825"/>
      <c r="H725" s="1244"/>
      <c r="I725" s="1255"/>
    </row>
    <row r="726" spans="1:9" customFormat="1" ht="27" customHeight="1" x14ac:dyDescent="0.2">
      <c r="A726" s="850"/>
      <c r="B726" s="851" t="s">
        <v>1382</v>
      </c>
      <c r="C726" s="854">
        <f t="shared" ref="C726:D726" si="81">SUM(C727+C730+C729)</f>
        <v>26920000</v>
      </c>
      <c r="D726" s="854">
        <f t="shared" si="81"/>
        <v>31831200</v>
      </c>
      <c r="E726" s="1331"/>
      <c r="F726" s="1331"/>
      <c r="G726" s="1243"/>
      <c r="H726" s="1248"/>
      <c r="I726" s="1249"/>
    </row>
    <row r="727" spans="1:9" customFormat="1" ht="27" customHeight="1" x14ac:dyDescent="0.2">
      <c r="A727" s="850"/>
      <c r="B727" s="851" t="s">
        <v>1875</v>
      </c>
      <c r="C727" s="902">
        <v>26920000</v>
      </c>
      <c r="D727" s="902">
        <f>26920000+4743000+18200+150000</f>
        <v>31831200</v>
      </c>
      <c r="E727" s="1331"/>
      <c r="F727" s="1331"/>
      <c r="G727" s="1243"/>
      <c r="H727" s="1248"/>
      <c r="I727" s="1249"/>
    </row>
    <row r="728" spans="1:9" customFormat="1" ht="27" customHeight="1" x14ac:dyDescent="0.2">
      <c r="A728" s="850"/>
      <c r="B728" s="851" t="s">
        <v>697</v>
      </c>
      <c r="C728" s="902"/>
      <c r="D728" s="902"/>
      <c r="E728" s="1331"/>
      <c r="F728" s="1331"/>
      <c r="G728" s="1243"/>
      <c r="H728" s="1248"/>
      <c r="I728" s="1258"/>
    </row>
    <row r="729" spans="1:9" customFormat="1" ht="27" customHeight="1" x14ac:dyDescent="0.2">
      <c r="A729" s="850"/>
      <c r="B729" s="851" t="s">
        <v>1712</v>
      </c>
      <c r="C729" s="902">
        <v>0</v>
      </c>
      <c r="D729" s="902">
        <v>0</v>
      </c>
      <c r="E729" s="1331"/>
      <c r="F729" s="1331"/>
      <c r="G729" s="1243"/>
      <c r="H729" s="1248"/>
      <c r="I729" s="1258"/>
    </row>
    <row r="730" spans="1:9" customFormat="1" ht="36.75" x14ac:dyDescent="0.2">
      <c r="A730" s="850"/>
      <c r="B730" s="851" t="s">
        <v>1559</v>
      </c>
      <c r="C730" s="902">
        <v>0</v>
      </c>
      <c r="D730" s="902">
        <v>0</v>
      </c>
      <c r="E730" s="1331"/>
      <c r="F730" s="1331"/>
      <c r="G730" s="1243"/>
      <c r="H730" s="1248"/>
      <c r="I730" s="1258"/>
    </row>
    <row r="731" spans="1:9" customFormat="1" ht="27" customHeight="1" x14ac:dyDescent="0.2">
      <c r="A731" s="852">
        <v>3399</v>
      </c>
      <c r="B731" s="853" t="s">
        <v>700</v>
      </c>
      <c r="C731" s="854">
        <f t="shared" ref="C731:D731" si="82">C732</f>
        <v>290000</v>
      </c>
      <c r="D731" s="854">
        <f t="shared" si="82"/>
        <v>290000</v>
      </c>
      <c r="E731" s="1331"/>
      <c r="F731" s="1331"/>
      <c r="G731" s="1243"/>
      <c r="H731" s="1248"/>
      <c r="I731" s="1258"/>
    </row>
    <row r="732" spans="1:9" customFormat="1" ht="27" customHeight="1" x14ac:dyDescent="0.2">
      <c r="A732" s="850"/>
      <c r="B732" s="851" t="s">
        <v>701</v>
      </c>
      <c r="C732" s="902">
        <v>290000</v>
      </c>
      <c r="D732" s="902">
        <v>290000</v>
      </c>
      <c r="E732" s="845"/>
      <c r="F732" s="744"/>
      <c r="G732" s="825"/>
      <c r="H732" s="1244"/>
      <c r="I732" s="1255"/>
    </row>
    <row r="733" spans="1:9" customFormat="1" ht="27" customHeight="1" thickBot="1" x14ac:dyDescent="0.25">
      <c r="A733" s="889"/>
      <c r="B733" s="890"/>
      <c r="C733" s="897"/>
      <c r="D733" s="897"/>
      <c r="E733" s="1331"/>
      <c r="F733" s="1331"/>
      <c r="G733" s="1243"/>
      <c r="H733" s="1248"/>
      <c r="I733" s="1249"/>
    </row>
    <row r="734" spans="1:9" customFormat="1" ht="27" customHeight="1" thickBot="1" x14ac:dyDescent="0.3">
      <c r="A734" s="1127"/>
      <c r="B734" s="1135" t="s">
        <v>702</v>
      </c>
      <c r="C734" s="1136">
        <f t="shared" ref="C734:D734" si="83">C735</f>
        <v>24990300</v>
      </c>
      <c r="D734" s="1136">
        <f t="shared" si="83"/>
        <v>25834200</v>
      </c>
      <c r="E734" s="1336"/>
      <c r="F734" s="1337"/>
      <c r="G734" s="1237"/>
      <c r="H734" s="1237"/>
      <c r="I734" s="1253"/>
    </row>
    <row r="735" spans="1:9" customFormat="1" ht="27" customHeight="1" x14ac:dyDescent="0.2">
      <c r="A735" s="834"/>
      <c r="B735" s="1131" t="s">
        <v>703</v>
      </c>
      <c r="C735" s="935">
        <f t="shared" ref="C735:D735" si="84">SUM(C736:C745)</f>
        <v>24990300</v>
      </c>
      <c r="D735" s="935">
        <f t="shared" si="84"/>
        <v>25834200</v>
      </c>
      <c r="E735" s="1338"/>
      <c r="F735" s="1339"/>
      <c r="G735" s="825"/>
      <c r="H735" s="1244"/>
      <c r="I735" s="1255"/>
    </row>
    <row r="736" spans="1:9" customFormat="1" ht="27" customHeight="1" x14ac:dyDescent="0.2">
      <c r="A736" s="753"/>
      <c r="B736" s="819" t="s">
        <v>704</v>
      </c>
      <c r="C736" s="902">
        <v>1070000</v>
      </c>
      <c r="D736" s="902">
        <v>1070000</v>
      </c>
      <c r="E736" s="1331"/>
      <c r="F736" s="1331"/>
      <c r="G736" s="1243"/>
      <c r="H736" s="1248"/>
      <c r="I736" s="1249"/>
    </row>
    <row r="737" spans="1:9" customFormat="1" ht="27" customHeight="1" x14ac:dyDescent="0.2">
      <c r="A737" s="753"/>
      <c r="B737" s="819" t="s">
        <v>705</v>
      </c>
      <c r="C737" s="902">
        <v>193100</v>
      </c>
      <c r="D737" s="902">
        <v>193100</v>
      </c>
      <c r="E737" s="1331"/>
      <c r="F737" s="1331"/>
      <c r="G737" s="1243"/>
      <c r="H737" s="1248"/>
      <c r="I737" s="1249"/>
    </row>
    <row r="738" spans="1:9" customFormat="1" ht="27" customHeight="1" x14ac:dyDescent="0.2">
      <c r="A738" s="753"/>
      <c r="B738" s="819" t="s">
        <v>706</v>
      </c>
      <c r="C738" s="902">
        <f>5000000-10000</f>
        <v>4990000</v>
      </c>
      <c r="D738" s="902">
        <f>5000000-10000</f>
        <v>4990000</v>
      </c>
      <c r="E738" s="1331"/>
      <c r="F738" s="1331"/>
      <c r="G738" s="1243"/>
      <c r="H738" s="1248"/>
      <c r="I738" s="1249"/>
    </row>
    <row r="739" spans="1:9" customFormat="1" ht="27" customHeight="1" x14ac:dyDescent="0.2">
      <c r="A739" s="753"/>
      <c r="B739" s="819" t="s">
        <v>707</v>
      </c>
      <c r="C739" s="902">
        <v>7250000</v>
      </c>
      <c r="D739" s="902">
        <v>7250000</v>
      </c>
      <c r="E739" s="1331"/>
      <c r="F739" s="1331"/>
      <c r="G739" s="1243"/>
      <c r="H739" s="1248"/>
      <c r="I739" s="1249"/>
    </row>
    <row r="740" spans="1:9" customFormat="1" ht="27" customHeight="1" x14ac:dyDescent="0.2">
      <c r="A740" s="753"/>
      <c r="B740" s="819" t="s">
        <v>708</v>
      </c>
      <c r="C740" s="902">
        <v>50000</v>
      </c>
      <c r="D740" s="902">
        <v>50000</v>
      </c>
      <c r="E740" s="1331"/>
      <c r="F740" s="1331"/>
      <c r="G740" s="1243"/>
      <c r="H740" s="1248"/>
      <c r="I740" s="1249"/>
    </row>
    <row r="741" spans="1:9" customFormat="1" ht="27" customHeight="1" x14ac:dyDescent="0.2">
      <c r="A741" s="753"/>
      <c r="B741" s="819" t="s">
        <v>709</v>
      </c>
      <c r="C741" s="902">
        <f>8500000-15000</f>
        <v>8485000</v>
      </c>
      <c r="D741" s="902">
        <f>8500000-15000</f>
        <v>8485000</v>
      </c>
      <c r="E741" s="1331"/>
      <c r="F741" s="1331"/>
      <c r="G741" s="1243"/>
      <c r="H741" s="1248"/>
      <c r="I741" s="1249"/>
    </row>
    <row r="742" spans="1:9" customFormat="1" ht="27" customHeight="1" x14ac:dyDescent="0.2">
      <c r="A742" s="753"/>
      <c r="B742" s="819" t="s">
        <v>712</v>
      </c>
      <c r="C742" s="902">
        <v>963000</v>
      </c>
      <c r="D742" s="902">
        <f>963000-30000+30000</f>
        <v>963000</v>
      </c>
      <c r="E742" s="1331"/>
      <c r="F742" s="1331"/>
      <c r="G742" s="1243"/>
      <c r="H742" s="1248"/>
      <c r="I742" s="1249"/>
    </row>
    <row r="743" spans="1:9" customFormat="1" ht="27" customHeight="1" x14ac:dyDescent="0.2">
      <c r="A743" s="753"/>
      <c r="B743" s="819" t="s">
        <v>713</v>
      </c>
      <c r="C743" s="902">
        <v>143000</v>
      </c>
      <c r="D743" s="902">
        <v>143000</v>
      </c>
      <c r="E743" s="1331"/>
      <c r="F743" s="1331"/>
      <c r="G743" s="1243"/>
      <c r="H743" s="1248"/>
      <c r="I743" s="1249"/>
    </row>
    <row r="744" spans="1:9" customFormat="1" ht="27" customHeight="1" x14ac:dyDescent="0.2">
      <c r="A744" s="753"/>
      <c r="B744" s="819" t="s">
        <v>714</v>
      </c>
      <c r="C744" s="902">
        <v>966500</v>
      </c>
      <c r="D744" s="902">
        <v>966500</v>
      </c>
      <c r="E744" s="1331"/>
      <c r="F744" s="1331"/>
      <c r="G744" s="1243"/>
      <c r="H744" s="1248"/>
      <c r="I744" s="1249"/>
    </row>
    <row r="745" spans="1:9" customFormat="1" ht="36.75" x14ac:dyDescent="0.2">
      <c r="A745" s="834"/>
      <c r="B745" s="819" t="s">
        <v>1935</v>
      </c>
      <c r="C745" s="902">
        <f>909700-30000</f>
        <v>879700</v>
      </c>
      <c r="D745" s="902">
        <f>(909700-30000)+30000+10000+15000+70000+80000+10000+150000+36900+5000+40000+250000+147000</f>
        <v>1723600</v>
      </c>
      <c r="E745" s="1331"/>
      <c r="F745" s="1331"/>
      <c r="G745" s="1243"/>
      <c r="H745" s="1248"/>
      <c r="I745" s="1258"/>
    </row>
    <row r="746" spans="1:9" ht="27" customHeight="1" thickBot="1" x14ac:dyDescent="0.25">
      <c r="A746" s="713"/>
      <c r="B746" s="856"/>
      <c r="C746" s="897"/>
      <c r="D746" s="897"/>
      <c r="E746" s="709"/>
      <c r="F746" s="709"/>
      <c r="G746" s="709"/>
      <c r="H746" s="709"/>
      <c r="I746" s="1340"/>
    </row>
    <row r="747" spans="1:9" ht="27" customHeight="1" thickBot="1" x14ac:dyDescent="0.35">
      <c r="A747" s="772"/>
      <c r="B747" s="783" t="s">
        <v>716</v>
      </c>
      <c r="C747" s="936">
        <f>C748</f>
        <v>27924400</v>
      </c>
      <c r="D747" s="936">
        <f>D748</f>
        <v>27924400</v>
      </c>
      <c r="E747" s="1341"/>
      <c r="F747" s="1342"/>
      <c r="G747" s="1284"/>
      <c r="H747" s="1284"/>
      <c r="I747" s="1285"/>
    </row>
    <row r="748" spans="1:9" ht="27" customHeight="1" x14ac:dyDescent="0.2">
      <c r="A748" s="713">
        <v>5311</v>
      </c>
      <c r="B748" s="760" t="s">
        <v>717</v>
      </c>
      <c r="C748" s="937">
        <f t="shared" ref="C748:D748" si="85">SUM(C749)</f>
        <v>27924400</v>
      </c>
      <c r="D748" s="937">
        <f t="shared" si="85"/>
        <v>27924400</v>
      </c>
      <c r="E748" s="1218"/>
      <c r="F748" s="1163"/>
      <c r="G748" s="825"/>
      <c r="H748" s="1244"/>
      <c r="I748" s="1255"/>
    </row>
    <row r="749" spans="1:9" ht="78" customHeight="1" x14ac:dyDescent="0.2">
      <c r="A749" s="713"/>
      <c r="B749" s="763" t="s">
        <v>1701</v>
      </c>
      <c r="C749" s="938">
        <f>(18400+4538.4+1647+0+5+350+2+163+143+35+264+1+245+30+3+77+3+1490-750+275+200+17+50+10+150+6+170+150+250)*1000</f>
        <v>27924400</v>
      </c>
      <c r="D749" s="938">
        <f>(18400+4538.4+1647+0+5+350+2+163+143+35+264+1+245+30+3+77+3+1490-750+275+200+17+50+10+150+6+170+150+250)*1000</f>
        <v>27924400</v>
      </c>
      <c r="E749" s="1343"/>
      <c r="F749" s="1343"/>
      <c r="G749" s="1243"/>
      <c r="H749" s="1248"/>
      <c r="I749" s="1258"/>
    </row>
    <row r="750" spans="1:9" ht="27.75" customHeight="1" thickBot="1" x14ac:dyDescent="0.25">
      <c r="A750" s="781"/>
      <c r="B750" s="800"/>
      <c r="C750" s="898"/>
      <c r="D750" s="898"/>
      <c r="E750" s="711"/>
      <c r="F750" s="711"/>
      <c r="G750" s="711"/>
      <c r="H750" s="711"/>
      <c r="I750" s="1340"/>
    </row>
    <row r="751" spans="1:9" ht="27.75" customHeight="1" thickBot="1" x14ac:dyDescent="0.35">
      <c r="A751" s="772"/>
      <c r="B751" s="783" t="s">
        <v>41</v>
      </c>
      <c r="C751" s="899">
        <f t="shared" ref="C751:D751" si="86">SUM(C752:C759)+C767+C768</f>
        <v>35630624</v>
      </c>
      <c r="D751" s="899">
        <f t="shared" si="86"/>
        <v>35630624</v>
      </c>
      <c r="E751" s="1344"/>
      <c r="F751" s="1267"/>
      <c r="G751" s="1284"/>
      <c r="H751" s="1284"/>
      <c r="I751" s="1285"/>
    </row>
    <row r="752" spans="1:9" ht="36.75" x14ac:dyDescent="0.2">
      <c r="A752" s="857">
        <v>3429</v>
      </c>
      <c r="B752" s="763" t="s">
        <v>1470</v>
      </c>
      <c r="C752" s="900">
        <v>982000</v>
      </c>
      <c r="D752" s="900">
        <v>982000</v>
      </c>
      <c r="E752" s="706"/>
      <c r="F752" s="1294"/>
      <c r="G752" s="825"/>
      <c r="H752" s="1244"/>
      <c r="I752" s="1257"/>
    </row>
    <row r="753" spans="1:9" s="116" customFormat="1" ht="36.75" x14ac:dyDescent="0.2">
      <c r="A753" s="773">
        <v>5212</v>
      </c>
      <c r="B753" s="721" t="s">
        <v>1158</v>
      </c>
      <c r="C753" s="937">
        <v>110000</v>
      </c>
      <c r="D753" s="937">
        <v>110000</v>
      </c>
      <c r="E753" s="1218"/>
      <c r="F753" s="1163"/>
      <c r="G753" s="825"/>
      <c r="H753" s="1244"/>
      <c r="I753" s="1257"/>
    </row>
    <row r="754" spans="1:9" s="289" customFormat="1" ht="36.75" x14ac:dyDescent="0.25">
      <c r="A754" s="713">
        <v>5213</v>
      </c>
      <c r="B754" s="723" t="s">
        <v>1383</v>
      </c>
      <c r="C754" s="937">
        <v>200000</v>
      </c>
      <c r="D754" s="937">
        <v>200000</v>
      </c>
      <c r="E754" s="1218"/>
      <c r="F754" s="1163"/>
      <c r="G754" s="825"/>
      <c r="H754" s="1244"/>
      <c r="I754" s="1257"/>
    </row>
    <row r="755" spans="1:9" s="116" customFormat="1" ht="27" customHeight="1" x14ac:dyDescent="0.2">
      <c r="A755" s="713">
        <v>5273</v>
      </c>
      <c r="B755" s="723" t="s">
        <v>1384</v>
      </c>
      <c r="C755" s="937">
        <v>5000</v>
      </c>
      <c r="D755" s="937">
        <v>5000</v>
      </c>
      <c r="E755" s="1218"/>
      <c r="F755" s="1163"/>
      <c r="G755" s="825"/>
      <c r="H755" s="1244"/>
      <c r="I755" s="1257"/>
    </row>
    <row r="756" spans="1:9" s="289" customFormat="1" ht="27" customHeight="1" x14ac:dyDescent="0.25">
      <c r="A756" s="713">
        <v>5511</v>
      </c>
      <c r="B756" s="723" t="s">
        <v>1471</v>
      </c>
      <c r="C756" s="937">
        <v>2300000</v>
      </c>
      <c r="D756" s="937">
        <v>2300000</v>
      </c>
      <c r="E756" s="1218"/>
      <c r="F756" s="1163"/>
      <c r="G756" s="825"/>
      <c r="H756" s="1244"/>
      <c r="I756" s="1255"/>
    </row>
    <row r="757" spans="1:9" s="289" customFormat="1" ht="36.75" x14ac:dyDescent="0.25">
      <c r="A757" s="713">
        <v>5512</v>
      </c>
      <c r="B757" s="723" t="s">
        <v>1472</v>
      </c>
      <c r="C757" s="937">
        <v>125000</v>
      </c>
      <c r="D757" s="937">
        <v>125000</v>
      </c>
      <c r="E757" s="1218"/>
      <c r="F757" s="1163"/>
      <c r="G757" s="825"/>
      <c r="H757" s="1244"/>
      <c r="I757" s="1257"/>
    </row>
    <row r="758" spans="1:9" s="289" customFormat="1" ht="27" customHeight="1" x14ac:dyDescent="0.25">
      <c r="A758" s="713">
        <v>6112</v>
      </c>
      <c r="B758" s="723" t="s">
        <v>1157</v>
      </c>
      <c r="C758" s="937">
        <v>0</v>
      </c>
      <c r="D758" s="937">
        <v>0</v>
      </c>
      <c r="E758" s="701"/>
      <c r="F758" s="707"/>
      <c r="G758" s="825"/>
      <c r="H758" s="1244"/>
      <c r="I758" s="1255"/>
    </row>
    <row r="759" spans="1:9" s="289" customFormat="1" ht="27" customHeight="1" x14ac:dyDescent="0.25">
      <c r="A759" s="713">
        <v>6171</v>
      </c>
      <c r="B759" s="760" t="s">
        <v>725</v>
      </c>
      <c r="C759" s="901">
        <f t="shared" ref="C759:D759" si="87">SUM(C760+C761+C762+C763+C764+C765+C766)</f>
        <v>30358624</v>
      </c>
      <c r="D759" s="901">
        <f t="shared" si="87"/>
        <v>30358624</v>
      </c>
      <c r="E759" s="1163"/>
      <c r="F759" s="1163"/>
      <c r="G759" s="1243"/>
      <c r="H759" s="1248"/>
      <c r="I759" s="1258"/>
    </row>
    <row r="760" spans="1:9" s="289" customFormat="1" ht="132" x14ac:dyDescent="0.25">
      <c r="A760" s="713"/>
      <c r="B760" s="801" t="s">
        <v>1473</v>
      </c>
      <c r="C760" s="939">
        <v>21262500</v>
      </c>
      <c r="D760" s="939">
        <v>21262500</v>
      </c>
      <c r="E760" s="1163"/>
      <c r="F760" s="1163"/>
      <c r="G760" s="1243"/>
      <c r="H760" s="1248"/>
      <c r="I760" s="1249"/>
    </row>
    <row r="761" spans="1:9" s="289" customFormat="1" ht="15.75" x14ac:dyDescent="0.25">
      <c r="A761" s="713"/>
      <c r="B761" s="802" t="s">
        <v>1474</v>
      </c>
      <c r="C761" s="939">
        <v>1600000</v>
      </c>
      <c r="D761" s="939">
        <v>1600000</v>
      </c>
      <c r="E761" s="1345"/>
      <c r="F761" s="1345"/>
      <c r="G761" s="1243"/>
      <c r="H761" s="1248"/>
      <c r="I761" s="1249"/>
    </row>
    <row r="762" spans="1:9" s="116" customFormat="1" ht="48" x14ac:dyDescent="0.2">
      <c r="A762" s="728"/>
      <c r="B762" s="803" t="s">
        <v>1475</v>
      </c>
      <c r="C762" s="939">
        <v>4682300</v>
      </c>
      <c r="D762" s="939">
        <v>4682300</v>
      </c>
      <c r="E762" s="1163"/>
      <c r="F762" s="1163"/>
      <c r="G762" s="1243"/>
      <c r="H762" s="1248"/>
      <c r="I762" s="1258"/>
    </row>
    <row r="763" spans="1:9" ht="27" customHeight="1" x14ac:dyDescent="0.2">
      <c r="A763" s="728"/>
      <c r="B763" s="803" t="s">
        <v>1476</v>
      </c>
      <c r="C763" s="869">
        <v>2192810</v>
      </c>
      <c r="D763" s="869">
        <v>2192810</v>
      </c>
      <c r="E763" s="1163"/>
      <c r="F763" s="1163"/>
      <c r="G763" s="1243"/>
      <c r="H763" s="1248"/>
      <c r="I763" s="1258"/>
    </row>
    <row r="764" spans="1:9" ht="27" customHeight="1" x14ac:dyDescent="0.2">
      <c r="A764" s="728"/>
      <c r="B764" s="761" t="s">
        <v>1385</v>
      </c>
      <c r="C764" s="869">
        <v>210000</v>
      </c>
      <c r="D764" s="869">
        <v>210000</v>
      </c>
      <c r="E764" s="1163"/>
      <c r="F764" s="1163"/>
      <c r="G764" s="1243"/>
      <c r="H764" s="1248"/>
      <c r="I764" s="1249"/>
    </row>
    <row r="765" spans="1:9" ht="27" customHeight="1" x14ac:dyDescent="0.2">
      <c r="A765" s="728"/>
      <c r="B765" s="761" t="s">
        <v>1386</v>
      </c>
      <c r="C765" s="869">
        <v>50000</v>
      </c>
      <c r="D765" s="869">
        <v>50000</v>
      </c>
      <c r="E765" s="1163"/>
      <c r="F765" s="1163"/>
      <c r="G765" s="1243"/>
      <c r="H765" s="1248"/>
      <c r="I765" s="1249"/>
    </row>
    <row r="766" spans="1:9" ht="27" customHeight="1" x14ac:dyDescent="0.2">
      <c r="A766" s="728"/>
      <c r="B766" s="763" t="s">
        <v>1477</v>
      </c>
      <c r="C766" s="869">
        <v>361014</v>
      </c>
      <c r="D766" s="869">
        <v>361014</v>
      </c>
      <c r="E766" s="1163"/>
      <c r="F766" s="1163"/>
      <c r="G766" s="1243"/>
      <c r="H766" s="1248"/>
      <c r="I766" s="1258"/>
    </row>
    <row r="767" spans="1:9" ht="27" customHeight="1" x14ac:dyDescent="0.2">
      <c r="A767" s="835">
        <v>6221</v>
      </c>
      <c r="B767" s="722" t="s">
        <v>1156</v>
      </c>
      <c r="C767" s="868">
        <v>0</v>
      </c>
      <c r="D767" s="868">
        <v>0</v>
      </c>
      <c r="E767" s="1218"/>
      <c r="F767" s="1163"/>
      <c r="G767" s="825"/>
      <c r="H767" s="1244"/>
      <c r="I767" s="1255"/>
    </row>
    <row r="768" spans="1:9" ht="27" customHeight="1" x14ac:dyDescent="0.2">
      <c r="A768" s="713">
        <v>6320</v>
      </c>
      <c r="B768" s="760" t="s">
        <v>1159</v>
      </c>
      <c r="C768" s="868">
        <v>1550000</v>
      </c>
      <c r="D768" s="868">
        <v>1550000</v>
      </c>
      <c r="E768" s="1218"/>
      <c r="F768" s="1163"/>
      <c r="G768" s="825"/>
      <c r="H768" s="1244"/>
      <c r="I768" s="1255"/>
    </row>
    <row r="769" spans="1:9" ht="27" customHeight="1" thickBot="1" x14ac:dyDescent="0.25">
      <c r="A769" s="730"/>
      <c r="B769" s="804"/>
      <c r="C769" s="756"/>
      <c r="D769" s="756"/>
      <c r="E769" s="711"/>
      <c r="F769" s="711"/>
      <c r="G769" s="711"/>
      <c r="H769" s="711"/>
      <c r="I769" s="1346"/>
    </row>
    <row r="770" spans="1:9" ht="27" customHeight="1" thickBot="1" x14ac:dyDescent="0.35">
      <c r="A770" s="772"/>
      <c r="B770" s="783" t="s">
        <v>735</v>
      </c>
      <c r="C770" s="780">
        <f t="shared" ref="C770:D770" si="88">C771+C772+C773+C777</f>
        <v>171743160</v>
      </c>
      <c r="D770" s="780">
        <f t="shared" si="88"/>
        <v>172842003.99000001</v>
      </c>
      <c r="E770" s="1347"/>
      <c r="F770" s="1348"/>
      <c r="G770" s="1284"/>
      <c r="H770" s="1284"/>
      <c r="I770" s="1297"/>
    </row>
    <row r="771" spans="1:9" s="116" customFormat="1" ht="27" customHeight="1" x14ac:dyDescent="0.2">
      <c r="A771" s="704">
        <v>3341</v>
      </c>
      <c r="B771" s="750" t="s">
        <v>1588</v>
      </c>
      <c r="C771" s="940">
        <v>3109200</v>
      </c>
      <c r="D771" s="940">
        <v>3109200</v>
      </c>
      <c r="E771" s="1218"/>
      <c r="F771" s="1163"/>
      <c r="G771" s="825"/>
      <c r="H771" s="1244"/>
      <c r="I771" s="1255"/>
    </row>
    <row r="772" spans="1:9" s="116" customFormat="1" ht="36.75" x14ac:dyDescent="0.2">
      <c r="A772" s="713">
        <v>6112</v>
      </c>
      <c r="B772" s="723" t="s">
        <v>1856</v>
      </c>
      <c r="C772" s="940">
        <f>30000+8520000+1046560+766800+12000+10000+500+20000+200000+7000+90000+30000</f>
        <v>10732860</v>
      </c>
      <c r="D772" s="940">
        <f>30000+8520000+1046560+766800+12000+10000+500+20000+200000+7000+90000+30000+(320000+28800)</f>
        <v>11081660</v>
      </c>
      <c r="E772" s="1218"/>
      <c r="F772" s="1163"/>
      <c r="G772" s="825"/>
      <c r="H772" s="1244"/>
      <c r="I772" s="1257"/>
    </row>
    <row r="773" spans="1:9" ht="27" customHeight="1" x14ac:dyDescent="0.2">
      <c r="A773" s="713">
        <v>6171</v>
      </c>
      <c r="B773" s="760" t="s">
        <v>725</v>
      </c>
      <c r="C773" s="940">
        <f t="shared" ref="C773:D773" si="89">SUM(C774:C776)</f>
        <v>151901100</v>
      </c>
      <c r="D773" s="940">
        <f t="shared" si="89"/>
        <v>152651143.99000001</v>
      </c>
      <c r="E773" s="1218"/>
      <c r="F773" s="1163"/>
      <c r="G773" s="825"/>
      <c r="H773" s="1244"/>
      <c r="I773" s="1255"/>
    </row>
    <row r="774" spans="1:9" ht="48" x14ac:dyDescent="0.2">
      <c r="A774" s="773"/>
      <c r="B774" s="805" t="s">
        <v>1590</v>
      </c>
      <c r="C774" s="874">
        <f>93200000+10000+1400000+10000+23460800+8514000+520000+1000+900000+50000+20000+50000+2600000+350000+15000+204000+40000+2000000</f>
        <v>133344800</v>
      </c>
      <c r="D774" s="874">
        <f>(93200000+10000+1400000+10000+23460800+8514000+520000+1000+900000+50000+20000+50000+2600000+350000+15000+204000+40000+2000000)+(563940.99+135346+50757)</f>
        <v>134094843.98999999</v>
      </c>
      <c r="E774" s="1163"/>
      <c r="F774" s="1163"/>
      <c r="G774" s="1243"/>
      <c r="H774" s="1248"/>
      <c r="I774" s="1258"/>
    </row>
    <row r="775" spans="1:9" ht="27" customHeight="1" x14ac:dyDescent="0.25">
      <c r="A775" s="858"/>
      <c r="B775" s="763" t="s">
        <v>1589</v>
      </c>
      <c r="C775" s="874">
        <f>6900000+30000+1718600+623700+180000+10000</f>
        <v>9462300</v>
      </c>
      <c r="D775" s="874">
        <f>6900000+30000+1718600+623700+180000+10000</f>
        <v>9462300</v>
      </c>
      <c r="E775" s="1163"/>
      <c r="F775" s="1163"/>
      <c r="G775" s="1243"/>
      <c r="H775" s="1248"/>
      <c r="I775" s="1249"/>
    </row>
    <row r="776" spans="1:9" ht="36.75" x14ac:dyDescent="0.25">
      <c r="A776" s="858"/>
      <c r="B776" s="722" t="s">
        <v>1857</v>
      </c>
      <c r="C776" s="874">
        <f>4067000+60000+21000+3140000+206000+100000+285000+1150000+30000+26000+9000</f>
        <v>9094000</v>
      </c>
      <c r="D776" s="874">
        <f>4067000+60000+21000+3140000+206000+100000+285000+1150000+30000+26000+9000</f>
        <v>9094000</v>
      </c>
      <c r="E776" s="1163"/>
      <c r="F776" s="1163"/>
      <c r="G776" s="1243"/>
      <c r="H776" s="1248"/>
      <c r="I776" s="1258"/>
    </row>
    <row r="777" spans="1:9" ht="27" customHeight="1" x14ac:dyDescent="0.2">
      <c r="A777" s="713">
        <v>6330</v>
      </c>
      <c r="B777" s="760" t="s">
        <v>740</v>
      </c>
      <c r="C777" s="1055">
        <v>6000000</v>
      </c>
      <c r="D777" s="1055">
        <v>6000000</v>
      </c>
      <c r="E777" s="1163"/>
      <c r="F777" s="1163"/>
      <c r="G777" s="1243"/>
      <c r="H777" s="1248"/>
      <c r="I777" s="1258"/>
    </row>
    <row r="778" spans="1:9" ht="27" customHeight="1" thickBot="1" x14ac:dyDescent="0.25">
      <c r="A778" s="833"/>
      <c r="B778" s="806"/>
      <c r="C778" s="865"/>
      <c r="D778" s="865"/>
      <c r="E778" s="710"/>
      <c r="F778" s="709"/>
      <c r="G778" s="825"/>
      <c r="H778" s="1244"/>
      <c r="I778" s="1255"/>
    </row>
    <row r="779" spans="1:9" ht="27" customHeight="1" thickBot="1" x14ac:dyDescent="0.35">
      <c r="A779" s="772"/>
      <c r="B779" s="783" t="s">
        <v>43</v>
      </c>
      <c r="C779" s="954">
        <f t="shared" ref="C779:D779" si="90">C780+C796</f>
        <v>17006123</v>
      </c>
      <c r="D779" s="954">
        <f t="shared" si="90"/>
        <v>17065123</v>
      </c>
      <c r="E779" s="1349"/>
      <c r="F779" s="1238"/>
      <c r="G779" s="1284"/>
      <c r="H779" s="1284"/>
      <c r="I779" s="1297"/>
    </row>
    <row r="780" spans="1:9" ht="27" customHeight="1" thickBot="1" x14ac:dyDescent="0.3">
      <c r="A780" s="772"/>
      <c r="B780" s="787" t="s">
        <v>741</v>
      </c>
      <c r="C780" s="955">
        <f>C781+C782+C783+C786+C788+C794+C795</f>
        <v>1297000</v>
      </c>
      <c r="D780" s="955">
        <f>D781+D782+D783+D786+D788+D794+D795</f>
        <v>1242255</v>
      </c>
      <c r="E780" s="955"/>
      <c r="F780" s="1350"/>
      <c r="G780" s="1237"/>
      <c r="H780" s="1237"/>
      <c r="I780" s="1253"/>
    </row>
    <row r="781" spans="1:9" ht="27" customHeight="1" x14ac:dyDescent="0.2">
      <c r="A781" s="713">
        <v>3613</v>
      </c>
      <c r="B781" s="760" t="s">
        <v>1718</v>
      </c>
      <c r="C781" s="870">
        <v>7000</v>
      </c>
      <c r="D781" s="870">
        <v>7000</v>
      </c>
      <c r="E781" s="1218"/>
      <c r="F781" s="1163"/>
      <c r="G781" s="825"/>
      <c r="H781" s="1244"/>
      <c r="I781" s="1257"/>
    </row>
    <row r="782" spans="1:9" s="289" customFormat="1" ht="27" customHeight="1" x14ac:dyDescent="0.25">
      <c r="A782" s="713">
        <v>3632</v>
      </c>
      <c r="B782" s="760" t="s">
        <v>1387</v>
      </c>
      <c r="C782" s="870">
        <v>270000</v>
      </c>
      <c r="D782" s="870">
        <v>270000</v>
      </c>
      <c r="E782" s="1218"/>
      <c r="F782" s="1163"/>
      <c r="G782" s="825"/>
      <c r="H782" s="1244"/>
      <c r="I782" s="1257"/>
    </row>
    <row r="783" spans="1:9" s="289" customFormat="1" ht="27" customHeight="1" x14ac:dyDescent="0.25">
      <c r="A783" s="713">
        <v>4329</v>
      </c>
      <c r="B783" s="760" t="s">
        <v>745</v>
      </c>
      <c r="C783" s="701">
        <f t="shared" ref="C783:D783" si="91">SUM(C784:C785)</f>
        <v>258000</v>
      </c>
      <c r="D783" s="701">
        <f t="shared" si="91"/>
        <v>258000</v>
      </c>
      <c r="E783" s="701"/>
      <c r="F783" s="707"/>
      <c r="G783" s="825"/>
      <c r="H783" s="1244"/>
      <c r="I783" s="1257"/>
    </row>
    <row r="784" spans="1:9" s="116" customFormat="1" ht="27" customHeight="1" x14ac:dyDescent="0.2">
      <c r="A784" s="713"/>
      <c r="B784" s="762" t="s">
        <v>1102</v>
      </c>
      <c r="C784" s="871">
        <v>8000</v>
      </c>
      <c r="D784" s="871">
        <v>8000</v>
      </c>
      <c r="E784" s="1163"/>
      <c r="F784" s="1163"/>
      <c r="G784" s="1243"/>
      <c r="H784" s="1248"/>
      <c r="I784" s="1258"/>
    </row>
    <row r="785" spans="1:9" s="116" customFormat="1" ht="27" customHeight="1" x14ac:dyDescent="0.2">
      <c r="A785" s="713"/>
      <c r="B785" s="762" t="s">
        <v>1209</v>
      </c>
      <c r="C785" s="871">
        <v>250000</v>
      </c>
      <c r="D785" s="871">
        <v>250000</v>
      </c>
      <c r="E785" s="1163"/>
      <c r="F785" s="1163"/>
      <c r="G785" s="1243"/>
      <c r="H785" s="1248"/>
      <c r="I785" s="1258"/>
    </row>
    <row r="786" spans="1:9" ht="27" customHeight="1" x14ac:dyDescent="0.2">
      <c r="A786" s="713">
        <v>4349</v>
      </c>
      <c r="B786" s="760" t="s">
        <v>753</v>
      </c>
      <c r="C786" s="701">
        <f t="shared" ref="C786:D786" si="92">SUM(C787:C787)</f>
        <v>300000</v>
      </c>
      <c r="D786" s="701">
        <f t="shared" si="92"/>
        <v>300000</v>
      </c>
      <c r="E786" s="701"/>
      <c r="F786" s="707"/>
      <c r="G786" s="825"/>
      <c r="H786" s="1244"/>
      <c r="I786" s="1257"/>
    </row>
    <row r="787" spans="1:9" ht="27" customHeight="1" x14ac:dyDescent="0.2">
      <c r="A787" s="728"/>
      <c r="B787" s="761" t="s">
        <v>1210</v>
      </c>
      <c r="C787" s="871">
        <v>300000</v>
      </c>
      <c r="D787" s="871">
        <v>300000</v>
      </c>
      <c r="E787" s="1163"/>
      <c r="F787" s="1163"/>
      <c r="G787" s="1243"/>
      <c r="H787" s="1248"/>
      <c r="I787" s="1258"/>
    </row>
    <row r="788" spans="1:9" s="116" customFormat="1" ht="27" customHeight="1" x14ac:dyDescent="0.2">
      <c r="A788" s="713">
        <v>4379</v>
      </c>
      <c r="B788" s="760" t="s">
        <v>760</v>
      </c>
      <c r="C788" s="701">
        <f t="shared" ref="C788:D788" si="93">SUM(C789:C793)</f>
        <v>359000</v>
      </c>
      <c r="D788" s="701">
        <f t="shared" si="93"/>
        <v>359000</v>
      </c>
      <c r="E788" s="701"/>
      <c r="F788" s="707"/>
      <c r="G788" s="825"/>
      <c r="H788" s="1244"/>
      <c r="I788" s="1257"/>
    </row>
    <row r="789" spans="1:9" ht="27" customHeight="1" x14ac:dyDescent="0.2">
      <c r="A789" s="728"/>
      <c r="B789" s="761" t="s">
        <v>1099</v>
      </c>
      <c r="C789" s="871">
        <v>229000</v>
      </c>
      <c r="D789" s="871">
        <v>229000</v>
      </c>
      <c r="E789" s="1163"/>
      <c r="F789" s="1163"/>
      <c r="G789" s="1243"/>
      <c r="H789" s="1248"/>
      <c r="I789" s="1258"/>
    </row>
    <row r="790" spans="1:9" s="517" customFormat="1" ht="27" customHeight="1" x14ac:dyDescent="0.2">
      <c r="A790" s="728"/>
      <c r="B790" s="761" t="s">
        <v>1067</v>
      </c>
      <c r="C790" s="871">
        <v>65000</v>
      </c>
      <c r="D790" s="871">
        <v>65000</v>
      </c>
      <c r="E790" s="1163"/>
      <c r="F790" s="1163"/>
      <c r="G790" s="1243"/>
      <c r="H790" s="1248"/>
      <c r="I790" s="1258"/>
    </row>
    <row r="791" spans="1:9" ht="27" customHeight="1" x14ac:dyDescent="0.2">
      <c r="A791" s="728"/>
      <c r="B791" s="761" t="s">
        <v>1068</v>
      </c>
      <c r="C791" s="871">
        <v>55000</v>
      </c>
      <c r="D791" s="871">
        <v>55000</v>
      </c>
      <c r="E791" s="1163"/>
      <c r="F791" s="1163"/>
      <c r="G791" s="1243"/>
      <c r="H791" s="1248"/>
      <c r="I791" s="1258"/>
    </row>
    <row r="792" spans="1:9" s="116" customFormat="1" ht="27" customHeight="1" x14ac:dyDescent="0.2">
      <c r="A792" s="728"/>
      <c r="B792" s="761" t="s">
        <v>1069</v>
      </c>
      <c r="C792" s="871">
        <v>10000</v>
      </c>
      <c r="D792" s="871">
        <v>10000</v>
      </c>
      <c r="E792" s="1163"/>
      <c r="F792" s="1163"/>
      <c r="G792" s="1243"/>
      <c r="H792" s="1248"/>
      <c r="I792" s="1258"/>
    </row>
    <row r="793" spans="1:9" s="116" customFormat="1" ht="27" customHeight="1" x14ac:dyDescent="0.2">
      <c r="A793" s="728"/>
      <c r="B793" s="761" t="s">
        <v>1100</v>
      </c>
      <c r="C793" s="871">
        <v>0</v>
      </c>
      <c r="D793" s="871">
        <v>0</v>
      </c>
      <c r="E793" s="1163"/>
      <c r="F793" s="1163"/>
      <c r="G793" s="1243"/>
      <c r="H793" s="1248"/>
      <c r="I793" s="1258"/>
    </row>
    <row r="794" spans="1:9" ht="27" customHeight="1" x14ac:dyDescent="0.2">
      <c r="A794" s="713">
        <v>4399</v>
      </c>
      <c r="B794" s="760" t="s">
        <v>1388</v>
      </c>
      <c r="C794" s="870">
        <v>3000</v>
      </c>
      <c r="D794" s="870">
        <v>3000</v>
      </c>
      <c r="E794" s="1218"/>
      <c r="F794" s="1163"/>
      <c r="G794" s="825"/>
      <c r="H794" s="1244"/>
      <c r="I794" s="1257"/>
    </row>
    <row r="795" spans="1:9" ht="27" customHeight="1" thickBot="1" x14ac:dyDescent="0.25">
      <c r="A795" s="833">
        <v>6409</v>
      </c>
      <c r="B795" s="806" t="s">
        <v>1101</v>
      </c>
      <c r="C795" s="710">
        <v>100000</v>
      </c>
      <c r="D795" s="710">
        <f>100000-50000-4745</f>
        <v>45255</v>
      </c>
      <c r="E795" s="710"/>
      <c r="F795" s="709"/>
      <c r="G795" s="825"/>
      <c r="H795" s="1244"/>
      <c r="I795" s="1257"/>
    </row>
    <row r="796" spans="1:9" ht="27" customHeight="1" thickBot="1" x14ac:dyDescent="0.3">
      <c r="A796" s="772"/>
      <c r="B796" s="787" t="s">
        <v>767</v>
      </c>
      <c r="C796" s="948">
        <f t="shared" ref="C796:D796" si="94">C797</f>
        <v>15709123</v>
      </c>
      <c r="D796" s="948">
        <f t="shared" si="94"/>
        <v>15822868</v>
      </c>
      <c r="E796" s="948"/>
      <c r="F796" s="1351"/>
      <c r="G796" s="1237"/>
      <c r="H796" s="1237"/>
      <c r="I796" s="1253"/>
    </row>
    <row r="797" spans="1:9" ht="27" customHeight="1" x14ac:dyDescent="0.2">
      <c r="A797" s="832"/>
      <c r="B797" s="785" t="s">
        <v>768</v>
      </c>
      <c r="C797" s="941">
        <f t="shared" ref="C797:D797" si="95">SUM(C798:C810)</f>
        <v>15709123</v>
      </c>
      <c r="D797" s="941">
        <f t="shared" si="95"/>
        <v>15822868</v>
      </c>
      <c r="E797" s="701"/>
      <c r="F797" s="707"/>
      <c r="G797" s="825"/>
      <c r="H797" s="1244"/>
      <c r="I797" s="1257"/>
    </row>
    <row r="798" spans="1:9" s="116" customFormat="1" ht="27" customHeight="1" x14ac:dyDescent="0.2">
      <c r="A798" s="832"/>
      <c r="B798" s="761" t="s">
        <v>769</v>
      </c>
      <c r="C798" s="871">
        <v>129000</v>
      </c>
      <c r="D798" s="871">
        <v>129000</v>
      </c>
      <c r="E798" s="1163"/>
      <c r="F798" s="1163"/>
      <c r="G798" s="1243"/>
      <c r="H798" s="1248"/>
      <c r="I798" s="1258"/>
    </row>
    <row r="799" spans="1:9" ht="27" customHeight="1" x14ac:dyDescent="0.2">
      <c r="A799" s="832"/>
      <c r="B799" s="761" t="s">
        <v>770</v>
      </c>
      <c r="C799" s="871">
        <v>200000</v>
      </c>
      <c r="D799" s="871">
        <v>200000</v>
      </c>
      <c r="E799" s="1163"/>
      <c r="F799" s="1163"/>
      <c r="G799" s="1243"/>
      <c r="H799" s="1248"/>
      <c r="I799" s="1258"/>
    </row>
    <row r="800" spans="1:9" ht="27" customHeight="1" x14ac:dyDescent="0.2">
      <c r="A800" s="832"/>
      <c r="B800" s="761" t="s">
        <v>1419</v>
      </c>
      <c r="C800" s="871">
        <v>9749028</v>
      </c>
      <c r="D800" s="871">
        <f>9749028-360000</f>
        <v>9389028</v>
      </c>
      <c r="E800" s="1163"/>
      <c r="F800" s="1163"/>
      <c r="G800" s="1243"/>
      <c r="H800" s="1248"/>
      <c r="I800" s="1258"/>
    </row>
    <row r="801" spans="1:9" ht="27" customHeight="1" x14ac:dyDescent="0.2">
      <c r="A801" s="832"/>
      <c r="B801" s="761" t="s">
        <v>1420</v>
      </c>
      <c r="C801" s="871">
        <v>1853095</v>
      </c>
      <c r="D801" s="871">
        <v>1853095</v>
      </c>
      <c r="E801" s="1163"/>
      <c r="F801" s="1163"/>
      <c r="G801" s="1243"/>
      <c r="H801" s="1248"/>
      <c r="I801" s="1258"/>
    </row>
    <row r="802" spans="1:9" ht="27" customHeight="1" x14ac:dyDescent="0.2">
      <c r="A802" s="832"/>
      <c r="B802" s="761" t="s">
        <v>773</v>
      </c>
      <c r="C802" s="871">
        <v>135000</v>
      </c>
      <c r="D802" s="871">
        <v>135000</v>
      </c>
      <c r="E802" s="1163"/>
      <c r="F802" s="1163"/>
      <c r="G802" s="1243"/>
      <c r="H802" s="1248"/>
      <c r="I802" s="1258"/>
    </row>
    <row r="803" spans="1:9" ht="27" customHeight="1" x14ac:dyDescent="0.2">
      <c r="A803" s="832"/>
      <c r="B803" s="761" t="s">
        <v>774</v>
      </c>
      <c r="C803" s="871">
        <v>235000</v>
      </c>
      <c r="D803" s="871">
        <v>235000</v>
      </c>
      <c r="E803" s="1163"/>
      <c r="F803" s="1163"/>
      <c r="G803" s="1243"/>
      <c r="H803" s="1248"/>
      <c r="I803" s="1258"/>
    </row>
    <row r="804" spans="1:9" ht="27" customHeight="1" x14ac:dyDescent="0.2">
      <c r="A804" s="832"/>
      <c r="B804" s="761" t="s">
        <v>1103</v>
      </c>
      <c r="C804" s="871">
        <v>1000000</v>
      </c>
      <c r="D804" s="871">
        <v>1000000</v>
      </c>
      <c r="E804" s="1163"/>
      <c r="F804" s="1163"/>
      <c r="G804" s="1243"/>
      <c r="H804" s="1248"/>
      <c r="I804" s="1258"/>
    </row>
    <row r="805" spans="1:9" ht="27" customHeight="1" x14ac:dyDescent="0.2">
      <c r="A805" s="713"/>
      <c r="B805" s="761" t="s">
        <v>775</v>
      </c>
      <c r="C805" s="871">
        <v>50000</v>
      </c>
      <c r="D805" s="871">
        <v>50000</v>
      </c>
      <c r="E805" s="1163"/>
      <c r="F805" s="1163"/>
      <c r="G805" s="1243"/>
      <c r="H805" s="1248"/>
      <c r="I805" s="1258"/>
    </row>
    <row r="806" spans="1:9" ht="27" customHeight="1" x14ac:dyDescent="0.2">
      <c r="A806" s="713"/>
      <c r="B806" s="807" t="s">
        <v>1858</v>
      </c>
      <c r="C806" s="871">
        <v>0</v>
      </c>
      <c r="D806" s="871">
        <v>0</v>
      </c>
      <c r="E806" s="1163"/>
      <c r="F806" s="1163"/>
      <c r="G806" s="1243"/>
      <c r="H806" s="1248"/>
      <c r="I806" s="1258"/>
    </row>
    <row r="807" spans="1:9" ht="27" customHeight="1" x14ac:dyDescent="0.2">
      <c r="A807" s="713"/>
      <c r="B807" s="807" t="s">
        <v>1104</v>
      </c>
      <c r="C807" s="871">
        <v>2310000</v>
      </c>
      <c r="D807" s="871">
        <v>2310000</v>
      </c>
      <c r="E807" s="1163"/>
      <c r="F807" s="1163"/>
      <c r="G807" s="1243"/>
      <c r="H807" s="1248"/>
      <c r="I807" s="1258"/>
    </row>
    <row r="808" spans="1:9" ht="27" customHeight="1" x14ac:dyDescent="0.2">
      <c r="A808" s="713"/>
      <c r="B808" s="761" t="s">
        <v>776</v>
      </c>
      <c r="C808" s="871">
        <v>0</v>
      </c>
      <c r="D808" s="871">
        <f>50000+59000+75000+4745</f>
        <v>188745</v>
      </c>
      <c r="E808" s="1163"/>
      <c r="F808" s="1163"/>
      <c r="G808" s="1243"/>
      <c r="H808" s="1248"/>
      <c r="I808" s="1258"/>
    </row>
    <row r="809" spans="1:9" ht="27" customHeight="1" x14ac:dyDescent="0.2">
      <c r="A809" s="713"/>
      <c r="B809" s="761" t="s">
        <v>1206</v>
      </c>
      <c r="C809" s="871">
        <v>48000</v>
      </c>
      <c r="D809" s="871">
        <v>48000</v>
      </c>
      <c r="E809" s="1262"/>
      <c r="F809" s="1262"/>
      <c r="G809" s="1345"/>
      <c r="H809" s="1345"/>
      <c r="I809" s="1258"/>
    </row>
    <row r="810" spans="1:9" ht="27" customHeight="1" x14ac:dyDescent="0.2">
      <c r="A810" s="713"/>
      <c r="B810" s="761" t="s">
        <v>2046</v>
      </c>
      <c r="C810" s="871">
        <v>0</v>
      </c>
      <c r="D810" s="871">
        <v>285000</v>
      </c>
      <c r="E810" s="1262"/>
      <c r="F810" s="1262"/>
      <c r="G810" s="1345"/>
      <c r="H810" s="1345"/>
      <c r="I810" s="1258"/>
    </row>
    <row r="811" spans="1:9" ht="27" customHeight="1" thickBot="1" x14ac:dyDescent="0.25">
      <c r="A811" s="833"/>
      <c r="B811" s="758"/>
      <c r="C811" s="709"/>
      <c r="D811" s="709"/>
      <c r="E811" s="709"/>
      <c r="F811" s="709"/>
      <c r="G811" s="709"/>
      <c r="H811" s="709"/>
      <c r="I811" s="1352"/>
    </row>
    <row r="812" spans="1:9" ht="27" customHeight="1" thickBot="1" x14ac:dyDescent="0.25">
      <c r="A812" s="841"/>
      <c r="B812" s="808" t="s">
        <v>777</v>
      </c>
      <c r="C812" s="749">
        <f t="shared" ref="C812:D812" si="96">C813</f>
        <v>19471500</v>
      </c>
      <c r="D812" s="749">
        <f t="shared" si="96"/>
        <v>24044500</v>
      </c>
      <c r="E812" s="1313"/>
      <c r="F812" s="1314"/>
      <c r="G812" s="1284"/>
      <c r="H812" s="1284"/>
      <c r="I812" s="1297"/>
    </row>
    <row r="813" spans="1:9" ht="27" customHeight="1" x14ac:dyDescent="0.2">
      <c r="A813" s="833">
        <v>4351</v>
      </c>
      <c r="B813" s="809" t="s">
        <v>778</v>
      </c>
      <c r="C813" s="1220">
        <f t="shared" ref="C813:D813" si="97">SUM(C814:C817)</f>
        <v>19471500</v>
      </c>
      <c r="D813" s="1220">
        <f t="shared" si="97"/>
        <v>24044500</v>
      </c>
      <c r="E813" s="1353"/>
      <c r="F813" s="1354"/>
      <c r="G813" s="825"/>
      <c r="H813" s="1244"/>
      <c r="I813" s="1257"/>
    </row>
    <row r="814" spans="1:9" ht="60.75" x14ac:dyDescent="0.2">
      <c r="A814" s="728"/>
      <c r="B814" s="805" t="s">
        <v>1429</v>
      </c>
      <c r="C814" s="942">
        <v>8205000</v>
      </c>
      <c r="D814" s="942">
        <f>8205000+2980000+(419000+181000+2000+161000+2217000-2980000)</f>
        <v>11185000</v>
      </c>
      <c r="E814" s="707"/>
      <c r="F814" s="707"/>
      <c r="G814" s="1243"/>
      <c r="H814" s="1248"/>
      <c r="I814" s="1258"/>
    </row>
    <row r="815" spans="1:9" ht="48.75" x14ac:dyDescent="0.2">
      <c r="A815" s="728"/>
      <c r="B815" s="805" t="s">
        <v>1428</v>
      </c>
      <c r="C815" s="942">
        <v>2224000</v>
      </c>
      <c r="D815" s="942">
        <f>2224000+559000+(492000+36000+31000-559000)</f>
        <v>2783000</v>
      </c>
      <c r="E815" s="735"/>
      <c r="F815" s="735"/>
      <c r="G815" s="1243"/>
      <c r="H815" s="1248"/>
      <c r="I815" s="1258"/>
    </row>
    <row r="816" spans="1:9" ht="36.75" x14ac:dyDescent="0.2">
      <c r="A816" s="713"/>
      <c r="B816" s="805" t="s">
        <v>1430</v>
      </c>
      <c r="C816" s="942">
        <v>6642500</v>
      </c>
      <c r="D816" s="942">
        <f>6642500+1034000+(978000+56000-1034000)</f>
        <v>7676500</v>
      </c>
      <c r="E816" s="1163"/>
      <c r="F816" s="1163"/>
      <c r="G816" s="1243"/>
      <c r="H816" s="1248"/>
      <c r="I816" s="1258"/>
    </row>
    <row r="817" spans="1:9" ht="27" customHeight="1" x14ac:dyDescent="0.2">
      <c r="A817" s="833"/>
      <c r="B817" s="810" t="s">
        <v>2025</v>
      </c>
      <c r="C817" s="943">
        <v>2400000</v>
      </c>
      <c r="D817" s="943">
        <v>2400000</v>
      </c>
      <c r="E817" s="1163"/>
      <c r="F817" s="1163"/>
      <c r="G817" s="1243"/>
      <c r="H817" s="1248"/>
      <c r="I817" s="1258"/>
    </row>
    <row r="818" spans="1:9" ht="27" customHeight="1" thickBot="1" x14ac:dyDescent="0.25">
      <c r="A818" s="781"/>
      <c r="B818" s="791"/>
      <c r="C818" s="944"/>
      <c r="D818" s="944"/>
      <c r="E818" s="781"/>
      <c r="F818" s="1355"/>
      <c r="G818" s="781"/>
      <c r="H818" s="781"/>
      <c r="I818" s="1356"/>
    </row>
    <row r="819" spans="1:9" s="12" customFormat="1" ht="27" customHeight="1" thickBot="1" x14ac:dyDescent="0.35">
      <c r="A819" s="772"/>
      <c r="B819" s="783" t="s">
        <v>50</v>
      </c>
      <c r="C819" s="945">
        <f>SUM(C820,C821,C822,C823,C824,C825,C826,C827,C831,C832,C833,C834,C839,C840)</f>
        <v>67229000</v>
      </c>
      <c r="D819" s="945">
        <f>SUM(D820,D821,D822,D823,D824,D825,D826,D827,D831,D832,D833,D834,D839,D840)</f>
        <v>70566434</v>
      </c>
      <c r="E819" s="781"/>
      <c r="F819" s="1355"/>
      <c r="G819" s="781"/>
      <c r="H819" s="781"/>
      <c r="I819" s="1356"/>
    </row>
    <row r="820" spans="1:9" ht="27" customHeight="1" x14ac:dyDescent="0.2">
      <c r="A820" s="773">
        <v>1014</v>
      </c>
      <c r="B820" s="785" t="s">
        <v>782</v>
      </c>
      <c r="C820" s="870">
        <v>500000</v>
      </c>
      <c r="D820" s="870">
        <v>500000</v>
      </c>
      <c r="E820" s="1218"/>
      <c r="F820" s="1163"/>
      <c r="G820" s="825"/>
      <c r="H820" s="1244"/>
      <c r="I820" s="1257"/>
    </row>
    <row r="821" spans="1:9" ht="27" customHeight="1" x14ac:dyDescent="0.2">
      <c r="A821" s="713">
        <v>1031</v>
      </c>
      <c r="B821" s="760" t="s">
        <v>1204</v>
      </c>
      <c r="C821" s="870">
        <v>650000</v>
      </c>
      <c r="D821" s="870">
        <f>650000+50000</f>
        <v>700000</v>
      </c>
      <c r="E821" s="1218"/>
      <c r="F821" s="1163"/>
      <c r="G821" s="825"/>
      <c r="H821" s="1244"/>
      <c r="I821" s="1257"/>
    </row>
    <row r="822" spans="1:9" ht="27" customHeight="1" x14ac:dyDescent="0.2">
      <c r="A822" s="713">
        <v>1036</v>
      </c>
      <c r="B822" s="760" t="s">
        <v>784</v>
      </c>
      <c r="C822" s="870">
        <v>155000</v>
      </c>
      <c r="D822" s="870">
        <v>155000</v>
      </c>
      <c r="E822" s="1218"/>
      <c r="F822" s="1163"/>
      <c r="G822" s="825"/>
      <c r="H822" s="1244"/>
      <c r="I822" s="1257"/>
    </row>
    <row r="823" spans="1:9" s="289" customFormat="1" ht="27" customHeight="1" x14ac:dyDescent="0.25">
      <c r="A823" s="713">
        <v>1037</v>
      </c>
      <c r="B823" s="760" t="s">
        <v>1205</v>
      </c>
      <c r="C823" s="870">
        <v>25000</v>
      </c>
      <c r="D823" s="870">
        <v>25000</v>
      </c>
      <c r="E823" s="1218"/>
      <c r="F823" s="1163"/>
      <c r="G823" s="825"/>
      <c r="H823" s="1244"/>
      <c r="I823" s="1257"/>
    </row>
    <row r="824" spans="1:9" s="116" customFormat="1" ht="27" customHeight="1" x14ac:dyDescent="0.2">
      <c r="A824" s="713">
        <v>1039</v>
      </c>
      <c r="B824" s="760" t="s">
        <v>786</v>
      </c>
      <c r="C824" s="870">
        <v>260000</v>
      </c>
      <c r="D824" s="870">
        <f>260000-50000</f>
        <v>210000</v>
      </c>
      <c r="E824" s="1218"/>
      <c r="F824" s="1163"/>
      <c r="G824" s="825"/>
      <c r="H824" s="1244"/>
      <c r="I824" s="1257"/>
    </row>
    <row r="825" spans="1:9" s="116" customFormat="1" ht="27" customHeight="1" x14ac:dyDescent="0.2">
      <c r="A825" s="713">
        <v>2369</v>
      </c>
      <c r="B825" s="760" t="s">
        <v>1389</v>
      </c>
      <c r="C825" s="870">
        <v>370000</v>
      </c>
      <c r="D825" s="870">
        <v>370000</v>
      </c>
      <c r="E825" s="1218"/>
      <c r="F825" s="1163"/>
      <c r="G825" s="825"/>
      <c r="H825" s="1244"/>
      <c r="I825" s="1257"/>
    </row>
    <row r="826" spans="1:9" s="116" customFormat="1" ht="27" customHeight="1" x14ac:dyDescent="0.2">
      <c r="A826" s="713">
        <v>3721</v>
      </c>
      <c r="B826" s="760" t="s">
        <v>1390</v>
      </c>
      <c r="C826" s="870">
        <v>50000</v>
      </c>
      <c r="D826" s="870">
        <v>50000</v>
      </c>
      <c r="E826" s="1218"/>
      <c r="F826" s="1163"/>
      <c r="G826" s="825"/>
      <c r="H826" s="1244"/>
      <c r="I826" s="1257"/>
    </row>
    <row r="827" spans="1:9" s="116" customFormat="1" ht="27" customHeight="1" x14ac:dyDescent="0.2">
      <c r="A827" s="713">
        <v>3722</v>
      </c>
      <c r="B827" s="760" t="s">
        <v>789</v>
      </c>
      <c r="C827" s="701">
        <f>SUM(C828:C830)</f>
        <v>37945000</v>
      </c>
      <c r="D827" s="701">
        <f>SUM(D828:D830)</f>
        <v>41282434</v>
      </c>
      <c r="E827" s="701"/>
      <c r="F827" s="707"/>
      <c r="G827" s="825"/>
      <c r="H827" s="1244"/>
      <c r="I827" s="1257"/>
    </row>
    <row r="828" spans="1:9" s="116" customFormat="1" ht="27" customHeight="1" x14ac:dyDescent="0.2">
      <c r="A828" s="713"/>
      <c r="B828" s="763" t="s">
        <v>2018</v>
      </c>
      <c r="C828" s="871">
        <v>4250000</v>
      </c>
      <c r="D828" s="871">
        <f>4250000+3337434</f>
        <v>7587434</v>
      </c>
      <c r="E828" s="1163"/>
      <c r="F828" s="1163"/>
      <c r="G828" s="1243"/>
      <c r="H828" s="1248"/>
      <c r="I828" s="1258"/>
    </row>
    <row r="829" spans="1:9" s="116" customFormat="1" ht="27" customHeight="1" x14ac:dyDescent="0.2">
      <c r="A829" s="713"/>
      <c r="B829" s="762" t="s">
        <v>790</v>
      </c>
      <c r="C829" s="871">
        <v>31150000</v>
      </c>
      <c r="D829" s="871">
        <v>31150000</v>
      </c>
      <c r="E829" s="1163"/>
      <c r="F829" s="1163"/>
      <c r="G829" s="1243"/>
      <c r="H829" s="1248"/>
      <c r="I829" s="1258"/>
    </row>
    <row r="830" spans="1:9" s="116" customFormat="1" ht="27" customHeight="1" x14ac:dyDescent="0.2">
      <c r="A830" s="713"/>
      <c r="B830" s="762" t="s">
        <v>791</v>
      </c>
      <c r="C830" s="871">
        <v>2545000</v>
      </c>
      <c r="D830" s="871">
        <v>2545000</v>
      </c>
      <c r="E830" s="1163"/>
      <c r="F830" s="1163"/>
      <c r="G830" s="1243"/>
      <c r="H830" s="1248"/>
      <c r="I830" s="1258"/>
    </row>
    <row r="831" spans="1:9" s="116" customFormat="1" ht="27" customHeight="1" x14ac:dyDescent="0.2">
      <c r="A831" s="713">
        <v>3726</v>
      </c>
      <c r="B831" s="1021" t="s">
        <v>1753</v>
      </c>
      <c r="C831" s="940">
        <v>1650000</v>
      </c>
      <c r="D831" s="940">
        <v>1650000</v>
      </c>
      <c r="E831" s="1218"/>
      <c r="F831" s="1163"/>
      <c r="G831" s="825"/>
      <c r="H831" s="1244"/>
      <c r="I831" s="1257"/>
    </row>
    <row r="832" spans="1:9" s="116" customFormat="1" ht="27" customHeight="1" x14ac:dyDescent="0.2">
      <c r="A832" s="713">
        <v>3733</v>
      </c>
      <c r="B832" s="760" t="s">
        <v>1391</v>
      </c>
      <c r="C832" s="870">
        <v>65000</v>
      </c>
      <c r="D832" s="870">
        <v>65000</v>
      </c>
      <c r="E832" s="1218"/>
      <c r="F832" s="1163"/>
      <c r="G832" s="825"/>
      <c r="H832" s="1244"/>
      <c r="I832" s="1257"/>
    </row>
    <row r="833" spans="1:251" s="116" customFormat="1" ht="27" customHeight="1" x14ac:dyDescent="0.2">
      <c r="A833" s="713">
        <v>3742</v>
      </c>
      <c r="B833" s="723" t="s">
        <v>1392</v>
      </c>
      <c r="C833" s="870">
        <v>100000</v>
      </c>
      <c r="D833" s="870">
        <v>100000</v>
      </c>
      <c r="E833" s="1218"/>
      <c r="F833" s="1163"/>
      <c r="G833" s="825"/>
      <c r="H833" s="1244"/>
      <c r="I833" s="1257"/>
    </row>
    <row r="834" spans="1:251" s="116" customFormat="1" ht="27" customHeight="1" x14ac:dyDescent="0.2">
      <c r="A834" s="713">
        <v>3745</v>
      </c>
      <c r="B834" s="760" t="s">
        <v>796</v>
      </c>
      <c r="C834" s="701">
        <f>SUM(C835:C838)</f>
        <v>25144000</v>
      </c>
      <c r="D834" s="701">
        <f>SUM(D835:D838)</f>
        <v>25144000</v>
      </c>
      <c r="E834" s="701"/>
      <c r="F834" s="707"/>
      <c r="G834" s="825"/>
      <c r="H834" s="1244"/>
      <c r="I834" s="1257"/>
    </row>
    <row r="835" spans="1:251" s="116" customFormat="1" ht="27" customHeight="1" x14ac:dyDescent="0.2">
      <c r="A835" s="713"/>
      <c r="B835" s="762" t="s">
        <v>1070</v>
      </c>
      <c r="C835" s="871">
        <v>260000</v>
      </c>
      <c r="D835" s="871">
        <v>260000</v>
      </c>
      <c r="E835" s="1163"/>
      <c r="F835" s="1163"/>
      <c r="G835" s="1243"/>
      <c r="H835" s="1248"/>
      <c r="I835" s="1258"/>
    </row>
    <row r="836" spans="1:251" s="116" customFormat="1" ht="27" customHeight="1" x14ac:dyDescent="0.2">
      <c r="A836" s="728"/>
      <c r="B836" s="762" t="s">
        <v>798</v>
      </c>
      <c r="C836" s="871">
        <v>19300000</v>
      </c>
      <c r="D836" s="871">
        <v>19300000</v>
      </c>
      <c r="E836" s="1163"/>
      <c r="F836" s="1163"/>
      <c r="G836" s="1243"/>
      <c r="H836" s="1248"/>
      <c r="I836" s="1258"/>
    </row>
    <row r="837" spans="1:251" s="116" customFormat="1" ht="27" customHeight="1" x14ac:dyDescent="0.2">
      <c r="A837" s="728"/>
      <c r="B837" s="762" t="s">
        <v>799</v>
      </c>
      <c r="C837" s="871">
        <v>2834000</v>
      </c>
      <c r="D837" s="871">
        <v>2834000</v>
      </c>
      <c r="E837" s="1163"/>
      <c r="F837" s="1163"/>
      <c r="G837" s="1243"/>
      <c r="H837" s="1248"/>
      <c r="I837" s="1258"/>
    </row>
    <row r="838" spans="1:251" s="116" customFormat="1" ht="27" customHeight="1" x14ac:dyDescent="0.2">
      <c r="A838" s="713"/>
      <c r="B838" s="763" t="s">
        <v>1509</v>
      </c>
      <c r="C838" s="871">
        <v>2750000</v>
      </c>
      <c r="D838" s="871">
        <v>2750000</v>
      </c>
      <c r="E838" s="1163"/>
      <c r="F838" s="1163"/>
      <c r="G838" s="1243"/>
      <c r="H838" s="1248"/>
      <c r="I838" s="1258"/>
    </row>
    <row r="839" spans="1:251" ht="27" customHeight="1" thickBot="1" x14ac:dyDescent="0.25">
      <c r="A839" s="713">
        <v>3792</v>
      </c>
      <c r="B839" s="760" t="s">
        <v>801</v>
      </c>
      <c r="C839" s="870">
        <v>215000</v>
      </c>
      <c r="D839" s="870">
        <v>215000</v>
      </c>
      <c r="E839" s="1218"/>
      <c r="F839" s="1163"/>
      <c r="G839" s="825"/>
      <c r="H839" s="1244"/>
      <c r="I839" s="1257"/>
    </row>
    <row r="840" spans="1:251" ht="27" customHeight="1" thickBot="1" x14ac:dyDescent="0.3">
      <c r="A840" s="774"/>
      <c r="B840" s="811" t="s">
        <v>1071</v>
      </c>
      <c r="C840" s="956">
        <f t="shared" ref="C840:D840" si="98">SUM(C841:C842)</f>
        <v>100000</v>
      </c>
      <c r="D840" s="956">
        <f t="shared" si="98"/>
        <v>100000</v>
      </c>
      <c r="E840" s="863"/>
      <c r="F840" s="1357"/>
      <c r="G840" s="1237"/>
      <c r="H840" s="1237"/>
      <c r="I840" s="1253"/>
    </row>
    <row r="841" spans="1:251" ht="27" customHeight="1" x14ac:dyDescent="0.2">
      <c r="A841" s="731" t="s">
        <v>1095</v>
      </c>
      <c r="B841" s="724" t="s">
        <v>1401</v>
      </c>
      <c r="C841" s="706">
        <v>100000</v>
      </c>
      <c r="D841" s="706">
        <v>100000</v>
      </c>
      <c r="E841" s="706"/>
      <c r="F841" s="1294"/>
      <c r="G841" s="825"/>
      <c r="H841" s="1244"/>
      <c r="I841" s="1257"/>
    </row>
    <row r="842" spans="1:251" ht="27" customHeight="1" x14ac:dyDescent="0.2">
      <c r="A842" s="1447" t="s">
        <v>1096</v>
      </c>
      <c r="B842" s="1448" t="s">
        <v>1400</v>
      </c>
      <c r="C842" s="1449">
        <v>0</v>
      </c>
      <c r="D842" s="1449">
        <v>0</v>
      </c>
      <c r="E842" s="1358"/>
      <c r="F842" s="864"/>
      <c r="G842" s="825"/>
      <c r="H842" s="1244"/>
      <c r="I842" s="1257"/>
    </row>
    <row r="843" spans="1:251" ht="27" customHeight="1" thickBot="1" x14ac:dyDescent="0.25">
      <c r="A843" s="1450"/>
      <c r="B843" s="1451"/>
      <c r="C843" s="751"/>
      <c r="D843" s="751"/>
      <c r="E843" s="751"/>
      <c r="F843" s="751"/>
      <c r="G843" s="751"/>
      <c r="H843" s="751"/>
      <c r="I843" s="1359"/>
    </row>
    <row r="844" spans="1:251" ht="27" customHeight="1" thickBot="1" x14ac:dyDescent="0.25">
      <c r="A844" s="1180"/>
      <c r="B844" s="797" t="s">
        <v>803</v>
      </c>
      <c r="C844" s="1181">
        <f t="shared" ref="C844:D844" si="99">SUM(C845,C846,C877,C913,C966,C974,C975,C979)</f>
        <v>136758000</v>
      </c>
      <c r="D844" s="1181">
        <f t="shared" si="99"/>
        <v>136758000</v>
      </c>
      <c r="E844" s="1313"/>
      <c r="F844" s="1360"/>
      <c r="G844" s="1284"/>
      <c r="H844" s="1284"/>
      <c r="I844" s="1297"/>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c r="DU844"/>
      <c r="DV844"/>
      <c r="DW844"/>
      <c r="DX844"/>
      <c r="DY844"/>
      <c r="DZ844"/>
      <c r="EA844"/>
      <c r="EB844"/>
      <c r="EC844"/>
      <c r="ED844"/>
      <c r="EE844"/>
      <c r="EF844"/>
      <c r="EG844"/>
      <c r="EH844"/>
      <c r="EI844"/>
      <c r="EJ844"/>
      <c r="EK844"/>
      <c r="EL844"/>
      <c r="EM844"/>
      <c r="EN844"/>
      <c r="EO844"/>
      <c r="EP844"/>
      <c r="EQ844"/>
      <c r="ER844"/>
      <c r="ES844"/>
      <c r="ET844"/>
      <c r="EU844"/>
      <c r="EV844"/>
      <c r="EW844"/>
      <c r="EX844"/>
      <c r="EY844"/>
      <c r="EZ844"/>
      <c r="FA844"/>
      <c r="FB844"/>
      <c r="FC844"/>
      <c r="FD844"/>
      <c r="FE844"/>
      <c r="FF844"/>
      <c r="FG844"/>
      <c r="FH844"/>
      <c r="FI844"/>
      <c r="FJ844"/>
      <c r="FK844"/>
      <c r="FL844"/>
      <c r="FM844"/>
      <c r="FN844"/>
      <c r="FO844"/>
      <c r="FP844"/>
      <c r="FQ844"/>
      <c r="FR844"/>
      <c r="FS844"/>
      <c r="FT844"/>
      <c r="FU844"/>
      <c r="FV844"/>
      <c r="FW844"/>
      <c r="FX844"/>
      <c r="FY844"/>
      <c r="FZ844"/>
      <c r="GA844"/>
      <c r="GB844"/>
      <c r="GC844"/>
      <c r="GD844"/>
      <c r="GE844"/>
      <c r="GF844"/>
      <c r="GG844"/>
      <c r="GH844"/>
      <c r="GI844"/>
      <c r="GJ844"/>
      <c r="GK844"/>
      <c r="GL844"/>
      <c r="GM844"/>
      <c r="GN844"/>
      <c r="GO844"/>
      <c r="GP844"/>
      <c r="GQ844"/>
      <c r="GR844"/>
      <c r="GS844"/>
      <c r="GT844"/>
      <c r="GU844"/>
      <c r="GV844"/>
      <c r="GW844"/>
      <c r="GX844"/>
      <c r="GY844"/>
      <c r="GZ844"/>
      <c r="HA844"/>
      <c r="HB844"/>
      <c r="HC844"/>
      <c r="HD844"/>
      <c r="HE844"/>
      <c r="HF844"/>
      <c r="HG844"/>
      <c r="HH844"/>
      <c r="HI844"/>
      <c r="HJ844"/>
      <c r="HK844"/>
      <c r="HL844"/>
      <c r="HM844"/>
      <c r="HN844"/>
      <c r="HO844"/>
      <c r="HP844"/>
      <c r="HQ844"/>
      <c r="HR844"/>
      <c r="HS844"/>
      <c r="HT844"/>
      <c r="HU844"/>
      <c r="HV844"/>
      <c r="HW844"/>
      <c r="HX844"/>
      <c r="HY844"/>
      <c r="HZ844"/>
      <c r="IA844"/>
      <c r="IB844"/>
      <c r="IC844"/>
      <c r="ID844"/>
      <c r="IE844"/>
      <c r="IF844"/>
      <c r="IG844"/>
      <c r="IH844"/>
      <c r="II844"/>
      <c r="IJ844"/>
      <c r="IK844"/>
      <c r="IL844"/>
      <c r="IM844"/>
      <c r="IN844"/>
      <c r="IO844"/>
      <c r="IP844"/>
      <c r="IQ844"/>
    </row>
    <row r="845" spans="1:251" ht="27" customHeight="1" x14ac:dyDescent="0.2">
      <c r="A845" s="1171">
        <v>3122</v>
      </c>
      <c r="B845" s="1172" t="s">
        <v>1105</v>
      </c>
      <c r="C845" s="870">
        <v>403000</v>
      </c>
      <c r="D845" s="870">
        <v>403000</v>
      </c>
      <c r="E845" s="1218"/>
      <c r="F845" s="1163"/>
      <c r="G845" s="825"/>
      <c r="H845" s="1244"/>
      <c r="I845" s="1257"/>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c r="DU845"/>
      <c r="DV845"/>
      <c r="DW845"/>
      <c r="DX845"/>
      <c r="DY845"/>
      <c r="DZ845"/>
      <c r="EA845"/>
      <c r="EB845"/>
      <c r="EC845"/>
      <c r="ED845"/>
      <c r="EE845"/>
      <c r="EF845"/>
      <c r="EG845"/>
      <c r="EH845"/>
      <c r="EI845"/>
      <c r="EJ845"/>
      <c r="EK845"/>
      <c r="EL845"/>
      <c r="EM845"/>
      <c r="EN845"/>
      <c r="EO845"/>
      <c r="EP845"/>
      <c r="EQ845"/>
      <c r="ER845"/>
      <c r="ES845"/>
      <c r="ET845"/>
      <c r="EU845"/>
      <c r="EV845"/>
      <c r="EW845"/>
      <c r="EX845"/>
      <c r="EY845"/>
      <c r="EZ845"/>
      <c r="FA845"/>
      <c r="FB845"/>
      <c r="FC845"/>
      <c r="FD845"/>
      <c r="FE845"/>
      <c r="FF845"/>
      <c r="FG845"/>
      <c r="FH845"/>
      <c r="FI845"/>
      <c r="FJ845"/>
      <c r="FK845"/>
      <c r="FL845"/>
      <c r="FM845"/>
      <c r="FN845"/>
      <c r="FO845"/>
      <c r="FP845"/>
      <c r="FQ845"/>
      <c r="FR845"/>
      <c r="FS845"/>
      <c r="FT845"/>
      <c r="FU845"/>
      <c r="FV845"/>
      <c r="FW845"/>
      <c r="FX845"/>
      <c r="FY845"/>
      <c r="FZ845"/>
      <c r="GA845"/>
      <c r="GB845"/>
      <c r="GC845"/>
      <c r="GD845"/>
      <c r="GE845"/>
      <c r="GF845"/>
      <c r="GG845"/>
      <c r="GH845"/>
      <c r="GI845"/>
      <c r="GJ845"/>
      <c r="GK845"/>
      <c r="GL845"/>
      <c r="GM845"/>
      <c r="GN845"/>
      <c r="GO845"/>
      <c r="GP845"/>
      <c r="GQ845"/>
      <c r="GR845"/>
      <c r="GS845"/>
      <c r="GT845"/>
      <c r="GU845"/>
      <c r="GV845"/>
      <c r="GW845"/>
      <c r="GX845"/>
      <c r="GY845"/>
      <c r="GZ845"/>
      <c r="HA845"/>
      <c r="HB845"/>
      <c r="HC845"/>
      <c r="HD845"/>
      <c r="HE845"/>
      <c r="HF845"/>
      <c r="HG845"/>
      <c r="HH845"/>
      <c r="HI845"/>
      <c r="HJ845"/>
      <c r="HK845"/>
      <c r="HL845"/>
      <c r="HM845"/>
      <c r="HN845"/>
      <c r="HO845"/>
      <c r="HP845"/>
      <c r="HQ845"/>
      <c r="HR845"/>
      <c r="HS845"/>
      <c r="HT845"/>
      <c r="HU845"/>
      <c r="HV845"/>
      <c r="HW845"/>
      <c r="HX845"/>
      <c r="HY845"/>
      <c r="HZ845"/>
      <c r="IA845"/>
      <c r="IB845"/>
      <c r="IC845"/>
      <c r="ID845"/>
      <c r="IE845"/>
      <c r="IF845"/>
      <c r="IG845"/>
      <c r="IH845"/>
      <c r="II845"/>
      <c r="IJ845"/>
      <c r="IK845"/>
      <c r="IL845"/>
      <c r="IM845"/>
      <c r="IN845"/>
      <c r="IO845"/>
      <c r="IP845"/>
      <c r="IQ845"/>
    </row>
    <row r="846" spans="1:251" ht="27" customHeight="1" x14ac:dyDescent="0.2">
      <c r="A846" s="739">
        <v>3412</v>
      </c>
      <c r="B846" s="768" t="s">
        <v>805</v>
      </c>
      <c r="C846" s="701">
        <f t="shared" ref="C846:D846" si="100">C847+C864</f>
        <v>50505000</v>
      </c>
      <c r="D846" s="701">
        <f t="shared" si="100"/>
        <v>50505000</v>
      </c>
      <c r="E846" s="701"/>
      <c r="F846" s="707"/>
      <c r="G846" s="825"/>
      <c r="H846" s="1244"/>
      <c r="I846" s="1257"/>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c r="EF846"/>
      <c r="EG846"/>
      <c r="EH846"/>
      <c r="EI846"/>
      <c r="EJ846"/>
      <c r="EK846"/>
      <c r="EL846"/>
      <c r="EM846"/>
      <c r="EN846"/>
      <c r="EO846"/>
      <c r="EP846"/>
      <c r="EQ846"/>
      <c r="ER846"/>
      <c r="ES846"/>
      <c r="ET846"/>
      <c r="EU846"/>
      <c r="EV846"/>
      <c r="EW846"/>
      <c r="EX846"/>
      <c r="EY846"/>
      <c r="EZ846"/>
      <c r="FA846"/>
      <c r="FB846"/>
      <c r="FC846"/>
      <c r="FD846"/>
      <c r="FE846"/>
      <c r="FF846"/>
      <c r="FG846"/>
      <c r="FH846"/>
      <c r="FI846"/>
      <c r="FJ846"/>
      <c r="FK846"/>
      <c r="FL846"/>
      <c r="FM846"/>
      <c r="FN846"/>
      <c r="FO846"/>
      <c r="FP846"/>
      <c r="FQ846"/>
      <c r="FR846"/>
      <c r="FS846"/>
      <c r="FT846"/>
      <c r="FU846"/>
      <c r="FV846"/>
      <c r="FW846"/>
      <c r="FX846"/>
      <c r="FY846"/>
      <c r="FZ846"/>
      <c r="GA846"/>
      <c r="GB846"/>
      <c r="GC846"/>
      <c r="GD846"/>
      <c r="GE846"/>
      <c r="GF846"/>
      <c r="GG846"/>
      <c r="GH846"/>
      <c r="GI846"/>
      <c r="GJ846"/>
      <c r="GK846"/>
      <c r="GL846"/>
      <c r="GM846"/>
      <c r="GN846"/>
      <c r="GO846"/>
      <c r="GP846"/>
      <c r="GQ846"/>
      <c r="GR846"/>
      <c r="GS846"/>
      <c r="GT846"/>
      <c r="GU846"/>
      <c r="GV846"/>
      <c r="GW846"/>
      <c r="GX846"/>
      <c r="GY846"/>
      <c r="GZ846"/>
      <c r="HA846"/>
      <c r="HB846"/>
      <c r="HC846"/>
      <c r="HD846"/>
      <c r="HE846"/>
      <c r="HF846"/>
      <c r="HG846"/>
      <c r="HH846"/>
      <c r="HI846"/>
      <c r="HJ846"/>
      <c r="HK846"/>
      <c r="HL846"/>
      <c r="HM846"/>
      <c r="HN846"/>
      <c r="HO846"/>
      <c r="HP846"/>
      <c r="HQ846"/>
      <c r="HR846"/>
      <c r="HS846"/>
      <c r="HT846"/>
      <c r="HU846"/>
      <c r="HV846"/>
      <c r="HW846"/>
      <c r="HX846"/>
      <c r="HY846"/>
      <c r="HZ846"/>
      <c r="IA846"/>
      <c r="IB846"/>
      <c r="IC846"/>
      <c r="ID846"/>
      <c r="IE846"/>
      <c r="IF846"/>
      <c r="IG846"/>
      <c r="IH846"/>
      <c r="II846"/>
      <c r="IJ846"/>
      <c r="IK846"/>
      <c r="IL846"/>
      <c r="IM846"/>
      <c r="IN846"/>
      <c r="IO846"/>
      <c r="IP846"/>
      <c r="IQ846"/>
    </row>
    <row r="847" spans="1:251" ht="27" customHeight="1" x14ac:dyDescent="0.2">
      <c r="A847" s="739"/>
      <c r="B847" s="812" t="s">
        <v>1106</v>
      </c>
      <c r="C847" s="701">
        <f t="shared" ref="C847:D847" si="101">C848+C852+C860</f>
        <v>35690000</v>
      </c>
      <c r="D847" s="701">
        <f t="shared" si="101"/>
        <v>35690000</v>
      </c>
      <c r="E847" s="1174"/>
      <c r="F847" s="740"/>
      <c r="G847" s="1361"/>
      <c r="H847" s="1362"/>
      <c r="I847" s="1363"/>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c r="EX847"/>
      <c r="EY847"/>
      <c r="EZ847"/>
      <c r="FA847"/>
      <c r="FB847"/>
      <c r="FC847"/>
      <c r="FD847"/>
      <c r="FE847"/>
      <c r="FF847"/>
      <c r="FG847"/>
      <c r="FH847"/>
      <c r="FI847"/>
      <c r="FJ847"/>
      <c r="FK847"/>
      <c r="FL847"/>
      <c r="FM847"/>
      <c r="FN847"/>
      <c r="FO847"/>
      <c r="FP847"/>
      <c r="FQ847"/>
      <c r="FR847"/>
      <c r="FS847"/>
      <c r="FT847"/>
      <c r="FU847"/>
      <c r="FV847"/>
      <c r="FW847"/>
      <c r="FX847"/>
      <c r="FY847"/>
      <c r="FZ847"/>
      <c r="GA847"/>
      <c r="GB847"/>
      <c r="GC847"/>
      <c r="GD847"/>
      <c r="GE847"/>
      <c r="GF847"/>
      <c r="GG847"/>
      <c r="GH847"/>
      <c r="GI847"/>
      <c r="GJ847"/>
      <c r="GK847"/>
      <c r="GL847"/>
      <c r="GM847"/>
      <c r="GN847"/>
      <c r="GO847"/>
      <c r="GP847"/>
      <c r="GQ847"/>
      <c r="GR847"/>
      <c r="GS847"/>
      <c r="GT847"/>
      <c r="GU847"/>
      <c r="GV847"/>
      <c r="GW847"/>
      <c r="GX847"/>
      <c r="GY847"/>
      <c r="GZ847"/>
      <c r="HA847"/>
      <c r="HB847"/>
      <c r="HC847"/>
      <c r="HD847"/>
      <c r="HE847"/>
      <c r="HF847"/>
      <c r="HG847"/>
      <c r="HH847"/>
      <c r="HI847"/>
      <c r="HJ847"/>
      <c r="HK847"/>
      <c r="HL847"/>
      <c r="HM847"/>
      <c r="HN847"/>
      <c r="HO847"/>
      <c r="HP847"/>
      <c r="HQ847"/>
      <c r="HR847"/>
      <c r="HS847"/>
      <c r="HT847"/>
      <c r="HU847"/>
      <c r="HV847"/>
      <c r="HW847"/>
      <c r="HX847"/>
      <c r="HY847"/>
      <c r="HZ847"/>
      <c r="IA847"/>
      <c r="IB847"/>
      <c r="IC847"/>
      <c r="ID847"/>
      <c r="IE847"/>
      <c r="IF847"/>
      <c r="IG847"/>
      <c r="IH847"/>
      <c r="II847"/>
      <c r="IJ847"/>
      <c r="IK847"/>
      <c r="IL847"/>
      <c r="IM847"/>
      <c r="IN847"/>
      <c r="IO847"/>
      <c r="IP847"/>
      <c r="IQ847"/>
    </row>
    <row r="848" spans="1:251" ht="27" customHeight="1" x14ac:dyDescent="0.2">
      <c r="A848" s="739"/>
      <c r="B848" s="765" t="s">
        <v>807</v>
      </c>
      <c r="C848" s="740">
        <f>SUM(C849:C851)</f>
        <v>790000</v>
      </c>
      <c r="D848" s="740">
        <f>SUM(D849:D851)</f>
        <v>790000</v>
      </c>
      <c r="E848" s="740"/>
      <c r="F848" s="740"/>
      <c r="G848" s="1364"/>
      <c r="H848" s="1365"/>
      <c r="I848" s="136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c r="DU848"/>
      <c r="DV848"/>
      <c r="DW848"/>
      <c r="DX848"/>
      <c r="DY848"/>
      <c r="DZ848"/>
      <c r="EA848"/>
      <c r="EB848"/>
      <c r="EC848"/>
      <c r="ED848"/>
      <c r="EE848"/>
      <c r="EF848"/>
      <c r="EG848"/>
      <c r="EH848"/>
      <c r="EI848"/>
      <c r="EJ848"/>
      <c r="EK848"/>
      <c r="EL848"/>
      <c r="EM848"/>
      <c r="EN848"/>
      <c r="EO848"/>
      <c r="EP848"/>
      <c r="EQ848"/>
      <c r="ER848"/>
      <c r="ES848"/>
      <c r="ET848"/>
      <c r="EU848"/>
      <c r="EV848"/>
      <c r="EW848"/>
      <c r="EX848"/>
      <c r="EY848"/>
      <c r="EZ848"/>
      <c r="FA848"/>
      <c r="FB848"/>
      <c r="FC848"/>
      <c r="FD848"/>
      <c r="FE848"/>
      <c r="FF848"/>
      <c r="FG848"/>
      <c r="FH848"/>
      <c r="FI848"/>
      <c r="FJ848"/>
      <c r="FK848"/>
      <c r="FL848"/>
      <c r="FM848"/>
      <c r="FN848"/>
      <c r="FO848"/>
      <c r="FP848"/>
      <c r="FQ848"/>
      <c r="FR848"/>
      <c r="FS848"/>
      <c r="FT848"/>
      <c r="FU848"/>
      <c r="FV848"/>
      <c r="FW848"/>
      <c r="FX848"/>
      <c r="FY848"/>
      <c r="FZ848"/>
      <c r="GA848"/>
      <c r="GB848"/>
      <c r="GC848"/>
      <c r="GD848"/>
      <c r="GE848"/>
      <c r="GF848"/>
      <c r="GG848"/>
      <c r="GH848"/>
      <c r="GI848"/>
      <c r="GJ848"/>
      <c r="GK848"/>
      <c r="GL848"/>
      <c r="GM848"/>
      <c r="GN848"/>
      <c r="GO848"/>
      <c r="GP848"/>
      <c r="GQ848"/>
      <c r="GR848"/>
      <c r="GS848"/>
      <c r="GT848"/>
      <c r="GU848"/>
      <c r="GV848"/>
      <c r="GW848"/>
      <c r="GX848"/>
      <c r="GY848"/>
      <c r="GZ848"/>
      <c r="HA848"/>
      <c r="HB848"/>
      <c r="HC848"/>
      <c r="HD848"/>
      <c r="HE848"/>
      <c r="HF848"/>
      <c r="HG848"/>
      <c r="HH848"/>
      <c r="HI848"/>
      <c r="HJ848"/>
      <c r="HK848"/>
      <c r="HL848"/>
      <c r="HM848"/>
      <c r="HN848"/>
      <c r="HO848"/>
      <c r="HP848"/>
      <c r="HQ848"/>
      <c r="HR848"/>
      <c r="HS848"/>
      <c r="HT848"/>
      <c r="HU848"/>
      <c r="HV848"/>
      <c r="HW848"/>
      <c r="HX848"/>
      <c r="HY848"/>
      <c r="HZ848"/>
      <c r="IA848"/>
      <c r="IB848"/>
      <c r="IC848"/>
      <c r="ID848"/>
      <c r="IE848"/>
      <c r="IF848"/>
      <c r="IG848"/>
      <c r="IH848"/>
      <c r="II848"/>
      <c r="IJ848"/>
      <c r="IK848"/>
      <c r="IL848"/>
      <c r="IM848"/>
      <c r="IN848"/>
      <c r="IO848"/>
      <c r="IP848"/>
      <c r="IQ848"/>
    </row>
    <row r="849" spans="1:252" ht="27" customHeight="1" x14ac:dyDescent="0.2">
      <c r="A849" s="739"/>
      <c r="B849" s="813" t="s">
        <v>1107</v>
      </c>
      <c r="C849" s="707">
        <v>0</v>
      </c>
      <c r="D849" s="707">
        <v>0</v>
      </c>
      <c r="E849" s="707"/>
      <c r="F849" s="707"/>
      <c r="G849" s="1243"/>
      <c r="H849" s="1248"/>
      <c r="I849" s="1258"/>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c r="EF849"/>
      <c r="EG849"/>
      <c r="EH849"/>
      <c r="EI849"/>
      <c r="EJ849"/>
      <c r="EK849"/>
      <c r="EL849"/>
      <c r="EM849"/>
      <c r="EN849"/>
      <c r="EO849"/>
      <c r="EP849"/>
      <c r="EQ849"/>
      <c r="ER849"/>
      <c r="ES849"/>
      <c r="ET849"/>
      <c r="EU849"/>
      <c r="EV849"/>
      <c r="EW849"/>
      <c r="EX849"/>
      <c r="EY849"/>
      <c r="EZ849"/>
      <c r="FA849"/>
      <c r="FB849"/>
      <c r="FC849"/>
      <c r="FD849"/>
      <c r="FE849"/>
      <c r="FF849"/>
      <c r="FG849"/>
      <c r="FH849"/>
      <c r="FI849"/>
      <c r="FJ849"/>
      <c r="FK849"/>
      <c r="FL849"/>
      <c r="FM849"/>
      <c r="FN849"/>
      <c r="FO849"/>
      <c r="FP849"/>
      <c r="FQ849"/>
      <c r="FR849"/>
      <c r="FS849"/>
      <c r="FT849"/>
      <c r="FU849"/>
      <c r="FV849"/>
      <c r="FW849"/>
      <c r="FX849"/>
      <c r="FY849"/>
      <c r="FZ849"/>
      <c r="GA849"/>
      <c r="GB849"/>
      <c r="GC849"/>
      <c r="GD849"/>
      <c r="GE849"/>
      <c r="GF849"/>
      <c r="GG849"/>
      <c r="GH849"/>
      <c r="GI849"/>
      <c r="GJ849"/>
      <c r="GK849"/>
      <c r="GL849"/>
      <c r="GM849"/>
      <c r="GN849"/>
      <c r="GO849"/>
      <c r="GP849"/>
      <c r="GQ849"/>
      <c r="GR849"/>
      <c r="GS849"/>
      <c r="GT849"/>
      <c r="GU849"/>
      <c r="GV849"/>
      <c r="GW849"/>
      <c r="GX849"/>
      <c r="GY849"/>
      <c r="GZ849"/>
      <c r="HA849"/>
      <c r="HB849"/>
      <c r="HC849"/>
      <c r="HD849"/>
      <c r="HE849"/>
      <c r="HF849"/>
      <c r="HG849"/>
      <c r="HH849"/>
      <c r="HI849"/>
      <c r="HJ849"/>
      <c r="HK849"/>
      <c r="HL849"/>
      <c r="HM849"/>
      <c r="HN849"/>
      <c r="HO849"/>
      <c r="HP849"/>
      <c r="HQ849"/>
      <c r="HR849"/>
      <c r="HS849"/>
      <c r="HT849"/>
      <c r="HU849"/>
      <c r="HV849"/>
      <c r="HW849"/>
      <c r="HX849"/>
      <c r="HY849"/>
      <c r="HZ849"/>
      <c r="IA849"/>
      <c r="IB849"/>
      <c r="IC849"/>
      <c r="ID849"/>
      <c r="IE849"/>
      <c r="IF849"/>
      <c r="IG849"/>
      <c r="IH849"/>
      <c r="II849"/>
      <c r="IJ849"/>
      <c r="IK849"/>
      <c r="IL849"/>
      <c r="IM849"/>
      <c r="IN849"/>
      <c r="IO849"/>
      <c r="IP849"/>
      <c r="IQ849"/>
    </row>
    <row r="850" spans="1:252" ht="27" customHeight="1" x14ac:dyDescent="0.2">
      <c r="A850" s="739"/>
      <c r="B850" s="1078" t="s">
        <v>1431</v>
      </c>
      <c r="C850" s="983">
        <v>790000</v>
      </c>
      <c r="D850" s="983">
        <v>790000</v>
      </c>
      <c r="E850" s="707"/>
      <c r="F850" s="707"/>
      <c r="G850" s="1243"/>
      <c r="H850" s="1248"/>
      <c r="I850" s="1258"/>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c r="DU850"/>
      <c r="DV850"/>
      <c r="DW850"/>
      <c r="DX850"/>
      <c r="DY850"/>
      <c r="DZ850"/>
      <c r="EA850"/>
      <c r="EB850"/>
      <c r="EC850"/>
      <c r="ED850"/>
      <c r="EE850"/>
      <c r="EF850"/>
      <c r="EG850"/>
      <c r="EH850"/>
      <c r="EI850"/>
      <c r="EJ850"/>
      <c r="EK850"/>
      <c r="EL850"/>
      <c r="EM850"/>
      <c r="EN850"/>
      <c r="EO850"/>
      <c r="EP850"/>
      <c r="EQ850"/>
      <c r="ER850"/>
      <c r="ES850"/>
      <c r="ET850"/>
      <c r="EU850"/>
      <c r="EV850"/>
      <c r="EW850"/>
      <c r="EX850"/>
      <c r="EY850"/>
      <c r="EZ850"/>
      <c r="FA850"/>
      <c r="FB850"/>
      <c r="FC850"/>
      <c r="FD850"/>
      <c r="FE850"/>
      <c r="FF850"/>
      <c r="FG850"/>
      <c r="FH850"/>
      <c r="FI850"/>
      <c r="FJ850"/>
      <c r="FK850"/>
      <c r="FL850"/>
      <c r="FM850"/>
      <c r="FN850"/>
      <c r="FO850"/>
      <c r="FP850"/>
      <c r="FQ850"/>
      <c r="FR850"/>
      <c r="FS850"/>
      <c r="FT850"/>
      <c r="FU850"/>
      <c r="FV850"/>
      <c r="FW850"/>
      <c r="FX850"/>
      <c r="FY850"/>
      <c r="FZ850"/>
      <c r="GA850"/>
      <c r="GB850"/>
      <c r="GC850"/>
      <c r="GD850"/>
      <c r="GE850"/>
      <c r="GF850"/>
      <c r="GG850"/>
      <c r="GH850"/>
      <c r="GI850"/>
      <c r="GJ850"/>
      <c r="GK850"/>
      <c r="GL850"/>
      <c r="GM850"/>
      <c r="GN850"/>
      <c r="GO850"/>
      <c r="GP850"/>
      <c r="GQ850"/>
      <c r="GR850"/>
      <c r="GS850"/>
      <c r="GT850"/>
      <c r="GU850"/>
      <c r="GV850"/>
      <c r="GW850"/>
      <c r="GX850"/>
      <c r="GY850"/>
      <c r="GZ850"/>
      <c r="HA850"/>
      <c r="HB850"/>
      <c r="HC850"/>
      <c r="HD850"/>
      <c r="HE850"/>
      <c r="HF850"/>
      <c r="HG850"/>
      <c r="HH850"/>
      <c r="HI850"/>
      <c r="HJ850"/>
      <c r="HK850"/>
      <c r="HL850"/>
      <c r="HM850"/>
      <c r="HN850"/>
      <c r="HO850"/>
      <c r="HP850"/>
      <c r="HQ850"/>
      <c r="HR850"/>
      <c r="HS850"/>
      <c r="HT850"/>
      <c r="HU850"/>
      <c r="HV850"/>
      <c r="HW850"/>
      <c r="HX850"/>
      <c r="HY850"/>
      <c r="HZ850"/>
      <c r="IA850"/>
      <c r="IB850"/>
      <c r="IC850"/>
      <c r="ID850"/>
      <c r="IE850"/>
      <c r="IF850"/>
      <c r="IG850"/>
      <c r="IH850"/>
      <c r="II850"/>
      <c r="IJ850"/>
      <c r="IK850"/>
      <c r="IL850"/>
      <c r="IM850"/>
      <c r="IN850"/>
      <c r="IO850"/>
      <c r="IP850"/>
      <c r="IQ850"/>
    </row>
    <row r="851" spans="1:252" ht="27" customHeight="1" x14ac:dyDescent="0.2">
      <c r="A851" s="739"/>
      <c r="B851" s="1078" t="s">
        <v>1432</v>
      </c>
      <c r="C851" s="983">
        <v>0</v>
      </c>
      <c r="D851" s="983">
        <v>0</v>
      </c>
      <c r="E851" s="821"/>
      <c r="F851" s="821"/>
      <c r="G851" s="1364"/>
      <c r="H851" s="1365"/>
      <c r="I851" s="136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c r="DT851"/>
      <c r="DU851"/>
      <c r="DV851"/>
      <c r="DW851"/>
      <c r="DX851"/>
      <c r="DY851"/>
      <c r="DZ851"/>
      <c r="EA851"/>
      <c r="EB851"/>
      <c r="EC851"/>
      <c r="ED851"/>
      <c r="EE851"/>
      <c r="EF851"/>
      <c r="EG851"/>
      <c r="EH851"/>
      <c r="EI851"/>
      <c r="EJ851"/>
      <c r="EK851"/>
      <c r="EL851"/>
      <c r="EM851"/>
      <c r="EN851"/>
      <c r="EO851"/>
      <c r="EP851"/>
      <c r="EQ851"/>
      <c r="ER851"/>
      <c r="ES851"/>
      <c r="ET851"/>
      <c r="EU851"/>
      <c r="EV851"/>
      <c r="EW851"/>
      <c r="EX851"/>
      <c r="EY851"/>
      <c r="EZ851"/>
      <c r="FA851"/>
      <c r="FB851"/>
      <c r="FC851"/>
      <c r="FD851"/>
      <c r="FE851"/>
      <c r="FF851"/>
      <c r="FG851"/>
      <c r="FH851"/>
      <c r="FI851"/>
      <c r="FJ851"/>
      <c r="FK851"/>
      <c r="FL851"/>
      <c r="FM851"/>
      <c r="FN851"/>
      <c r="FO851"/>
      <c r="FP851"/>
      <c r="FQ851"/>
      <c r="FR851"/>
      <c r="FS851"/>
      <c r="FT851"/>
      <c r="FU851"/>
      <c r="FV851"/>
      <c r="FW851"/>
      <c r="FX851"/>
      <c r="FY851"/>
      <c r="FZ851"/>
      <c r="GA851"/>
      <c r="GB851"/>
      <c r="GC851"/>
      <c r="GD851"/>
      <c r="GE851"/>
      <c r="GF851"/>
      <c r="GG851"/>
      <c r="GH851"/>
      <c r="GI851"/>
      <c r="GJ851"/>
      <c r="GK851"/>
      <c r="GL851"/>
      <c r="GM851"/>
      <c r="GN851"/>
      <c r="GO851"/>
      <c r="GP851"/>
      <c r="GQ851"/>
      <c r="GR851"/>
      <c r="GS851"/>
      <c r="GT851"/>
      <c r="GU851"/>
      <c r="GV851"/>
      <c r="GW851"/>
      <c r="GX851"/>
      <c r="GY851"/>
      <c r="GZ851"/>
      <c r="HA851"/>
      <c r="HB851"/>
      <c r="HC851"/>
      <c r="HD851"/>
      <c r="HE851"/>
      <c r="HF851"/>
      <c r="HG851"/>
      <c r="HH851"/>
      <c r="HI851"/>
      <c r="HJ851"/>
      <c r="HK851"/>
      <c r="HL851"/>
      <c r="HM851"/>
      <c r="HN851"/>
      <c r="HO851"/>
      <c r="HP851"/>
      <c r="HQ851"/>
      <c r="HR851"/>
      <c r="HS851"/>
      <c r="HT851"/>
      <c r="HU851"/>
      <c r="HV851"/>
      <c r="HW851"/>
      <c r="HX851"/>
      <c r="HY851"/>
      <c r="HZ851"/>
      <c r="IA851"/>
      <c r="IB851"/>
      <c r="IC851"/>
      <c r="ID851"/>
      <c r="IE851"/>
      <c r="IF851"/>
      <c r="IG851"/>
      <c r="IH851"/>
      <c r="II851"/>
      <c r="IJ851"/>
      <c r="IK851"/>
      <c r="IL851"/>
      <c r="IM851"/>
      <c r="IN851"/>
      <c r="IO851"/>
      <c r="IP851"/>
      <c r="IQ851"/>
    </row>
    <row r="852" spans="1:252" s="696" customFormat="1" ht="27" customHeight="1" x14ac:dyDescent="0.2">
      <c r="A852" s="739"/>
      <c r="B852" s="1079" t="s">
        <v>829</v>
      </c>
      <c r="C852" s="1080">
        <f t="shared" ref="C852:D852" si="102">SUM(C853:C859)</f>
        <v>150000</v>
      </c>
      <c r="D852" s="1080">
        <f t="shared" si="102"/>
        <v>150000</v>
      </c>
      <c r="E852" s="707"/>
      <c r="F852" s="707"/>
      <c r="G852" s="1243"/>
      <c r="H852" s="1248"/>
      <c r="I852" s="1258"/>
      <c r="IR852" s="697"/>
    </row>
    <row r="853" spans="1:252" ht="27" customHeight="1" x14ac:dyDescent="0.2">
      <c r="A853" s="739"/>
      <c r="B853" s="970" t="s">
        <v>1108</v>
      </c>
      <c r="C853" s="983">
        <v>150000</v>
      </c>
      <c r="D853" s="983">
        <v>150000</v>
      </c>
      <c r="E853" s="709"/>
      <c r="F853" s="709"/>
      <c r="G853" s="1243"/>
      <c r="H853" s="1248"/>
      <c r="I853" s="1258"/>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c r="DU853"/>
      <c r="DV853"/>
      <c r="DW853"/>
      <c r="DX853"/>
      <c r="DY853"/>
      <c r="DZ853"/>
      <c r="EA853"/>
      <c r="EB853"/>
      <c r="EC853"/>
      <c r="ED853"/>
      <c r="EE853"/>
      <c r="EF853"/>
      <c r="EG853"/>
      <c r="EH853"/>
      <c r="EI853"/>
      <c r="EJ853"/>
      <c r="EK853"/>
      <c r="EL853"/>
      <c r="EM853"/>
      <c r="EN853"/>
      <c r="EO853"/>
      <c r="EP853"/>
      <c r="EQ853"/>
      <c r="ER853"/>
      <c r="ES853"/>
      <c r="ET853"/>
      <c r="EU853"/>
      <c r="EV853"/>
      <c r="EW853"/>
      <c r="EX853"/>
      <c r="EY853"/>
      <c r="EZ853"/>
      <c r="FA853"/>
      <c r="FB853"/>
      <c r="FC853"/>
      <c r="FD853"/>
      <c r="FE853"/>
      <c r="FF853"/>
      <c r="FG853"/>
      <c r="FH853"/>
      <c r="FI853"/>
      <c r="FJ853"/>
      <c r="FK853"/>
      <c r="FL853"/>
      <c r="FM853"/>
      <c r="FN853"/>
      <c r="FO853"/>
      <c r="FP853"/>
      <c r="FQ853"/>
      <c r="FR853"/>
      <c r="FS853"/>
      <c r="FT853"/>
      <c r="FU853"/>
      <c r="FV853"/>
      <c r="FW853"/>
      <c r="FX853"/>
      <c r="FY853"/>
      <c r="FZ853"/>
      <c r="GA853"/>
      <c r="GB853"/>
      <c r="GC853"/>
      <c r="GD853"/>
      <c r="GE853"/>
      <c r="GF853"/>
      <c r="GG853"/>
      <c r="GH853"/>
      <c r="GI853"/>
      <c r="GJ853"/>
      <c r="GK853"/>
      <c r="GL853"/>
      <c r="GM853"/>
      <c r="GN853"/>
      <c r="GO853"/>
      <c r="GP853"/>
      <c r="GQ853"/>
      <c r="GR853"/>
      <c r="GS853"/>
      <c r="GT853"/>
      <c r="GU853"/>
      <c r="GV853"/>
      <c r="GW853"/>
      <c r="GX853"/>
      <c r="GY853"/>
      <c r="GZ853"/>
      <c r="HA853"/>
      <c r="HB853"/>
      <c r="HC853"/>
      <c r="HD853"/>
      <c r="HE853"/>
      <c r="HF853"/>
      <c r="HG853"/>
      <c r="HH853"/>
      <c r="HI853"/>
      <c r="HJ853"/>
      <c r="HK853"/>
      <c r="HL853"/>
      <c r="HM853"/>
      <c r="HN853"/>
      <c r="HO853"/>
      <c r="HP853"/>
      <c r="HQ853"/>
      <c r="HR853"/>
      <c r="HS853"/>
      <c r="HT853"/>
      <c r="HU853"/>
      <c r="HV853"/>
      <c r="HW853"/>
      <c r="HX853"/>
      <c r="HY853"/>
      <c r="HZ853"/>
      <c r="IA853"/>
      <c r="IB853"/>
      <c r="IC853"/>
      <c r="ID853"/>
      <c r="IE853"/>
      <c r="IF853"/>
      <c r="IG853"/>
      <c r="IH853"/>
      <c r="II853"/>
      <c r="IJ853"/>
      <c r="IK853"/>
      <c r="IL853"/>
      <c r="IM853"/>
      <c r="IN853"/>
      <c r="IO853"/>
      <c r="IP853"/>
      <c r="IQ853"/>
    </row>
    <row r="854" spans="1:252" ht="27" customHeight="1" x14ac:dyDescent="0.2">
      <c r="A854" s="739"/>
      <c r="B854" s="1081" t="s">
        <v>1660</v>
      </c>
      <c r="C854" s="983">
        <v>0</v>
      </c>
      <c r="D854" s="983">
        <v>0</v>
      </c>
      <c r="E854" s="707"/>
      <c r="F854" s="707"/>
      <c r="G854" s="1243"/>
      <c r="H854" s="1248"/>
      <c r="I854" s="1258"/>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c r="DU854"/>
      <c r="DV854"/>
      <c r="DW854"/>
      <c r="DX854"/>
      <c r="DY854"/>
      <c r="DZ854"/>
      <c r="EA854"/>
      <c r="EB854"/>
      <c r="EC854"/>
      <c r="ED854"/>
      <c r="EE854"/>
      <c r="EF854"/>
      <c r="EG854"/>
      <c r="EH854"/>
      <c r="EI854"/>
      <c r="EJ854"/>
      <c r="EK854"/>
      <c r="EL854"/>
      <c r="EM854"/>
      <c r="EN854"/>
      <c r="EO854"/>
      <c r="EP854"/>
      <c r="EQ854"/>
      <c r="ER854"/>
      <c r="ES854"/>
      <c r="ET854"/>
      <c r="EU854"/>
      <c r="EV854"/>
      <c r="EW854"/>
      <c r="EX854"/>
      <c r="EY854"/>
      <c r="EZ854"/>
      <c r="FA854"/>
      <c r="FB854"/>
      <c r="FC854"/>
      <c r="FD854"/>
      <c r="FE854"/>
      <c r="FF854"/>
      <c r="FG854"/>
      <c r="FH854"/>
      <c r="FI854"/>
      <c r="FJ854"/>
      <c r="FK854"/>
      <c r="FL854"/>
      <c r="FM854"/>
      <c r="FN854"/>
      <c r="FO854"/>
      <c r="FP854"/>
      <c r="FQ854"/>
      <c r="FR854"/>
      <c r="FS854"/>
      <c r="FT854"/>
      <c r="FU854"/>
      <c r="FV854"/>
      <c r="FW854"/>
      <c r="FX854"/>
      <c r="FY854"/>
      <c r="FZ854"/>
      <c r="GA854"/>
      <c r="GB854"/>
      <c r="GC854"/>
      <c r="GD854"/>
      <c r="GE854"/>
      <c r="GF854"/>
      <c r="GG854"/>
      <c r="GH854"/>
      <c r="GI854"/>
      <c r="GJ854"/>
      <c r="GK854"/>
      <c r="GL854"/>
      <c r="GM854"/>
      <c r="GN854"/>
      <c r="GO854"/>
      <c r="GP854"/>
      <c r="GQ854"/>
      <c r="GR854"/>
      <c r="GS854"/>
      <c r="GT854"/>
      <c r="GU854"/>
      <c r="GV854"/>
      <c r="GW854"/>
      <c r="GX854"/>
      <c r="GY854"/>
      <c r="GZ854"/>
      <c r="HA854"/>
      <c r="HB854"/>
      <c r="HC854"/>
      <c r="HD854"/>
      <c r="HE854"/>
      <c r="HF854"/>
      <c r="HG854"/>
      <c r="HH854"/>
      <c r="HI854"/>
      <c r="HJ854"/>
      <c r="HK854"/>
      <c r="HL854"/>
      <c r="HM854"/>
      <c r="HN854"/>
      <c r="HO854"/>
      <c r="HP854"/>
      <c r="HQ854"/>
      <c r="HR854"/>
      <c r="HS854"/>
      <c r="HT854"/>
      <c r="HU854"/>
      <c r="HV854"/>
      <c r="HW854"/>
      <c r="HX854"/>
      <c r="HY854"/>
      <c r="HZ854"/>
      <c r="IA854"/>
      <c r="IB854"/>
      <c r="IC854"/>
      <c r="ID854"/>
      <c r="IE854"/>
      <c r="IF854"/>
      <c r="IG854"/>
      <c r="IH854"/>
      <c r="II854"/>
      <c r="IJ854"/>
      <c r="IK854"/>
      <c r="IL854"/>
      <c r="IM854"/>
      <c r="IN854"/>
      <c r="IO854"/>
      <c r="IP854"/>
      <c r="IQ854"/>
    </row>
    <row r="855" spans="1:252" ht="27" customHeight="1" x14ac:dyDescent="0.2">
      <c r="A855" s="739"/>
      <c r="B855" s="1081" t="s">
        <v>1109</v>
      </c>
      <c r="C855" s="983">
        <v>0</v>
      </c>
      <c r="D855" s="983">
        <v>0</v>
      </c>
      <c r="E855" s="707"/>
      <c r="F855" s="707"/>
      <c r="G855" s="1243"/>
      <c r="H855" s="1248"/>
      <c r="I855" s="1258"/>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c r="EF855"/>
      <c r="EG855"/>
      <c r="EH855"/>
      <c r="EI855"/>
      <c r="EJ855"/>
      <c r="EK855"/>
      <c r="EL855"/>
      <c r="EM855"/>
      <c r="EN855"/>
      <c r="EO855"/>
      <c r="EP855"/>
      <c r="EQ855"/>
      <c r="ER855"/>
      <c r="ES855"/>
      <c r="ET855"/>
      <c r="EU855"/>
      <c r="EV855"/>
      <c r="EW855"/>
      <c r="EX855"/>
      <c r="EY855"/>
      <c r="EZ855"/>
      <c r="FA855"/>
      <c r="FB855"/>
      <c r="FC855"/>
      <c r="FD855"/>
      <c r="FE855"/>
      <c r="FF855"/>
      <c r="FG855"/>
      <c r="FH855"/>
      <c r="FI855"/>
      <c r="FJ855"/>
      <c r="FK855"/>
      <c r="FL855"/>
      <c r="FM855"/>
      <c r="FN855"/>
      <c r="FO855"/>
      <c r="FP855"/>
      <c r="FQ855"/>
      <c r="FR855"/>
      <c r="FS855"/>
      <c r="FT855"/>
      <c r="FU855"/>
      <c r="FV855"/>
      <c r="FW855"/>
      <c r="FX855"/>
      <c r="FY855"/>
      <c r="FZ855"/>
      <c r="GA855"/>
      <c r="GB855"/>
      <c r="GC855"/>
      <c r="GD855"/>
      <c r="GE855"/>
      <c r="GF855"/>
      <c r="GG855"/>
      <c r="GH855"/>
      <c r="GI855"/>
      <c r="GJ855"/>
      <c r="GK855"/>
      <c r="GL855"/>
      <c r="GM855"/>
      <c r="GN855"/>
      <c r="GO855"/>
      <c r="GP855"/>
      <c r="GQ855"/>
      <c r="GR855"/>
      <c r="GS855"/>
      <c r="GT855"/>
      <c r="GU855"/>
      <c r="GV855"/>
      <c r="GW855"/>
      <c r="GX855"/>
      <c r="GY855"/>
      <c r="GZ855"/>
      <c r="HA855"/>
      <c r="HB855"/>
      <c r="HC855"/>
      <c r="HD855"/>
      <c r="HE855"/>
      <c r="HF855"/>
      <c r="HG855"/>
      <c r="HH855"/>
      <c r="HI855"/>
      <c r="HJ855"/>
      <c r="HK855"/>
      <c r="HL855"/>
      <c r="HM855"/>
      <c r="HN855"/>
      <c r="HO855"/>
      <c r="HP855"/>
      <c r="HQ855"/>
      <c r="HR855"/>
      <c r="HS855"/>
      <c r="HT855"/>
      <c r="HU855"/>
      <c r="HV855"/>
      <c r="HW855"/>
      <c r="HX855"/>
      <c r="HY855"/>
      <c r="HZ855"/>
      <c r="IA855"/>
      <c r="IB855"/>
      <c r="IC855"/>
      <c r="ID855"/>
      <c r="IE855"/>
      <c r="IF855"/>
      <c r="IG855"/>
      <c r="IH855"/>
      <c r="II855"/>
      <c r="IJ855"/>
      <c r="IK855"/>
      <c r="IL855"/>
      <c r="IM855"/>
      <c r="IN855"/>
      <c r="IO855"/>
      <c r="IP855"/>
      <c r="IQ855"/>
    </row>
    <row r="856" spans="1:252" ht="27" customHeight="1" x14ac:dyDescent="0.2">
      <c r="A856" s="739"/>
      <c r="B856" s="1081" t="s">
        <v>1110</v>
      </c>
      <c r="C856" s="983">
        <v>0</v>
      </c>
      <c r="D856" s="983">
        <v>0</v>
      </c>
      <c r="E856" s="707"/>
      <c r="F856" s="707"/>
      <c r="G856" s="1243"/>
      <c r="H856" s="1248"/>
      <c r="I856" s="1258"/>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c r="EF856"/>
      <c r="EG856"/>
      <c r="EH856"/>
      <c r="EI856"/>
      <c r="EJ856"/>
      <c r="EK856"/>
      <c r="EL856"/>
      <c r="EM856"/>
      <c r="EN856"/>
      <c r="EO856"/>
      <c r="EP856"/>
      <c r="EQ856"/>
      <c r="ER856"/>
      <c r="ES856"/>
      <c r="ET856"/>
      <c r="EU856"/>
      <c r="EV856"/>
      <c r="EW856"/>
      <c r="EX856"/>
      <c r="EY856"/>
      <c r="EZ856"/>
      <c r="FA856"/>
      <c r="FB856"/>
      <c r="FC856"/>
      <c r="FD856"/>
      <c r="FE856"/>
      <c r="FF856"/>
      <c r="FG856"/>
      <c r="FH856"/>
      <c r="FI856"/>
      <c r="FJ856"/>
      <c r="FK856"/>
      <c r="FL856"/>
      <c r="FM856"/>
      <c r="FN856"/>
      <c r="FO856"/>
      <c r="FP856"/>
      <c r="FQ856"/>
      <c r="FR856"/>
      <c r="FS856"/>
      <c r="FT856"/>
      <c r="FU856"/>
      <c r="FV856"/>
      <c r="FW856"/>
      <c r="FX856"/>
      <c r="FY856"/>
      <c r="FZ856"/>
      <c r="GA856"/>
      <c r="GB856"/>
      <c r="GC856"/>
      <c r="GD856"/>
      <c r="GE856"/>
      <c r="GF856"/>
      <c r="GG856"/>
      <c r="GH856"/>
      <c r="GI856"/>
      <c r="GJ856"/>
      <c r="GK856"/>
      <c r="GL856"/>
      <c r="GM856"/>
      <c r="GN856"/>
      <c r="GO856"/>
      <c r="GP856"/>
      <c r="GQ856"/>
      <c r="GR856"/>
      <c r="GS856"/>
      <c r="GT856"/>
      <c r="GU856"/>
      <c r="GV856"/>
      <c r="GW856"/>
      <c r="GX856"/>
      <c r="GY856"/>
      <c r="GZ856"/>
      <c r="HA856"/>
      <c r="HB856"/>
      <c r="HC856"/>
      <c r="HD856"/>
      <c r="HE856"/>
      <c r="HF856"/>
      <c r="HG856"/>
      <c r="HH856"/>
      <c r="HI856"/>
      <c r="HJ856"/>
      <c r="HK856"/>
      <c r="HL856"/>
      <c r="HM856"/>
      <c r="HN856"/>
      <c r="HO856"/>
      <c r="HP856"/>
      <c r="HQ856"/>
      <c r="HR856"/>
      <c r="HS856"/>
      <c r="HT856"/>
      <c r="HU856"/>
      <c r="HV856"/>
      <c r="HW856"/>
      <c r="HX856"/>
      <c r="HY856"/>
      <c r="HZ856"/>
      <c r="IA856"/>
      <c r="IB856"/>
      <c r="IC856"/>
      <c r="ID856"/>
      <c r="IE856"/>
      <c r="IF856"/>
      <c r="IG856"/>
      <c r="IH856"/>
      <c r="II856"/>
      <c r="IJ856"/>
      <c r="IK856"/>
      <c r="IL856"/>
      <c r="IM856"/>
      <c r="IN856"/>
      <c r="IO856"/>
      <c r="IP856"/>
      <c r="IQ856"/>
    </row>
    <row r="857" spans="1:252" ht="27" customHeight="1" x14ac:dyDescent="0.2">
      <c r="A857" s="739"/>
      <c r="B857" s="1081" t="s">
        <v>1111</v>
      </c>
      <c r="C857" s="983">
        <v>0</v>
      </c>
      <c r="D857" s="983">
        <v>0</v>
      </c>
      <c r="E857" s="707"/>
      <c r="F857" s="707"/>
      <c r="G857" s="1243"/>
      <c r="H857" s="1248"/>
      <c r="I857" s="1258"/>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c r="DU857"/>
      <c r="DV857"/>
      <c r="DW857"/>
      <c r="DX857"/>
      <c r="DY857"/>
      <c r="DZ857"/>
      <c r="EA857"/>
      <c r="EB857"/>
      <c r="EC857"/>
      <c r="ED857"/>
      <c r="EE857"/>
      <c r="EF857"/>
      <c r="EG857"/>
      <c r="EH857"/>
      <c r="EI857"/>
      <c r="EJ857"/>
      <c r="EK857"/>
      <c r="EL857"/>
      <c r="EM857"/>
      <c r="EN857"/>
      <c r="EO857"/>
      <c r="EP857"/>
      <c r="EQ857"/>
      <c r="ER857"/>
      <c r="ES857"/>
      <c r="ET857"/>
      <c r="EU857"/>
      <c r="EV857"/>
      <c r="EW857"/>
      <c r="EX857"/>
      <c r="EY857"/>
      <c r="EZ857"/>
      <c r="FA857"/>
      <c r="FB857"/>
      <c r="FC857"/>
      <c r="FD857"/>
      <c r="FE857"/>
      <c r="FF857"/>
      <c r="FG857"/>
      <c r="FH857"/>
      <c r="FI857"/>
      <c r="FJ857"/>
      <c r="FK857"/>
      <c r="FL857"/>
      <c r="FM857"/>
      <c r="FN857"/>
      <c r="FO857"/>
      <c r="FP857"/>
      <c r="FQ857"/>
      <c r="FR857"/>
      <c r="FS857"/>
      <c r="FT857"/>
      <c r="FU857"/>
      <c r="FV857"/>
      <c r="FW857"/>
      <c r="FX857"/>
      <c r="FY857"/>
      <c r="FZ857"/>
      <c r="GA857"/>
      <c r="GB857"/>
      <c r="GC857"/>
      <c r="GD857"/>
      <c r="GE857"/>
      <c r="GF857"/>
      <c r="GG857"/>
      <c r="GH857"/>
      <c r="GI857"/>
      <c r="GJ857"/>
      <c r="GK857"/>
      <c r="GL857"/>
      <c r="GM857"/>
      <c r="GN857"/>
      <c r="GO857"/>
      <c r="GP857"/>
      <c r="GQ857"/>
      <c r="GR857"/>
      <c r="GS857"/>
      <c r="GT857"/>
      <c r="GU857"/>
      <c r="GV857"/>
      <c r="GW857"/>
      <c r="GX857"/>
      <c r="GY857"/>
      <c r="GZ857"/>
      <c r="HA857"/>
      <c r="HB857"/>
      <c r="HC857"/>
      <c r="HD857"/>
      <c r="HE857"/>
      <c r="HF857"/>
      <c r="HG857"/>
      <c r="HH857"/>
      <c r="HI857"/>
      <c r="HJ857"/>
      <c r="HK857"/>
      <c r="HL857"/>
      <c r="HM857"/>
      <c r="HN857"/>
      <c r="HO857"/>
      <c r="HP857"/>
      <c r="HQ857"/>
      <c r="HR857"/>
      <c r="HS857"/>
      <c r="HT857"/>
      <c r="HU857"/>
      <c r="HV857"/>
      <c r="HW857"/>
      <c r="HX857"/>
      <c r="HY857"/>
      <c r="HZ857"/>
      <c r="IA857"/>
      <c r="IB857"/>
      <c r="IC857"/>
      <c r="ID857"/>
      <c r="IE857"/>
      <c r="IF857"/>
      <c r="IG857"/>
      <c r="IH857"/>
      <c r="II857"/>
      <c r="IJ857"/>
      <c r="IK857"/>
      <c r="IL857"/>
      <c r="IM857"/>
      <c r="IN857"/>
      <c r="IO857"/>
      <c r="IP857"/>
      <c r="IQ857"/>
    </row>
    <row r="858" spans="1:252" ht="27" customHeight="1" x14ac:dyDescent="0.2">
      <c r="A858" s="739"/>
      <c r="B858" s="1081" t="s">
        <v>1112</v>
      </c>
      <c r="C858" s="983">
        <v>0</v>
      </c>
      <c r="D858" s="983">
        <v>0</v>
      </c>
      <c r="E858" s="707"/>
      <c r="F858" s="707"/>
      <c r="G858" s="1243"/>
      <c r="H858" s="1248"/>
      <c r="I858" s="12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c r="DU858"/>
      <c r="DV858"/>
      <c r="DW858"/>
      <c r="DX858"/>
      <c r="DY858"/>
      <c r="DZ858"/>
      <c r="EA858"/>
      <c r="EB858"/>
      <c r="EC858"/>
      <c r="ED858"/>
      <c r="EE858"/>
      <c r="EF858"/>
      <c r="EG858"/>
      <c r="EH858"/>
      <c r="EI858"/>
      <c r="EJ858"/>
      <c r="EK858"/>
      <c r="EL858"/>
      <c r="EM858"/>
      <c r="EN858"/>
      <c r="EO858"/>
      <c r="EP858"/>
      <c r="EQ858"/>
      <c r="ER858"/>
      <c r="ES858"/>
      <c r="ET858"/>
      <c r="EU858"/>
      <c r="EV858"/>
      <c r="EW858"/>
      <c r="EX858"/>
      <c r="EY858"/>
      <c r="EZ858"/>
      <c r="FA858"/>
      <c r="FB858"/>
      <c r="FC858"/>
      <c r="FD858"/>
      <c r="FE858"/>
      <c r="FF858"/>
      <c r="FG858"/>
      <c r="FH858"/>
      <c r="FI858"/>
      <c r="FJ858"/>
      <c r="FK858"/>
      <c r="FL858"/>
      <c r="FM858"/>
      <c r="FN858"/>
      <c r="FO858"/>
      <c r="FP858"/>
      <c r="FQ858"/>
      <c r="FR858"/>
      <c r="FS858"/>
      <c r="FT858"/>
      <c r="FU858"/>
      <c r="FV858"/>
      <c r="FW858"/>
      <c r="FX858"/>
      <c r="FY858"/>
      <c r="FZ858"/>
      <c r="GA858"/>
      <c r="GB858"/>
      <c r="GC858"/>
      <c r="GD858"/>
      <c r="GE858"/>
      <c r="GF858"/>
      <c r="GG858"/>
      <c r="GH858"/>
      <c r="GI858"/>
      <c r="GJ858"/>
      <c r="GK858"/>
      <c r="GL858"/>
      <c r="GM858"/>
      <c r="GN858"/>
      <c r="GO858"/>
      <c r="GP858"/>
      <c r="GQ858"/>
      <c r="GR858"/>
      <c r="GS858"/>
      <c r="GT858"/>
      <c r="GU858"/>
      <c r="GV858"/>
      <c r="GW858"/>
      <c r="GX858"/>
      <c r="GY858"/>
      <c r="GZ858"/>
      <c r="HA858"/>
      <c r="HB858"/>
      <c r="HC858"/>
      <c r="HD858"/>
      <c r="HE858"/>
      <c r="HF858"/>
      <c r="HG858"/>
      <c r="HH858"/>
      <c r="HI858"/>
      <c r="HJ858"/>
      <c r="HK858"/>
      <c r="HL858"/>
      <c r="HM858"/>
      <c r="HN858"/>
      <c r="HO858"/>
      <c r="HP858"/>
      <c r="HQ858"/>
      <c r="HR858"/>
      <c r="HS858"/>
      <c r="HT858"/>
      <c r="HU858"/>
      <c r="HV858"/>
      <c r="HW858"/>
      <c r="HX858"/>
      <c r="HY858"/>
      <c r="HZ858"/>
      <c r="IA858"/>
      <c r="IB858"/>
      <c r="IC858"/>
      <c r="ID858"/>
      <c r="IE858"/>
      <c r="IF858"/>
      <c r="IG858"/>
      <c r="IH858"/>
      <c r="II858"/>
      <c r="IJ858"/>
      <c r="IK858"/>
      <c r="IL858"/>
      <c r="IM858"/>
      <c r="IN858"/>
      <c r="IO858"/>
      <c r="IP858"/>
      <c r="IQ858"/>
    </row>
    <row r="859" spans="1:252" ht="27" customHeight="1" x14ac:dyDescent="0.2">
      <c r="A859" s="739"/>
      <c r="B859" s="1081" t="s">
        <v>1113</v>
      </c>
      <c r="C859" s="983">
        <v>0</v>
      </c>
      <c r="D859" s="983">
        <v>0</v>
      </c>
      <c r="E859" s="740"/>
      <c r="F859" s="740"/>
      <c r="G859" s="1364"/>
      <c r="H859" s="1365"/>
      <c r="I859" s="136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c r="DU859"/>
      <c r="DV859"/>
      <c r="DW859"/>
      <c r="DX859"/>
      <c r="DY859"/>
      <c r="DZ859"/>
      <c r="EA859"/>
      <c r="EB859"/>
      <c r="EC859"/>
      <c r="ED859"/>
      <c r="EE859"/>
      <c r="EF859"/>
      <c r="EG859"/>
      <c r="EH859"/>
      <c r="EI859"/>
      <c r="EJ859"/>
      <c r="EK859"/>
      <c r="EL859"/>
      <c r="EM859"/>
      <c r="EN859"/>
      <c r="EO859"/>
      <c r="EP859"/>
      <c r="EQ859"/>
      <c r="ER859"/>
      <c r="ES859"/>
      <c r="ET859"/>
      <c r="EU859"/>
      <c r="EV859"/>
      <c r="EW859"/>
      <c r="EX859"/>
      <c r="EY859"/>
      <c r="EZ859"/>
      <c r="FA859"/>
      <c r="FB859"/>
      <c r="FC859"/>
      <c r="FD859"/>
      <c r="FE859"/>
      <c r="FF859"/>
      <c r="FG859"/>
      <c r="FH859"/>
      <c r="FI859"/>
      <c r="FJ859"/>
      <c r="FK859"/>
      <c r="FL859"/>
      <c r="FM859"/>
      <c r="FN859"/>
      <c r="FO859"/>
      <c r="FP859"/>
      <c r="FQ859"/>
      <c r="FR859"/>
      <c r="FS859"/>
      <c r="FT859"/>
      <c r="FU859"/>
      <c r="FV859"/>
      <c r="FW859"/>
      <c r="FX859"/>
      <c r="FY859"/>
      <c r="FZ859"/>
      <c r="GA859"/>
      <c r="GB859"/>
      <c r="GC859"/>
      <c r="GD859"/>
      <c r="GE859"/>
      <c r="GF859"/>
      <c r="GG859"/>
      <c r="GH859"/>
      <c r="GI859"/>
      <c r="GJ859"/>
      <c r="GK859"/>
      <c r="GL859"/>
      <c r="GM859"/>
      <c r="GN859"/>
      <c r="GO859"/>
      <c r="GP859"/>
      <c r="GQ859"/>
      <c r="GR859"/>
      <c r="GS859"/>
      <c r="GT859"/>
      <c r="GU859"/>
      <c r="GV859"/>
      <c r="GW859"/>
      <c r="GX859"/>
      <c r="GY859"/>
      <c r="GZ859"/>
      <c r="HA859"/>
      <c r="HB859"/>
      <c r="HC859"/>
      <c r="HD859"/>
      <c r="HE859"/>
      <c r="HF859"/>
      <c r="HG859"/>
      <c r="HH859"/>
      <c r="HI859"/>
      <c r="HJ859"/>
      <c r="HK859"/>
      <c r="HL859"/>
      <c r="HM859"/>
      <c r="HN859"/>
      <c r="HO859"/>
      <c r="HP859"/>
      <c r="HQ859"/>
      <c r="HR859"/>
      <c r="HS859"/>
      <c r="HT859"/>
      <c r="HU859"/>
      <c r="HV859"/>
      <c r="HW859"/>
      <c r="HX859"/>
      <c r="HY859"/>
      <c r="HZ859"/>
      <c r="IA859"/>
      <c r="IB859"/>
      <c r="IC859"/>
      <c r="ID859"/>
      <c r="IE859"/>
      <c r="IF859"/>
      <c r="IG859"/>
      <c r="IH859"/>
      <c r="II859"/>
      <c r="IJ859"/>
      <c r="IK859"/>
      <c r="IL859"/>
      <c r="IM859"/>
      <c r="IN859"/>
      <c r="IO859"/>
      <c r="IP859"/>
      <c r="IQ859"/>
    </row>
    <row r="860" spans="1:252" ht="27" customHeight="1" x14ac:dyDescent="0.2">
      <c r="A860" s="739"/>
      <c r="B860" s="1082" t="s">
        <v>819</v>
      </c>
      <c r="C860" s="1083">
        <f t="shared" ref="C860:D860" si="103">SUM(C861:C863)</f>
        <v>34750000</v>
      </c>
      <c r="D860" s="1083">
        <f t="shared" si="103"/>
        <v>34750000</v>
      </c>
      <c r="E860" s="707"/>
      <c r="F860" s="707"/>
      <c r="G860" s="1243"/>
      <c r="H860" s="1248"/>
      <c r="I860" s="1258"/>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c r="DT860"/>
      <c r="DU860"/>
      <c r="DV860"/>
      <c r="DW860"/>
      <c r="DX860"/>
      <c r="DY860"/>
      <c r="DZ860"/>
      <c r="EA860"/>
      <c r="EB860"/>
      <c r="EC860"/>
      <c r="ED860"/>
      <c r="EE860"/>
      <c r="EF860"/>
      <c r="EG860"/>
      <c r="EH860"/>
      <c r="EI860"/>
      <c r="EJ860"/>
      <c r="EK860"/>
      <c r="EL860"/>
      <c r="EM860"/>
      <c r="EN860"/>
      <c r="EO860"/>
      <c r="EP860"/>
      <c r="EQ860"/>
      <c r="ER860"/>
      <c r="ES860"/>
      <c r="ET860"/>
      <c r="EU860"/>
      <c r="EV860"/>
      <c r="EW860"/>
      <c r="EX860"/>
      <c r="EY860"/>
      <c r="EZ860"/>
      <c r="FA860"/>
      <c r="FB860"/>
      <c r="FC860"/>
      <c r="FD860"/>
      <c r="FE860"/>
      <c r="FF860"/>
      <c r="FG860"/>
      <c r="FH860"/>
      <c r="FI860"/>
      <c r="FJ860"/>
      <c r="FK860"/>
      <c r="FL860"/>
      <c r="FM860"/>
      <c r="FN860"/>
      <c r="FO860"/>
      <c r="FP860"/>
      <c r="FQ860"/>
      <c r="FR860"/>
      <c r="FS860"/>
      <c r="FT860"/>
      <c r="FU860"/>
      <c r="FV860"/>
      <c r="FW860"/>
      <c r="FX860"/>
      <c r="FY860"/>
      <c r="FZ860"/>
      <c r="GA860"/>
      <c r="GB860"/>
      <c r="GC860"/>
      <c r="GD860"/>
      <c r="GE860"/>
      <c r="GF860"/>
      <c r="GG860"/>
      <c r="GH860"/>
      <c r="GI860"/>
      <c r="GJ860"/>
      <c r="GK860"/>
      <c r="GL860"/>
      <c r="GM860"/>
      <c r="GN860"/>
      <c r="GO860"/>
      <c r="GP860"/>
      <c r="GQ860"/>
      <c r="GR860"/>
      <c r="GS860"/>
      <c r="GT860"/>
      <c r="GU860"/>
      <c r="GV860"/>
      <c r="GW860"/>
      <c r="GX860"/>
      <c r="GY860"/>
      <c r="GZ860"/>
      <c r="HA860"/>
      <c r="HB860"/>
      <c r="HC860"/>
      <c r="HD860"/>
      <c r="HE860"/>
      <c r="HF860"/>
      <c r="HG860"/>
      <c r="HH860"/>
      <c r="HI860"/>
      <c r="HJ860"/>
      <c r="HK860"/>
      <c r="HL860"/>
      <c r="HM860"/>
      <c r="HN860"/>
      <c r="HO860"/>
      <c r="HP860"/>
      <c r="HQ860"/>
      <c r="HR860"/>
      <c r="HS860"/>
      <c r="HT860"/>
      <c r="HU860"/>
      <c r="HV860"/>
      <c r="HW860"/>
      <c r="HX860"/>
      <c r="HY860"/>
      <c r="HZ860"/>
      <c r="IA860"/>
      <c r="IB860"/>
      <c r="IC860"/>
      <c r="ID860"/>
      <c r="IE860"/>
      <c r="IF860"/>
      <c r="IG860"/>
      <c r="IH860"/>
      <c r="II860"/>
      <c r="IJ860"/>
      <c r="IK860"/>
      <c r="IL860"/>
      <c r="IM860"/>
      <c r="IN860"/>
      <c r="IO860"/>
      <c r="IP860"/>
      <c r="IQ860"/>
    </row>
    <row r="861" spans="1:252" ht="27" customHeight="1" x14ac:dyDescent="0.2">
      <c r="A861" s="739"/>
      <c r="B861" s="970" t="s">
        <v>1433</v>
      </c>
      <c r="C861" s="983">
        <v>34500000</v>
      </c>
      <c r="D861" s="983">
        <f>34500000-25482.15-7793-88036</f>
        <v>34378688.850000001</v>
      </c>
      <c r="E861" s="707"/>
      <c r="F861" s="707"/>
      <c r="G861" s="1243"/>
      <c r="H861" s="1248"/>
      <c r="I861" s="1258"/>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c r="DT861"/>
      <c r="DU861"/>
      <c r="DV861"/>
      <c r="DW861"/>
      <c r="DX861"/>
      <c r="DY861"/>
      <c r="DZ861"/>
      <c r="EA861"/>
      <c r="EB861"/>
      <c r="EC861"/>
      <c r="ED861"/>
      <c r="EE861"/>
      <c r="EF861"/>
      <c r="EG861"/>
      <c r="EH861"/>
      <c r="EI861"/>
      <c r="EJ861"/>
      <c r="EK861"/>
      <c r="EL861"/>
      <c r="EM861"/>
      <c r="EN861"/>
      <c r="EO861"/>
      <c r="EP861"/>
      <c r="EQ861"/>
      <c r="ER861"/>
      <c r="ES861"/>
      <c r="ET861"/>
      <c r="EU861"/>
      <c r="EV861"/>
      <c r="EW861"/>
      <c r="EX861"/>
      <c r="EY861"/>
      <c r="EZ861"/>
      <c r="FA861"/>
      <c r="FB861"/>
      <c r="FC861"/>
      <c r="FD861"/>
      <c r="FE861"/>
      <c r="FF861"/>
      <c r="FG861"/>
      <c r="FH861"/>
      <c r="FI861"/>
      <c r="FJ861"/>
      <c r="FK861"/>
      <c r="FL861"/>
      <c r="FM861"/>
      <c r="FN861"/>
      <c r="FO861"/>
      <c r="FP861"/>
      <c r="FQ861"/>
      <c r="FR861"/>
      <c r="FS861"/>
      <c r="FT861"/>
      <c r="FU861"/>
      <c r="FV861"/>
      <c r="FW861"/>
      <c r="FX861"/>
      <c r="FY861"/>
      <c r="FZ861"/>
      <c r="GA861"/>
      <c r="GB861"/>
      <c r="GC861"/>
      <c r="GD861"/>
      <c r="GE861"/>
      <c r="GF861"/>
      <c r="GG861"/>
      <c r="GH861"/>
      <c r="GI861"/>
      <c r="GJ861"/>
      <c r="GK861"/>
      <c r="GL861"/>
      <c r="GM861"/>
      <c r="GN861"/>
      <c r="GO861"/>
      <c r="GP861"/>
      <c r="GQ861"/>
      <c r="GR861"/>
      <c r="GS861"/>
      <c r="GT861"/>
      <c r="GU861"/>
      <c r="GV861"/>
      <c r="GW861"/>
      <c r="GX861"/>
      <c r="GY861"/>
      <c r="GZ861"/>
      <c r="HA861"/>
      <c r="HB861"/>
      <c r="HC861"/>
      <c r="HD861"/>
      <c r="HE861"/>
      <c r="HF861"/>
      <c r="HG861"/>
      <c r="HH861"/>
      <c r="HI861"/>
      <c r="HJ861"/>
      <c r="HK861"/>
      <c r="HL861"/>
      <c r="HM861"/>
      <c r="HN861"/>
      <c r="HO861"/>
      <c r="HP861"/>
      <c r="HQ861"/>
      <c r="HR861"/>
      <c r="HS861"/>
      <c r="HT861"/>
      <c r="HU861"/>
      <c r="HV861"/>
      <c r="HW861"/>
      <c r="HX861"/>
      <c r="HY861"/>
      <c r="HZ861"/>
      <c r="IA861"/>
      <c r="IB861"/>
      <c r="IC861"/>
      <c r="ID861"/>
      <c r="IE861"/>
      <c r="IF861"/>
      <c r="IG861"/>
      <c r="IH861"/>
      <c r="II861"/>
      <c r="IJ861"/>
      <c r="IK861"/>
      <c r="IL861"/>
      <c r="IM861"/>
      <c r="IN861"/>
      <c r="IO861"/>
      <c r="IP861"/>
      <c r="IQ861"/>
    </row>
    <row r="862" spans="1:252" s="426" customFormat="1" ht="27" customHeight="1" x14ac:dyDescent="0.2">
      <c r="A862" s="739"/>
      <c r="B862" s="1057" t="s">
        <v>1434</v>
      </c>
      <c r="C862" s="983">
        <v>250000</v>
      </c>
      <c r="D862" s="983">
        <f>250000+25482.15+7793+88036</f>
        <v>371311.15</v>
      </c>
      <c r="E862" s="707"/>
      <c r="F862" s="707"/>
      <c r="G862" s="1243"/>
      <c r="H862" s="1248"/>
      <c r="I862" s="1258"/>
      <c r="IR862" s="116"/>
    </row>
    <row r="863" spans="1:252" ht="27" customHeight="1" x14ac:dyDescent="0.2">
      <c r="A863" s="739"/>
      <c r="B863" s="1057" t="s">
        <v>1114</v>
      </c>
      <c r="C863" s="983">
        <v>0</v>
      </c>
      <c r="D863" s="983">
        <v>0</v>
      </c>
      <c r="E863" s="1174"/>
      <c r="F863" s="740"/>
      <c r="G863" s="1361"/>
      <c r="H863" s="1362"/>
      <c r="I863" s="13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c r="DU863"/>
      <c r="DV863"/>
      <c r="DW863"/>
      <c r="DX863"/>
      <c r="DY863"/>
      <c r="DZ863"/>
      <c r="EA863"/>
      <c r="EB863"/>
      <c r="EC863"/>
      <c r="ED863"/>
      <c r="EE863"/>
      <c r="EF863"/>
      <c r="EG863"/>
      <c r="EH863"/>
      <c r="EI863"/>
      <c r="EJ863"/>
      <c r="EK863"/>
      <c r="EL863"/>
      <c r="EM863"/>
      <c r="EN863"/>
      <c r="EO863"/>
      <c r="EP863"/>
      <c r="EQ863"/>
      <c r="ER863"/>
      <c r="ES863"/>
      <c r="ET863"/>
      <c r="EU863"/>
      <c r="EV863"/>
      <c r="EW863"/>
      <c r="EX863"/>
      <c r="EY863"/>
      <c r="EZ863"/>
      <c r="FA863"/>
      <c r="FB863"/>
      <c r="FC863"/>
      <c r="FD863"/>
      <c r="FE863"/>
      <c r="FF863"/>
      <c r="FG863"/>
      <c r="FH863"/>
      <c r="FI863"/>
      <c r="FJ863"/>
      <c r="FK863"/>
      <c r="FL863"/>
      <c r="FM863"/>
      <c r="FN863"/>
      <c r="FO863"/>
      <c r="FP863"/>
      <c r="FQ863"/>
      <c r="FR863"/>
      <c r="FS863"/>
      <c r="FT863"/>
      <c r="FU863"/>
      <c r="FV863"/>
      <c r="FW863"/>
      <c r="FX863"/>
      <c r="FY863"/>
      <c r="FZ863"/>
      <c r="GA863"/>
      <c r="GB863"/>
      <c r="GC863"/>
      <c r="GD863"/>
      <c r="GE863"/>
      <c r="GF863"/>
      <c r="GG863"/>
      <c r="GH863"/>
      <c r="GI863"/>
      <c r="GJ863"/>
      <c r="GK863"/>
      <c r="GL863"/>
      <c r="GM863"/>
      <c r="GN863"/>
      <c r="GO863"/>
      <c r="GP863"/>
      <c r="GQ863"/>
      <c r="GR863"/>
      <c r="GS863"/>
      <c r="GT863"/>
      <c r="GU863"/>
      <c r="GV863"/>
      <c r="GW863"/>
      <c r="GX863"/>
      <c r="GY863"/>
      <c r="GZ863"/>
      <c r="HA863"/>
      <c r="HB863"/>
      <c r="HC863"/>
      <c r="HD863"/>
      <c r="HE863"/>
      <c r="HF863"/>
      <c r="HG863"/>
      <c r="HH863"/>
      <c r="HI863"/>
      <c r="HJ863"/>
      <c r="HK863"/>
      <c r="HL863"/>
      <c r="HM863"/>
      <c r="HN863"/>
      <c r="HO863"/>
      <c r="HP863"/>
      <c r="HQ863"/>
      <c r="HR863"/>
      <c r="HS863"/>
      <c r="HT863"/>
      <c r="HU863"/>
      <c r="HV863"/>
      <c r="HW863"/>
      <c r="HX863"/>
      <c r="HY863"/>
      <c r="HZ863"/>
      <c r="IA863"/>
      <c r="IB863"/>
      <c r="IC863"/>
      <c r="ID863"/>
      <c r="IE863"/>
      <c r="IF863"/>
      <c r="IG863"/>
      <c r="IH863"/>
      <c r="II863"/>
      <c r="IJ863"/>
      <c r="IK863"/>
      <c r="IL863"/>
      <c r="IM863"/>
      <c r="IN863"/>
      <c r="IO863"/>
      <c r="IP863"/>
      <c r="IQ863"/>
    </row>
    <row r="864" spans="1:252" ht="27" customHeight="1" x14ac:dyDescent="0.2">
      <c r="A864" s="739"/>
      <c r="B864" s="1084" t="s">
        <v>1072</v>
      </c>
      <c r="C864" s="862">
        <f t="shared" ref="C864:D864" si="104">C865+C868+C872</f>
        <v>14815000</v>
      </c>
      <c r="D864" s="862">
        <f t="shared" si="104"/>
        <v>14815000</v>
      </c>
      <c r="E864" s="740"/>
      <c r="F864" s="740"/>
      <c r="G864" s="1364"/>
      <c r="H864" s="1365"/>
      <c r="I864" s="136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c r="DT864"/>
      <c r="DU864"/>
      <c r="DV864"/>
      <c r="DW864"/>
      <c r="DX864"/>
      <c r="DY864"/>
      <c r="DZ864"/>
      <c r="EA864"/>
      <c r="EB864"/>
      <c r="EC864"/>
      <c r="ED864"/>
      <c r="EE864"/>
      <c r="EF864"/>
      <c r="EG864"/>
      <c r="EH864"/>
      <c r="EI864"/>
      <c r="EJ864"/>
      <c r="EK864"/>
      <c r="EL864"/>
      <c r="EM864"/>
      <c r="EN864"/>
      <c r="EO864"/>
      <c r="EP864"/>
      <c r="EQ864"/>
      <c r="ER864"/>
      <c r="ES864"/>
      <c r="ET864"/>
      <c r="EU864"/>
      <c r="EV864"/>
      <c r="EW864"/>
      <c r="EX864"/>
      <c r="EY864"/>
      <c r="EZ864"/>
      <c r="FA864"/>
      <c r="FB864"/>
      <c r="FC864"/>
      <c r="FD864"/>
      <c r="FE864"/>
      <c r="FF864"/>
      <c r="FG864"/>
      <c r="FH864"/>
      <c r="FI864"/>
      <c r="FJ864"/>
      <c r="FK864"/>
      <c r="FL864"/>
      <c r="FM864"/>
      <c r="FN864"/>
      <c r="FO864"/>
      <c r="FP864"/>
      <c r="FQ864"/>
      <c r="FR864"/>
      <c r="FS864"/>
      <c r="FT864"/>
      <c r="FU864"/>
      <c r="FV864"/>
      <c r="FW864"/>
      <c r="FX864"/>
      <c r="FY864"/>
      <c r="FZ864"/>
      <c r="GA864"/>
      <c r="GB864"/>
      <c r="GC864"/>
      <c r="GD864"/>
      <c r="GE864"/>
      <c r="GF864"/>
      <c r="GG864"/>
      <c r="GH864"/>
      <c r="GI864"/>
      <c r="GJ864"/>
      <c r="GK864"/>
      <c r="GL864"/>
      <c r="GM864"/>
      <c r="GN864"/>
      <c r="GO864"/>
      <c r="GP864"/>
      <c r="GQ864"/>
      <c r="GR864"/>
      <c r="GS864"/>
      <c r="GT864"/>
      <c r="GU864"/>
      <c r="GV864"/>
      <c r="GW864"/>
      <c r="GX864"/>
      <c r="GY864"/>
      <c r="GZ864"/>
      <c r="HA864"/>
      <c r="HB864"/>
      <c r="HC864"/>
      <c r="HD864"/>
      <c r="HE864"/>
      <c r="HF864"/>
      <c r="HG864"/>
      <c r="HH864"/>
      <c r="HI864"/>
      <c r="HJ864"/>
      <c r="HK864"/>
      <c r="HL864"/>
      <c r="HM864"/>
      <c r="HN864"/>
      <c r="HO864"/>
      <c r="HP864"/>
      <c r="HQ864"/>
      <c r="HR864"/>
      <c r="HS864"/>
      <c r="HT864"/>
      <c r="HU864"/>
      <c r="HV864"/>
      <c r="HW864"/>
      <c r="HX864"/>
      <c r="HY864"/>
      <c r="HZ864"/>
      <c r="IA864"/>
      <c r="IB864"/>
      <c r="IC864"/>
      <c r="ID864"/>
      <c r="IE864"/>
      <c r="IF864"/>
      <c r="IG864"/>
      <c r="IH864"/>
      <c r="II864"/>
      <c r="IJ864"/>
      <c r="IK864"/>
      <c r="IL864"/>
      <c r="IM864"/>
      <c r="IN864"/>
      <c r="IO864"/>
      <c r="IP864"/>
      <c r="IQ864"/>
    </row>
    <row r="865" spans="1:252" ht="27" customHeight="1" x14ac:dyDescent="0.2">
      <c r="A865" s="726"/>
      <c r="B865" s="1085" t="s">
        <v>807</v>
      </c>
      <c r="C865" s="1083">
        <f t="shared" ref="C865:D865" si="105">C866+C867</f>
        <v>0</v>
      </c>
      <c r="D865" s="1083">
        <f t="shared" si="105"/>
        <v>0</v>
      </c>
      <c r="E865" s="707"/>
      <c r="F865" s="707"/>
      <c r="G865" s="1243"/>
      <c r="H865" s="1248"/>
      <c r="I865" s="1258"/>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c r="DT865"/>
      <c r="DU865"/>
      <c r="DV865"/>
      <c r="DW865"/>
      <c r="DX865"/>
      <c r="DY865"/>
      <c r="DZ865"/>
      <c r="EA865"/>
      <c r="EB865"/>
      <c r="EC865"/>
      <c r="ED865"/>
      <c r="EE865"/>
      <c r="EF865"/>
      <c r="EG865"/>
      <c r="EH865"/>
      <c r="EI865"/>
      <c r="EJ865"/>
      <c r="EK865"/>
      <c r="EL865"/>
      <c r="EM865"/>
      <c r="EN865"/>
      <c r="EO865"/>
      <c r="EP865"/>
      <c r="EQ865"/>
      <c r="ER865"/>
      <c r="ES865"/>
      <c r="ET865"/>
      <c r="EU865"/>
      <c r="EV865"/>
      <c r="EW865"/>
      <c r="EX865"/>
      <c r="EY865"/>
      <c r="EZ865"/>
      <c r="FA865"/>
      <c r="FB865"/>
      <c r="FC865"/>
      <c r="FD865"/>
      <c r="FE865"/>
      <c r="FF865"/>
      <c r="FG865"/>
      <c r="FH865"/>
      <c r="FI865"/>
      <c r="FJ865"/>
      <c r="FK865"/>
      <c r="FL865"/>
      <c r="FM865"/>
      <c r="FN865"/>
      <c r="FO865"/>
      <c r="FP865"/>
      <c r="FQ865"/>
      <c r="FR865"/>
      <c r="FS865"/>
      <c r="FT865"/>
      <c r="FU865"/>
      <c r="FV865"/>
      <c r="FW865"/>
      <c r="FX865"/>
      <c r="FY865"/>
      <c r="FZ865"/>
      <c r="GA865"/>
      <c r="GB865"/>
      <c r="GC865"/>
      <c r="GD865"/>
      <c r="GE865"/>
      <c r="GF865"/>
      <c r="GG865"/>
      <c r="GH865"/>
      <c r="GI865"/>
      <c r="GJ865"/>
      <c r="GK865"/>
      <c r="GL865"/>
      <c r="GM865"/>
      <c r="GN865"/>
      <c r="GO865"/>
      <c r="GP865"/>
      <c r="GQ865"/>
      <c r="GR865"/>
      <c r="GS865"/>
      <c r="GT865"/>
      <c r="GU865"/>
      <c r="GV865"/>
      <c r="GW865"/>
      <c r="GX865"/>
      <c r="GY865"/>
      <c r="GZ865"/>
      <c r="HA865"/>
      <c r="HB865"/>
      <c r="HC865"/>
      <c r="HD865"/>
      <c r="HE865"/>
      <c r="HF865"/>
      <c r="HG865"/>
      <c r="HH865"/>
      <c r="HI865"/>
      <c r="HJ865"/>
      <c r="HK865"/>
      <c r="HL865"/>
      <c r="HM865"/>
      <c r="HN865"/>
      <c r="HO865"/>
      <c r="HP865"/>
      <c r="HQ865"/>
      <c r="HR865"/>
      <c r="HS865"/>
      <c r="HT865"/>
      <c r="HU865"/>
      <c r="HV865"/>
      <c r="HW865"/>
      <c r="HX865"/>
      <c r="HY865"/>
      <c r="HZ865"/>
      <c r="IA865"/>
      <c r="IB865"/>
      <c r="IC865"/>
      <c r="ID865"/>
      <c r="IE865"/>
      <c r="IF865"/>
      <c r="IG865"/>
      <c r="IH865"/>
      <c r="II865"/>
      <c r="IJ865"/>
      <c r="IK865"/>
      <c r="IL865"/>
      <c r="IM865"/>
      <c r="IN865"/>
      <c r="IO865"/>
      <c r="IP865"/>
      <c r="IQ865"/>
    </row>
    <row r="866" spans="1:252" ht="27" customHeight="1" x14ac:dyDescent="0.2">
      <c r="A866" s="726"/>
      <c r="B866" s="979" t="s">
        <v>1317</v>
      </c>
      <c r="C866" s="983">
        <v>0</v>
      </c>
      <c r="D866" s="983">
        <v>0</v>
      </c>
      <c r="E866" s="707"/>
      <c r="F866" s="707"/>
      <c r="G866" s="1243"/>
      <c r="H866" s="1248"/>
      <c r="I866" s="1258"/>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c r="DT866"/>
      <c r="DU866"/>
      <c r="DV866"/>
      <c r="DW866"/>
      <c r="DX866"/>
      <c r="DY866"/>
      <c r="DZ866"/>
      <c r="EA866"/>
      <c r="EB866"/>
      <c r="EC866"/>
      <c r="ED866"/>
      <c r="EE866"/>
      <c r="EF866"/>
      <c r="EG866"/>
      <c r="EH866"/>
      <c r="EI866"/>
      <c r="EJ866"/>
      <c r="EK866"/>
      <c r="EL866"/>
      <c r="EM866"/>
      <c r="EN866"/>
      <c r="EO866"/>
      <c r="EP866"/>
      <c r="EQ866"/>
      <c r="ER866"/>
      <c r="ES866"/>
      <c r="ET866"/>
      <c r="EU866"/>
      <c r="EV866"/>
      <c r="EW866"/>
      <c r="EX866"/>
      <c r="EY866"/>
      <c r="EZ866"/>
      <c r="FA866"/>
      <c r="FB866"/>
      <c r="FC866"/>
      <c r="FD866"/>
      <c r="FE866"/>
      <c r="FF866"/>
      <c r="FG866"/>
      <c r="FH866"/>
      <c r="FI866"/>
      <c r="FJ866"/>
      <c r="FK866"/>
      <c r="FL866"/>
      <c r="FM866"/>
      <c r="FN866"/>
      <c r="FO866"/>
      <c r="FP866"/>
      <c r="FQ866"/>
      <c r="FR866"/>
      <c r="FS866"/>
      <c r="FT866"/>
      <c r="FU866"/>
      <c r="FV866"/>
      <c r="FW866"/>
      <c r="FX866"/>
      <c r="FY866"/>
      <c r="FZ866"/>
      <c r="GA866"/>
      <c r="GB866"/>
      <c r="GC866"/>
      <c r="GD866"/>
      <c r="GE866"/>
      <c r="GF866"/>
      <c r="GG866"/>
      <c r="GH866"/>
      <c r="GI866"/>
      <c r="GJ866"/>
      <c r="GK866"/>
      <c r="GL866"/>
      <c r="GM866"/>
      <c r="GN866"/>
      <c r="GO866"/>
      <c r="GP866"/>
      <c r="GQ866"/>
      <c r="GR866"/>
      <c r="GS866"/>
      <c r="GT866"/>
      <c r="GU866"/>
      <c r="GV866"/>
      <c r="GW866"/>
      <c r="GX866"/>
      <c r="GY866"/>
      <c r="GZ866"/>
      <c r="HA866"/>
      <c r="HB866"/>
      <c r="HC866"/>
      <c r="HD866"/>
      <c r="HE866"/>
      <c r="HF866"/>
      <c r="HG866"/>
      <c r="HH866"/>
      <c r="HI866"/>
      <c r="HJ866"/>
      <c r="HK866"/>
      <c r="HL866"/>
      <c r="HM866"/>
      <c r="HN866"/>
      <c r="HO866"/>
      <c r="HP866"/>
      <c r="HQ866"/>
      <c r="HR866"/>
      <c r="HS866"/>
      <c r="HT866"/>
      <c r="HU866"/>
      <c r="HV866"/>
      <c r="HW866"/>
      <c r="HX866"/>
      <c r="HY866"/>
      <c r="HZ866"/>
      <c r="IA866"/>
      <c r="IB866"/>
      <c r="IC866"/>
      <c r="ID866"/>
      <c r="IE866"/>
      <c r="IF866"/>
      <c r="IG866"/>
      <c r="IH866"/>
      <c r="II866"/>
      <c r="IJ866"/>
      <c r="IK866"/>
      <c r="IL866"/>
      <c r="IM866"/>
      <c r="IN866"/>
      <c r="IO866"/>
      <c r="IP866"/>
      <c r="IQ866"/>
    </row>
    <row r="867" spans="1:252" s="426" customFormat="1" ht="27" customHeight="1" x14ac:dyDescent="0.2">
      <c r="A867" s="726"/>
      <c r="B867" s="979" t="s">
        <v>1073</v>
      </c>
      <c r="C867" s="983">
        <v>0</v>
      </c>
      <c r="D867" s="983">
        <v>0</v>
      </c>
      <c r="E867" s="1367"/>
      <c r="F867" s="1367"/>
      <c r="G867" s="1364"/>
      <c r="H867" s="1365"/>
      <c r="I867" s="1366"/>
      <c r="IR867" s="116"/>
    </row>
    <row r="868" spans="1:252" ht="27" customHeight="1" x14ac:dyDescent="0.2">
      <c r="A868" s="726"/>
      <c r="B868" s="1085" t="s">
        <v>819</v>
      </c>
      <c r="C868" s="1086">
        <f t="shared" ref="C868:D868" si="106">SUM(C869:C871)</f>
        <v>14050000</v>
      </c>
      <c r="D868" s="1086">
        <f t="shared" si="106"/>
        <v>14050000</v>
      </c>
      <c r="E868" s="707"/>
      <c r="F868" s="707"/>
      <c r="G868" s="1243"/>
      <c r="H868" s="1248"/>
      <c r="I868" s="125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c r="DT868"/>
      <c r="DU868"/>
      <c r="DV868"/>
      <c r="DW868"/>
      <c r="DX868"/>
      <c r="DY868"/>
      <c r="DZ868"/>
      <c r="EA868"/>
      <c r="EB868"/>
      <c r="EC868"/>
      <c r="ED868"/>
      <c r="EE868"/>
      <c r="EF868"/>
      <c r="EG868"/>
      <c r="EH868"/>
      <c r="EI868"/>
      <c r="EJ868"/>
      <c r="EK868"/>
      <c r="EL868"/>
      <c r="EM868"/>
      <c r="EN868"/>
      <c r="EO868"/>
      <c r="EP868"/>
      <c r="EQ868"/>
      <c r="ER868"/>
      <c r="ES868"/>
      <c r="ET868"/>
      <c r="EU868"/>
      <c r="EV868"/>
      <c r="EW868"/>
      <c r="EX868"/>
      <c r="EY868"/>
      <c r="EZ868"/>
      <c r="FA868"/>
      <c r="FB868"/>
      <c r="FC868"/>
      <c r="FD868"/>
      <c r="FE868"/>
      <c r="FF868"/>
      <c r="FG868"/>
      <c r="FH868"/>
      <c r="FI868"/>
      <c r="FJ868"/>
      <c r="FK868"/>
      <c r="FL868"/>
      <c r="FM868"/>
      <c r="FN868"/>
      <c r="FO868"/>
      <c r="FP868"/>
      <c r="FQ868"/>
      <c r="FR868"/>
      <c r="FS868"/>
      <c r="FT868"/>
      <c r="FU868"/>
      <c r="FV868"/>
      <c r="FW868"/>
      <c r="FX868"/>
      <c r="FY868"/>
      <c r="FZ868"/>
      <c r="GA868"/>
      <c r="GB868"/>
      <c r="GC868"/>
      <c r="GD868"/>
      <c r="GE868"/>
      <c r="GF868"/>
      <c r="GG868"/>
      <c r="GH868"/>
      <c r="GI868"/>
      <c r="GJ868"/>
      <c r="GK868"/>
      <c r="GL868"/>
      <c r="GM868"/>
      <c r="GN868"/>
      <c r="GO868"/>
      <c r="GP868"/>
      <c r="GQ868"/>
      <c r="GR868"/>
      <c r="GS868"/>
      <c r="GT868"/>
      <c r="GU868"/>
      <c r="GV868"/>
      <c r="GW868"/>
      <c r="GX868"/>
      <c r="GY868"/>
      <c r="GZ868"/>
      <c r="HA868"/>
      <c r="HB868"/>
      <c r="HC868"/>
      <c r="HD868"/>
      <c r="HE868"/>
      <c r="HF868"/>
      <c r="HG868"/>
      <c r="HH868"/>
      <c r="HI868"/>
      <c r="HJ868"/>
      <c r="HK868"/>
      <c r="HL868"/>
      <c r="HM868"/>
      <c r="HN868"/>
      <c r="HO868"/>
      <c r="HP868"/>
      <c r="HQ868"/>
      <c r="HR868"/>
      <c r="HS868"/>
      <c r="HT868"/>
      <c r="HU868"/>
      <c r="HV868"/>
      <c r="HW868"/>
      <c r="HX868"/>
      <c r="HY868"/>
      <c r="HZ868"/>
      <c r="IA868"/>
      <c r="IB868"/>
      <c r="IC868"/>
      <c r="ID868"/>
      <c r="IE868"/>
      <c r="IF868"/>
      <c r="IG868"/>
      <c r="IH868"/>
      <c r="II868"/>
      <c r="IJ868"/>
      <c r="IK868"/>
      <c r="IL868"/>
      <c r="IM868"/>
      <c r="IN868"/>
      <c r="IO868"/>
      <c r="IP868"/>
      <c r="IQ868"/>
    </row>
    <row r="869" spans="1:252" ht="27" customHeight="1" x14ac:dyDescent="0.2">
      <c r="A869" s="726"/>
      <c r="B869" s="970" t="s">
        <v>1074</v>
      </c>
      <c r="C869" s="983">
        <v>14000000</v>
      </c>
      <c r="D869" s="983">
        <f>14000000-7633-2800</f>
        <v>13989567</v>
      </c>
      <c r="E869" s="707"/>
      <c r="F869" s="707"/>
      <c r="G869" s="1243"/>
      <c r="H869" s="1248"/>
      <c r="I869" s="1258"/>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c r="DT869"/>
      <c r="DU869"/>
      <c r="DV869"/>
      <c r="DW869"/>
      <c r="DX869"/>
      <c r="DY869"/>
      <c r="DZ869"/>
      <c r="EA869"/>
      <c r="EB869"/>
      <c r="EC869"/>
      <c r="ED869"/>
      <c r="EE869"/>
      <c r="EF869"/>
      <c r="EG869"/>
      <c r="EH869"/>
      <c r="EI869"/>
      <c r="EJ869"/>
      <c r="EK869"/>
      <c r="EL869"/>
      <c r="EM869"/>
      <c r="EN869"/>
      <c r="EO869"/>
      <c r="EP869"/>
      <c r="EQ869"/>
      <c r="ER869"/>
      <c r="ES869"/>
      <c r="ET869"/>
      <c r="EU869"/>
      <c r="EV869"/>
      <c r="EW869"/>
      <c r="EX869"/>
      <c r="EY869"/>
      <c r="EZ869"/>
      <c r="FA869"/>
      <c r="FB869"/>
      <c r="FC869"/>
      <c r="FD869"/>
      <c r="FE869"/>
      <c r="FF869"/>
      <c r="FG869"/>
      <c r="FH869"/>
      <c r="FI869"/>
      <c r="FJ869"/>
      <c r="FK869"/>
      <c r="FL869"/>
      <c r="FM869"/>
      <c r="FN869"/>
      <c r="FO869"/>
      <c r="FP869"/>
      <c r="FQ869"/>
      <c r="FR869"/>
      <c r="FS869"/>
      <c r="FT869"/>
      <c r="FU869"/>
      <c r="FV869"/>
      <c r="FW869"/>
      <c r="FX869"/>
      <c r="FY869"/>
      <c r="FZ869"/>
      <c r="GA869"/>
      <c r="GB869"/>
      <c r="GC869"/>
      <c r="GD869"/>
      <c r="GE869"/>
      <c r="GF869"/>
      <c r="GG869"/>
      <c r="GH869"/>
      <c r="GI869"/>
      <c r="GJ869"/>
      <c r="GK869"/>
      <c r="GL869"/>
      <c r="GM869"/>
      <c r="GN869"/>
      <c r="GO869"/>
      <c r="GP869"/>
      <c r="GQ869"/>
      <c r="GR869"/>
      <c r="GS869"/>
      <c r="GT869"/>
      <c r="GU869"/>
      <c r="GV869"/>
      <c r="GW869"/>
      <c r="GX869"/>
      <c r="GY869"/>
      <c r="GZ869"/>
      <c r="HA869"/>
      <c r="HB869"/>
      <c r="HC869"/>
      <c r="HD869"/>
      <c r="HE869"/>
      <c r="HF869"/>
      <c r="HG869"/>
      <c r="HH869"/>
      <c r="HI869"/>
      <c r="HJ869"/>
      <c r="HK869"/>
      <c r="HL869"/>
      <c r="HM869"/>
      <c r="HN869"/>
      <c r="HO869"/>
      <c r="HP869"/>
      <c r="HQ869"/>
      <c r="HR869"/>
      <c r="HS869"/>
      <c r="HT869"/>
      <c r="HU869"/>
      <c r="HV869"/>
      <c r="HW869"/>
      <c r="HX869"/>
      <c r="HY869"/>
      <c r="HZ869"/>
      <c r="IA869"/>
      <c r="IB869"/>
      <c r="IC869"/>
      <c r="ID869"/>
      <c r="IE869"/>
      <c r="IF869"/>
      <c r="IG869"/>
      <c r="IH869"/>
      <c r="II869"/>
      <c r="IJ869"/>
      <c r="IK869"/>
      <c r="IL869"/>
      <c r="IM869"/>
      <c r="IN869"/>
      <c r="IO869"/>
      <c r="IP869"/>
      <c r="IQ869"/>
    </row>
    <row r="870" spans="1:252" s="426" customFormat="1" ht="27" customHeight="1" x14ac:dyDescent="0.2">
      <c r="A870" s="739"/>
      <c r="B870" s="1057" t="s">
        <v>2067</v>
      </c>
      <c r="C870" s="983">
        <v>0</v>
      </c>
      <c r="D870" s="983">
        <f>7633+2800</f>
        <v>10433</v>
      </c>
      <c r="E870" s="707"/>
      <c r="F870" s="707"/>
      <c r="G870" s="1243"/>
      <c r="H870" s="1248"/>
      <c r="I870" s="1258"/>
      <c r="IR870" s="116"/>
    </row>
    <row r="871" spans="1:252" ht="27" customHeight="1" x14ac:dyDescent="0.2">
      <c r="A871" s="726"/>
      <c r="B871" s="1087" t="s">
        <v>1115</v>
      </c>
      <c r="C871" s="983">
        <v>50000</v>
      </c>
      <c r="D871" s="983">
        <v>50000</v>
      </c>
      <c r="E871" s="707"/>
      <c r="F871" s="707"/>
      <c r="G871" s="1243"/>
      <c r="H871" s="1248"/>
      <c r="I871" s="1258"/>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c r="DC871"/>
      <c r="DD871"/>
      <c r="DE871"/>
      <c r="DF871"/>
      <c r="DG871"/>
      <c r="DH871"/>
      <c r="DI871"/>
      <c r="DJ871"/>
      <c r="DK871"/>
      <c r="DL871"/>
      <c r="DM871"/>
      <c r="DN871"/>
      <c r="DO871"/>
      <c r="DP871"/>
      <c r="DQ871"/>
      <c r="DR871"/>
      <c r="DS871"/>
      <c r="DT871"/>
      <c r="DU871"/>
      <c r="DV871"/>
      <c r="DW871"/>
      <c r="DX871"/>
      <c r="DY871"/>
      <c r="DZ871"/>
      <c r="EA871"/>
      <c r="EB871"/>
      <c r="EC871"/>
      <c r="ED871"/>
      <c r="EE871"/>
      <c r="EF871"/>
      <c r="EG871"/>
      <c r="EH871"/>
      <c r="EI871"/>
      <c r="EJ871"/>
      <c r="EK871"/>
      <c r="EL871"/>
      <c r="EM871"/>
      <c r="EN871"/>
      <c r="EO871"/>
      <c r="EP871"/>
      <c r="EQ871"/>
      <c r="ER871"/>
      <c r="ES871"/>
      <c r="ET871"/>
      <c r="EU871"/>
      <c r="EV871"/>
      <c r="EW871"/>
      <c r="EX871"/>
      <c r="EY871"/>
      <c r="EZ871"/>
      <c r="FA871"/>
      <c r="FB871"/>
      <c r="FC871"/>
      <c r="FD871"/>
      <c r="FE871"/>
      <c r="FF871"/>
      <c r="FG871"/>
      <c r="FH871"/>
      <c r="FI871"/>
      <c r="FJ871"/>
      <c r="FK871"/>
      <c r="FL871"/>
      <c r="FM871"/>
      <c r="FN871"/>
      <c r="FO871"/>
      <c r="FP871"/>
      <c r="FQ871"/>
      <c r="FR871"/>
      <c r="FS871"/>
      <c r="FT871"/>
      <c r="FU871"/>
      <c r="FV871"/>
      <c r="FW871"/>
      <c r="FX871"/>
      <c r="FY871"/>
      <c r="FZ871"/>
      <c r="GA871"/>
      <c r="GB871"/>
      <c r="GC871"/>
      <c r="GD871"/>
      <c r="GE871"/>
      <c r="GF871"/>
      <c r="GG871"/>
      <c r="GH871"/>
      <c r="GI871"/>
      <c r="GJ871"/>
      <c r="GK871"/>
      <c r="GL871"/>
      <c r="GM871"/>
      <c r="GN871"/>
      <c r="GO871"/>
      <c r="GP871"/>
      <c r="GQ871"/>
      <c r="GR871"/>
      <c r="GS871"/>
      <c r="GT871"/>
      <c r="GU871"/>
      <c r="GV871"/>
      <c r="GW871"/>
      <c r="GX871"/>
      <c r="GY871"/>
      <c r="GZ871"/>
      <c r="HA871"/>
      <c r="HB871"/>
      <c r="HC871"/>
      <c r="HD871"/>
      <c r="HE871"/>
      <c r="HF871"/>
      <c r="HG871"/>
      <c r="HH871"/>
      <c r="HI871"/>
      <c r="HJ871"/>
      <c r="HK871"/>
      <c r="HL871"/>
      <c r="HM871"/>
      <c r="HN871"/>
      <c r="HO871"/>
      <c r="HP871"/>
      <c r="HQ871"/>
      <c r="HR871"/>
      <c r="HS871"/>
      <c r="HT871"/>
      <c r="HU871"/>
      <c r="HV871"/>
      <c r="HW871"/>
      <c r="HX871"/>
      <c r="HY871"/>
      <c r="HZ871"/>
      <c r="IA871"/>
      <c r="IB871"/>
      <c r="IC871"/>
      <c r="ID871"/>
      <c r="IE871"/>
      <c r="IF871"/>
      <c r="IG871"/>
      <c r="IH871"/>
      <c r="II871"/>
      <c r="IJ871"/>
      <c r="IK871"/>
      <c r="IL871"/>
      <c r="IM871"/>
      <c r="IN871"/>
      <c r="IO871"/>
      <c r="IP871"/>
      <c r="IQ871"/>
    </row>
    <row r="872" spans="1:252" ht="27" customHeight="1" x14ac:dyDescent="0.2">
      <c r="A872" s="726"/>
      <c r="B872" s="1085" t="s">
        <v>829</v>
      </c>
      <c r="C872" s="1083">
        <f>SUM(C873:C876)</f>
        <v>765000</v>
      </c>
      <c r="D872" s="1083">
        <f>SUM(D873:D876)</f>
        <v>765000</v>
      </c>
      <c r="E872" s="740"/>
      <c r="F872" s="740"/>
      <c r="G872" s="1364"/>
      <c r="H872" s="1365"/>
      <c r="I872" s="136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c r="DE872"/>
      <c r="DF872"/>
      <c r="DG872"/>
      <c r="DH872"/>
      <c r="DI872"/>
      <c r="DJ872"/>
      <c r="DK872"/>
      <c r="DL872"/>
      <c r="DM872"/>
      <c r="DN872"/>
      <c r="DO872"/>
      <c r="DP872"/>
      <c r="DQ872"/>
      <c r="DR872"/>
      <c r="DS872"/>
      <c r="DT872"/>
      <c r="DU872"/>
      <c r="DV872"/>
      <c r="DW872"/>
      <c r="DX872"/>
      <c r="DY872"/>
      <c r="DZ872"/>
      <c r="EA872"/>
      <c r="EB872"/>
      <c r="EC872"/>
      <c r="ED872"/>
      <c r="EE872"/>
      <c r="EF872"/>
      <c r="EG872"/>
      <c r="EH872"/>
      <c r="EI872"/>
      <c r="EJ872"/>
      <c r="EK872"/>
      <c r="EL872"/>
      <c r="EM872"/>
      <c r="EN872"/>
      <c r="EO872"/>
      <c r="EP872"/>
      <c r="EQ872"/>
      <c r="ER872"/>
      <c r="ES872"/>
      <c r="ET872"/>
      <c r="EU872"/>
      <c r="EV872"/>
      <c r="EW872"/>
      <c r="EX872"/>
      <c r="EY872"/>
      <c r="EZ872"/>
      <c r="FA872"/>
      <c r="FB872"/>
      <c r="FC872"/>
      <c r="FD872"/>
      <c r="FE872"/>
      <c r="FF872"/>
      <c r="FG872"/>
      <c r="FH872"/>
      <c r="FI872"/>
      <c r="FJ872"/>
      <c r="FK872"/>
      <c r="FL872"/>
      <c r="FM872"/>
      <c r="FN872"/>
      <c r="FO872"/>
      <c r="FP872"/>
      <c r="FQ872"/>
      <c r="FR872"/>
      <c r="FS872"/>
      <c r="FT872"/>
      <c r="FU872"/>
      <c r="FV872"/>
      <c r="FW872"/>
      <c r="FX872"/>
      <c r="FY872"/>
      <c r="FZ872"/>
      <c r="GA872"/>
      <c r="GB872"/>
      <c r="GC872"/>
      <c r="GD872"/>
      <c r="GE872"/>
      <c r="GF872"/>
      <c r="GG872"/>
      <c r="GH872"/>
      <c r="GI872"/>
      <c r="GJ872"/>
      <c r="GK872"/>
      <c r="GL872"/>
      <c r="GM872"/>
      <c r="GN872"/>
      <c r="GO872"/>
      <c r="GP872"/>
      <c r="GQ872"/>
      <c r="GR872"/>
      <c r="GS872"/>
      <c r="GT872"/>
      <c r="GU872"/>
      <c r="GV872"/>
      <c r="GW872"/>
      <c r="GX872"/>
      <c r="GY872"/>
      <c r="GZ872"/>
      <c r="HA872"/>
      <c r="HB872"/>
      <c r="HC872"/>
      <c r="HD872"/>
      <c r="HE872"/>
      <c r="HF872"/>
      <c r="HG872"/>
      <c r="HH872"/>
      <c r="HI872"/>
      <c r="HJ872"/>
      <c r="HK872"/>
      <c r="HL872"/>
      <c r="HM872"/>
      <c r="HN872"/>
      <c r="HO872"/>
      <c r="HP872"/>
      <c r="HQ872"/>
      <c r="HR872"/>
      <c r="HS872"/>
      <c r="HT872"/>
      <c r="HU872"/>
      <c r="HV872"/>
      <c r="HW872"/>
      <c r="HX872"/>
      <c r="HY872"/>
      <c r="HZ872"/>
      <c r="IA872"/>
      <c r="IB872"/>
      <c r="IC872"/>
      <c r="ID872"/>
      <c r="IE872"/>
      <c r="IF872"/>
      <c r="IG872"/>
      <c r="IH872"/>
      <c r="II872"/>
      <c r="IJ872"/>
      <c r="IK872"/>
      <c r="IL872"/>
      <c r="IM872"/>
      <c r="IN872"/>
      <c r="IO872"/>
      <c r="IP872"/>
      <c r="IQ872"/>
    </row>
    <row r="873" spans="1:252" ht="27" customHeight="1" x14ac:dyDescent="0.2">
      <c r="A873" s="726"/>
      <c r="B873" s="979" t="s">
        <v>830</v>
      </c>
      <c r="C873" s="983">
        <v>150000</v>
      </c>
      <c r="D873" s="983">
        <v>150000</v>
      </c>
      <c r="E873" s="707"/>
      <c r="F873" s="707"/>
      <c r="G873" s="1243"/>
      <c r="H873" s="1248"/>
      <c r="I873" s="1258"/>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c r="DE873"/>
      <c r="DF873"/>
      <c r="DG873"/>
      <c r="DH873"/>
      <c r="DI873"/>
      <c r="DJ873"/>
      <c r="DK873"/>
      <c r="DL873"/>
      <c r="DM873"/>
      <c r="DN873"/>
      <c r="DO873"/>
      <c r="DP873"/>
      <c r="DQ873"/>
      <c r="DR873"/>
      <c r="DS873"/>
      <c r="DT873"/>
      <c r="DU873"/>
      <c r="DV873"/>
      <c r="DW873"/>
      <c r="DX873"/>
      <c r="DY873"/>
      <c r="DZ873"/>
      <c r="EA873"/>
      <c r="EB873"/>
      <c r="EC873"/>
      <c r="ED873"/>
      <c r="EE873"/>
      <c r="EF873"/>
      <c r="EG873"/>
      <c r="EH873"/>
      <c r="EI873"/>
      <c r="EJ873"/>
      <c r="EK873"/>
      <c r="EL873"/>
      <c r="EM873"/>
      <c r="EN873"/>
      <c r="EO873"/>
      <c r="EP873"/>
      <c r="EQ873"/>
      <c r="ER873"/>
      <c r="ES873"/>
      <c r="ET873"/>
      <c r="EU873"/>
      <c r="EV873"/>
      <c r="EW873"/>
      <c r="EX873"/>
      <c r="EY873"/>
      <c r="EZ873"/>
      <c r="FA873"/>
      <c r="FB873"/>
      <c r="FC873"/>
      <c r="FD873"/>
      <c r="FE873"/>
      <c r="FF873"/>
      <c r="FG873"/>
      <c r="FH873"/>
      <c r="FI873"/>
      <c r="FJ873"/>
      <c r="FK873"/>
      <c r="FL873"/>
      <c r="FM873"/>
      <c r="FN873"/>
      <c r="FO873"/>
      <c r="FP873"/>
      <c r="FQ873"/>
      <c r="FR873"/>
      <c r="FS873"/>
      <c r="FT873"/>
      <c r="FU873"/>
      <c r="FV873"/>
      <c r="FW873"/>
      <c r="FX873"/>
      <c r="FY873"/>
      <c r="FZ873"/>
      <c r="GA873"/>
      <c r="GB873"/>
      <c r="GC873"/>
      <c r="GD873"/>
      <c r="GE873"/>
      <c r="GF873"/>
      <c r="GG873"/>
      <c r="GH873"/>
      <c r="GI873"/>
      <c r="GJ873"/>
      <c r="GK873"/>
      <c r="GL873"/>
      <c r="GM873"/>
      <c r="GN873"/>
      <c r="GO873"/>
      <c r="GP873"/>
      <c r="GQ873"/>
      <c r="GR873"/>
      <c r="GS873"/>
      <c r="GT873"/>
      <c r="GU873"/>
      <c r="GV873"/>
      <c r="GW873"/>
      <c r="GX873"/>
      <c r="GY873"/>
      <c r="GZ873"/>
      <c r="HA873"/>
      <c r="HB873"/>
      <c r="HC873"/>
      <c r="HD873"/>
      <c r="HE873"/>
      <c r="HF873"/>
      <c r="HG873"/>
      <c r="HH873"/>
      <c r="HI873"/>
      <c r="HJ873"/>
      <c r="HK873"/>
      <c r="HL873"/>
      <c r="HM873"/>
      <c r="HN873"/>
      <c r="HO873"/>
      <c r="HP873"/>
      <c r="HQ873"/>
      <c r="HR873"/>
      <c r="HS873"/>
      <c r="HT873"/>
      <c r="HU873"/>
      <c r="HV873"/>
      <c r="HW873"/>
      <c r="HX873"/>
      <c r="HY873"/>
      <c r="HZ873"/>
      <c r="IA873"/>
      <c r="IB873"/>
      <c r="IC873"/>
      <c r="ID873"/>
      <c r="IE873"/>
      <c r="IF873"/>
      <c r="IG873"/>
      <c r="IH873"/>
      <c r="II873"/>
      <c r="IJ873"/>
      <c r="IK873"/>
      <c r="IL873"/>
      <c r="IM873"/>
      <c r="IN873"/>
      <c r="IO873"/>
      <c r="IP873"/>
      <c r="IQ873"/>
    </row>
    <row r="874" spans="1:252" ht="27" customHeight="1" x14ac:dyDescent="0.2">
      <c r="A874" s="726"/>
      <c r="B874" s="979" t="s">
        <v>1116</v>
      </c>
      <c r="C874" s="983">
        <v>0</v>
      </c>
      <c r="D874" s="983">
        <v>0</v>
      </c>
      <c r="E874" s="707"/>
      <c r="F874" s="707"/>
      <c r="G874" s="1243"/>
      <c r="H874" s="1248"/>
      <c r="I874" s="1258"/>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c r="DC874"/>
      <c r="DD874"/>
      <c r="DE874"/>
      <c r="DF874"/>
      <c r="DG874"/>
      <c r="DH874"/>
      <c r="DI874"/>
      <c r="DJ874"/>
      <c r="DK874"/>
      <c r="DL874"/>
      <c r="DM874"/>
      <c r="DN874"/>
      <c r="DO874"/>
      <c r="DP874"/>
      <c r="DQ874"/>
      <c r="DR874"/>
      <c r="DS874"/>
      <c r="DT874"/>
      <c r="DU874"/>
      <c r="DV874"/>
      <c r="DW874"/>
      <c r="DX874"/>
      <c r="DY874"/>
      <c r="DZ874"/>
      <c r="EA874"/>
      <c r="EB874"/>
      <c r="EC874"/>
      <c r="ED874"/>
      <c r="EE874"/>
      <c r="EF874"/>
      <c r="EG874"/>
      <c r="EH874"/>
      <c r="EI874"/>
      <c r="EJ874"/>
      <c r="EK874"/>
      <c r="EL874"/>
      <c r="EM874"/>
      <c r="EN874"/>
      <c r="EO874"/>
      <c r="EP874"/>
      <c r="EQ874"/>
      <c r="ER874"/>
      <c r="ES874"/>
      <c r="ET874"/>
      <c r="EU874"/>
      <c r="EV874"/>
      <c r="EW874"/>
      <c r="EX874"/>
      <c r="EY874"/>
      <c r="EZ874"/>
      <c r="FA874"/>
      <c r="FB874"/>
      <c r="FC874"/>
      <c r="FD874"/>
      <c r="FE874"/>
      <c r="FF874"/>
      <c r="FG874"/>
      <c r="FH874"/>
      <c r="FI874"/>
      <c r="FJ874"/>
      <c r="FK874"/>
      <c r="FL874"/>
      <c r="FM874"/>
      <c r="FN874"/>
      <c r="FO874"/>
      <c r="FP874"/>
      <c r="FQ874"/>
      <c r="FR874"/>
      <c r="FS874"/>
      <c r="FT874"/>
      <c r="FU874"/>
      <c r="FV874"/>
      <c r="FW874"/>
      <c r="FX874"/>
      <c r="FY874"/>
      <c r="FZ874"/>
      <c r="GA874"/>
      <c r="GB874"/>
      <c r="GC874"/>
      <c r="GD874"/>
      <c r="GE874"/>
      <c r="GF874"/>
      <c r="GG874"/>
      <c r="GH874"/>
      <c r="GI874"/>
      <c r="GJ874"/>
      <c r="GK874"/>
      <c r="GL874"/>
      <c r="GM874"/>
      <c r="GN874"/>
      <c r="GO874"/>
      <c r="GP874"/>
      <c r="GQ874"/>
      <c r="GR874"/>
      <c r="GS874"/>
      <c r="GT874"/>
      <c r="GU874"/>
      <c r="GV874"/>
      <c r="GW874"/>
      <c r="GX874"/>
      <c r="GY874"/>
      <c r="GZ874"/>
      <c r="HA874"/>
      <c r="HB874"/>
      <c r="HC874"/>
      <c r="HD874"/>
      <c r="HE874"/>
      <c r="HF874"/>
      <c r="HG874"/>
      <c r="HH874"/>
      <c r="HI874"/>
      <c r="HJ874"/>
      <c r="HK874"/>
      <c r="HL874"/>
      <c r="HM874"/>
      <c r="HN874"/>
      <c r="HO874"/>
      <c r="HP874"/>
      <c r="HQ874"/>
      <c r="HR874"/>
      <c r="HS874"/>
      <c r="HT874"/>
      <c r="HU874"/>
      <c r="HV874"/>
      <c r="HW874"/>
      <c r="HX874"/>
      <c r="HY874"/>
      <c r="HZ874"/>
      <c r="IA874"/>
      <c r="IB874"/>
      <c r="IC874"/>
      <c r="ID874"/>
      <c r="IE874"/>
      <c r="IF874"/>
      <c r="IG874"/>
      <c r="IH874"/>
      <c r="II874"/>
      <c r="IJ874"/>
      <c r="IK874"/>
      <c r="IL874"/>
      <c r="IM874"/>
      <c r="IN874"/>
      <c r="IO874"/>
      <c r="IP874"/>
      <c r="IQ874"/>
    </row>
    <row r="875" spans="1:252" ht="27" customHeight="1" x14ac:dyDescent="0.2">
      <c r="A875" s="726"/>
      <c r="B875" s="970" t="s">
        <v>832</v>
      </c>
      <c r="C875" s="983">
        <v>0</v>
      </c>
      <c r="D875" s="983">
        <v>0</v>
      </c>
      <c r="E875" s="707"/>
      <c r="F875" s="707"/>
      <c r="G875" s="1243"/>
      <c r="H875" s="1248"/>
      <c r="I875" s="1258"/>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c r="DT875"/>
      <c r="DU875"/>
      <c r="DV875"/>
      <c r="DW875"/>
      <c r="DX875"/>
      <c r="DY875"/>
      <c r="DZ875"/>
      <c r="EA875"/>
      <c r="EB875"/>
      <c r="EC875"/>
      <c r="ED875"/>
      <c r="EE875"/>
      <c r="EF875"/>
      <c r="EG875"/>
      <c r="EH875"/>
      <c r="EI875"/>
      <c r="EJ875"/>
      <c r="EK875"/>
      <c r="EL875"/>
      <c r="EM875"/>
      <c r="EN875"/>
      <c r="EO875"/>
      <c r="EP875"/>
      <c r="EQ875"/>
      <c r="ER875"/>
      <c r="ES875"/>
      <c r="ET875"/>
      <c r="EU875"/>
      <c r="EV875"/>
      <c r="EW875"/>
      <c r="EX875"/>
      <c r="EY875"/>
      <c r="EZ875"/>
      <c r="FA875"/>
      <c r="FB875"/>
      <c r="FC875"/>
      <c r="FD875"/>
      <c r="FE875"/>
      <c r="FF875"/>
      <c r="FG875"/>
      <c r="FH875"/>
      <c r="FI875"/>
      <c r="FJ875"/>
      <c r="FK875"/>
      <c r="FL875"/>
      <c r="FM875"/>
      <c r="FN875"/>
      <c r="FO875"/>
      <c r="FP875"/>
      <c r="FQ875"/>
      <c r="FR875"/>
      <c r="FS875"/>
      <c r="FT875"/>
      <c r="FU875"/>
      <c r="FV875"/>
      <c r="FW875"/>
      <c r="FX875"/>
      <c r="FY875"/>
      <c r="FZ875"/>
      <c r="GA875"/>
      <c r="GB875"/>
      <c r="GC875"/>
      <c r="GD875"/>
      <c r="GE875"/>
      <c r="GF875"/>
      <c r="GG875"/>
      <c r="GH875"/>
      <c r="GI875"/>
      <c r="GJ875"/>
      <c r="GK875"/>
      <c r="GL875"/>
      <c r="GM875"/>
      <c r="GN875"/>
      <c r="GO875"/>
      <c r="GP875"/>
      <c r="GQ875"/>
      <c r="GR875"/>
      <c r="GS875"/>
      <c r="GT875"/>
      <c r="GU875"/>
      <c r="GV875"/>
      <c r="GW875"/>
      <c r="GX875"/>
      <c r="GY875"/>
      <c r="GZ875"/>
      <c r="HA875"/>
      <c r="HB875"/>
      <c r="HC875"/>
      <c r="HD875"/>
      <c r="HE875"/>
      <c r="HF875"/>
      <c r="HG875"/>
      <c r="HH875"/>
      <c r="HI875"/>
      <c r="HJ875"/>
      <c r="HK875"/>
      <c r="HL875"/>
      <c r="HM875"/>
      <c r="HN875"/>
      <c r="HO875"/>
      <c r="HP875"/>
      <c r="HQ875"/>
      <c r="HR875"/>
      <c r="HS875"/>
      <c r="HT875"/>
      <c r="HU875"/>
      <c r="HV875"/>
      <c r="HW875"/>
      <c r="HX875"/>
      <c r="HY875"/>
      <c r="HZ875"/>
      <c r="IA875"/>
      <c r="IB875"/>
      <c r="IC875"/>
      <c r="ID875"/>
      <c r="IE875"/>
      <c r="IF875"/>
      <c r="IG875"/>
      <c r="IH875"/>
      <c r="II875"/>
      <c r="IJ875"/>
      <c r="IK875"/>
      <c r="IL875"/>
      <c r="IM875"/>
      <c r="IN875"/>
      <c r="IO875"/>
      <c r="IP875"/>
      <c r="IQ875"/>
    </row>
    <row r="876" spans="1:252" ht="27" customHeight="1" x14ac:dyDescent="0.2">
      <c r="A876" s="726"/>
      <c r="B876" s="970" t="s">
        <v>1665</v>
      </c>
      <c r="C876" s="983">
        <v>615000</v>
      </c>
      <c r="D876" s="983">
        <v>615000</v>
      </c>
      <c r="E876" s="701"/>
      <c r="F876" s="707"/>
      <c r="G876" s="825"/>
      <c r="H876" s="1244"/>
      <c r="I876" s="1257"/>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c r="DK876"/>
      <c r="DL876"/>
      <c r="DM876"/>
      <c r="DN876"/>
      <c r="DO876"/>
      <c r="DP876"/>
      <c r="DQ876"/>
      <c r="DR876"/>
      <c r="DS876"/>
      <c r="DT876"/>
      <c r="DU876"/>
      <c r="DV876"/>
      <c r="DW876"/>
      <c r="DX876"/>
      <c r="DY876"/>
      <c r="DZ876"/>
      <c r="EA876"/>
      <c r="EB876"/>
      <c r="EC876"/>
      <c r="ED876"/>
      <c r="EE876"/>
      <c r="EF876"/>
      <c r="EG876"/>
      <c r="EH876"/>
      <c r="EI876"/>
      <c r="EJ876"/>
      <c r="EK876"/>
      <c r="EL876"/>
      <c r="EM876"/>
      <c r="EN876"/>
      <c r="EO876"/>
      <c r="EP876"/>
      <c r="EQ876"/>
      <c r="ER876"/>
      <c r="ES876"/>
      <c r="ET876"/>
      <c r="EU876"/>
      <c r="EV876"/>
      <c r="EW876"/>
      <c r="EX876"/>
      <c r="EY876"/>
      <c r="EZ876"/>
      <c r="FA876"/>
      <c r="FB876"/>
      <c r="FC876"/>
      <c r="FD876"/>
      <c r="FE876"/>
      <c r="FF876"/>
      <c r="FG876"/>
      <c r="FH876"/>
      <c r="FI876"/>
      <c r="FJ876"/>
      <c r="FK876"/>
      <c r="FL876"/>
      <c r="FM876"/>
      <c r="FN876"/>
      <c r="FO876"/>
      <c r="FP876"/>
      <c r="FQ876"/>
      <c r="FR876"/>
      <c r="FS876"/>
      <c r="FT876"/>
      <c r="FU876"/>
      <c r="FV876"/>
      <c r="FW876"/>
      <c r="FX876"/>
      <c r="FY876"/>
      <c r="FZ876"/>
      <c r="GA876"/>
      <c r="GB876"/>
      <c r="GC876"/>
      <c r="GD876"/>
      <c r="GE876"/>
      <c r="GF876"/>
      <c r="GG876"/>
      <c r="GH876"/>
      <c r="GI876"/>
      <c r="GJ876"/>
      <c r="GK876"/>
      <c r="GL876"/>
      <c r="GM876"/>
      <c r="GN876"/>
      <c r="GO876"/>
      <c r="GP876"/>
      <c r="GQ876"/>
      <c r="GR876"/>
      <c r="GS876"/>
      <c r="GT876"/>
      <c r="GU876"/>
      <c r="GV876"/>
      <c r="GW876"/>
      <c r="GX876"/>
      <c r="GY876"/>
      <c r="GZ876"/>
      <c r="HA876"/>
      <c r="HB876"/>
      <c r="HC876"/>
      <c r="HD876"/>
      <c r="HE876"/>
      <c r="HF876"/>
      <c r="HG876"/>
      <c r="HH876"/>
      <c r="HI876"/>
      <c r="HJ876"/>
      <c r="HK876"/>
      <c r="HL876"/>
      <c r="HM876"/>
      <c r="HN876"/>
      <c r="HO876"/>
      <c r="HP876"/>
      <c r="HQ876"/>
      <c r="HR876"/>
      <c r="HS876"/>
      <c r="HT876"/>
      <c r="HU876"/>
      <c r="HV876"/>
      <c r="HW876"/>
      <c r="HX876"/>
      <c r="HY876"/>
      <c r="HZ876"/>
      <c r="IA876"/>
      <c r="IB876"/>
      <c r="IC876"/>
      <c r="ID876"/>
      <c r="IE876"/>
      <c r="IF876"/>
      <c r="IG876"/>
      <c r="IH876"/>
      <c r="II876"/>
      <c r="IJ876"/>
      <c r="IK876"/>
      <c r="IL876"/>
      <c r="IM876"/>
      <c r="IN876"/>
      <c r="IO876"/>
      <c r="IP876"/>
      <c r="IQ876"/>
    </row>
    <row r="877" spans="1:252" ht="27" customHeight="1" x14ac:dyDescent="0.2">
      <c r="A877" s="739">
        <v>3612</v>
      </c>
      <c r="B877" s="977" t="s">
        <v>833</v>
      </c>
      <c r="C877" s="862">
        <f>C878+C880</f>
        <v>55570000</v>
      </c>
      <c r="D877" s="862">
        <f>D878+D880</f>
        <v>55570000</v>
      </c>
      <c r="E877" s="740"/>
      <c r="F877" s="740"/>
      <c r="G877" s="1364"/>
      <c r="H877" s="1365"/>
      <c r="I877" s="136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c r="DT877"/>
      <c r="DU877"/>
      <c r="DV877"/>
      <c r="DW877"/>
      <c r="DX877"/>
      <c r="DY877"/>
      <c r="DZ877"/>
      <c r="EA877"/>
      <c r="EB877"/>
      <c r="EC877"/>
      <c r="ED877"/>
      <c r="EE877"/>
      <c r="EF877"/>
      <c r="EG877"/>
      <c r="EH877"/>
      <c r="EI877"/>
      <c r="EJ877"/>
      <c r="EK877"/>
      <c r="EL877"/>
      <c r="EM877"/>
      <c r="EN877"/>
      <c r="EO877"/>
      <c r="EP877"/>
      <c r="EQ877"/>
      <c r="ER877"/>
      <c r="ES877"/>
      <c r="ET877"/>
      <c r="EU877"/>
      <c r="EV877"/>
      <c r="EW877"/>
      <c r="EX877"/>
      <c r="EY877"/>
      <c r="EZ877"/>
      <c r="FA877"/>
      <c r="FB877"/>
      <c r="FC877"/>
      <c r="FD877"/>
      <c r="FE877"/>
      <c r="FF877"/>
      <c r="FG877"/>
      <c r="FH877"/>
      <c r="FI877"/>
      <c r="FJ877"/>
      <c r="FK877"/>
      <c r="FL877"/>
      <c r="FM877"/>
      <c r="FN877"/>
      <c r="FO877"/>
      <c r="FP877"/>
      <c r="FQ877"/>
      <c r="FR877"/>
      <c r="FS877"/>
      <c r="FT877"/>
      <c r="FU877"/>
      <c r="FV877"/>
      <c r="FW877"/>
      <c r="FX877"/>
      <c r="FY877"/>
      <c r="FZ877"/>
      <c r="GA877"/>
      <c r="GB877"/>
      <c r="GC877"/>
      <c r="GD877"/>
      <c r="GE877"/>
      <c r="GF877"/>
      <c r="GG877"/>
      <c r="GH877"/>
      <c r="GI877"/>
      <c r="GJ877"/>
      <c r="GK877"/>
      <c r="GL877"/>
      <c r="GM877"/>
      <c r="GN877"/>
      <c r="GO877"/>
      <c r="GP877"/>
      <c r="GQ877"/>
      <c r="GR877"/>
      <c r="GS877"/>
      <c r="GT877"/>
      <c r="GU877"/>
      <c r="GV877"/>
      <c r="GW877"/>
      <c r="GX877"/>
      <c r="GY877"/>
      <c r="GZ877"/>
      <c r="HA877"/>
      <c r="HB877"/>
      <c r="HC877"/>
      <c r="HD877"/>
      <c r="HE877"/>
      <c r="HF877"/>
      <c r="HG877"/>
      <c r="HH877"/>
      <c r="HI877"/>
      <c r="HJ877"/>
      <c r="HK877"/>
      <c r="HL877"/>
      <c r="HM877"/>
      <c r="HN877"/>
      <c r="HO877"/>
      <c r="HP877"/>
      <c r="HQ877"/>
      <c r="HR877"/>
      <c r="HS877"/>
      <c r="HT877"/>
      <c r="HU877"/>
      <c r="HV877"/>
      <c r="HW877"/>
      <c r="HX877"/>
      <c r="HY877"/>
      <c r="HZ877"/>
      <c r="IA877"/>
      <c r="IB877"/>
      <c r="IC877"/>
      <c r="ID877"/>
      <c r="IE877"/>
      <c r="IF877"/>
      <c r="IG877"/>
      <c r="IH877"/>
      <c r="II877"/>
      <c r="IJ877"/>
      <c r="IK877"/>
      <c r="IL877"/>
      <c r="IM877"/>
      <c r="IN877"/>
      <c r="IO877"/>
      <c r="IP877"/>
      <c r="IQ877"/>
    </row>
    <row r="878" spans="1:252" ht="27" customHeight="1" x14ac:dyDescent="0.2">
      <c r="A878" s="726"/>
      <c r="B878" s="1085" t="s">
        <v>807</v>
      </c>
      <c r="C878" s="1083">
        <f>SUM(C879)</f>
        <v>300000</v>
      </c>
      <c r="D878" s="1083">
        <f>SUM(D879)</f>
        <v>300000</v>
      </c>
      <c r="E878" s="707"/>
      <c r="F878" s="707"/>
      <c r="G878" s="1243"/>
      <c r="H878" s="1248"/>
      <c r="I878" s="125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c r="DL878"/>
      <c r="DM878"/>
      <c r="DN878"/>
      <c r="DO878"/>
      <c r="DP878"/>
      <c r="DQ878"/>
      <c r="DR878"/>
      <c r="DS878"/>
      <c r="DT878"/>
      <c r="DU878"/>
      <c r="DV878"/>
      <c r="DW878"/>
      <c r="DX878"/>
      <c r="DY878"/>
      <c r="DZ878"/>
      <c r="EA878"/>
      <c r="EB878"/>
      <c r="EC878"/>
      <c r="ED878"/>
      <c r="EE878"/>
      <c r="EF878"/>
      <c r="EG878"/>
      <c r="EH878"/>
      <c r="EI878"/>
      <c r="EJ878"/>
      <c r="EK878"/>
      <c r="EL878"/>
      <c r="EM878"/>
      <c r="EN878"/>
      <c r="EO878"/>
      <c r="EP878"/>
      <c r="EQ878"/>
      <c r="ER878"/>
      <c r="ES878"/>
      <c r="ET878"/>
      <c r="EU878"/>
      <c r="EV878"/>
      <c r="EW878"/>
      <c r="EX878"/>
      <c r="EY878"/>
      <c r="EZ878"/>
      <c r="FA878"/>
      <c r="FB878"/>
      <c r="FC878"/>
      <c r="FD878"/>
      <c r="FE878"/>
      <c r="FF878"/>
      <c r="FG878"/>
      <c r="FH878"/>
      <c r="FI878"/>
      <c r="FJ878"/>
      <c r="FK878"/>
      <c r="FL878"/>
      <c r="FM878"/>
      <c r="FN878"/>
      <c r="FO878"/>
      <c r="FP878"/>
      <c r="FQ878"/>
      <c r="FR878"/>
      <c r="FS878"/>
      <c r="FT878"/>
      <c r="FU878"/>
      <c r="FV878"/>
      <c r="FW878"/>
      <c r="FX878"/>
      <c r="FY878"/>
      <c r="FZ878"/>
      <c r="GA878"/>
      <c r="GB878"/>
      <c r="GC878"/>
      <c r="GD878"/>
      <c r="GE878"/>
      <c r="GF878"/>
      <c r="GG878"/>
      <c r="GH878"/>
      <c r="GI878"/>
      <c r="GJ878"/>
      <c r="GK878"/>
      <c r="GL878"/>
      <c r="GM878"/>
      <c r="GN878"/>
      <c r="GO878"/>
      <c r="GP878"/>
      <c r="GQ878"/>
      <c r="GR878"/>
      <c r="GS878"/>
      <c r="GT878"/>
      <c r="GU878"/>
      <c r="GV878"/>
      <c r="GW878"/>
      <c r="GX878"/>
      <c r="GY878"/>
      <c r="GZ878"/>
      <c r="HA878"/>
      <c r="HB878"/>
      <c r="HC878"/>
      <c r="HD878"/>
      <c r="HE878"/>
      <c r="HF878"/>
      <c r="HG878"/>
      <c r="HH878"/>
      <c r="HI878"/>
      <c r="HJ878"/>
      <c r="HK878"/>
      <c r="HL878"/>
      <c r="HM878"/>
      <c r="HN878"/>
      <c r="HO878"/>
      <c r="HP878"/>
      <c r="HQ878"/>
      <c r="HR878"/>
      <c r="HS878"/>
      <c r="HT878"/>
      <c r="HU878"/>
      <c r="HV878"/>
      <c r="HW878"/>
      <c r="HX878"/>
      <c r="HY878"/>
      <c r="HZ878"/>
      <c r="IA878"/>
      <c r="IB878"/>
      <c r="IC878"/>
      <c r="ID878"/>
      <c r="IE878"/>
      <c r="IF878"/>
      <c r="IG878"/>
      <c r="IH878"/>
      <c r="II878"/>
      <c r="IJ878"/>
      <c r="IK878"/>
      <c r="IL878"/>
      <c r="IM878"/>
      <c r="IN878"/>
      <c r="IO878"/>
      <c r="IP878"/>
      <c r="IQ878"/>
    </row>
    <row r="879" spans="1:252" ht="27" customHeight="1" x14ac:dyDescent="0.2">
      <c r="A879" s="726"/>
      <c r="B879" s="979" t="s">
        <v>1117</v>
      </c>
      <c r="C879" s="983">
        <v>300000</v>
      </c>
      <c r="D879" s="983">
        <v>300000</v>
      </c>
      <c r="E879" s="1173"/>
      <c r="F879" s="1173"/>
      <c r="G879" s="1364"/>
      <c r="H879" s="1365"/>
      <c r="I879" s="136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c r="DL879"/>
      <c r="DM879"/>
      <c r="DN879"/>
      <c r="DO879"/>
      <c r="DP879"/>
      <c r="DQ879"/>
      <c r="DR879"/>
      <c r="DS879"/>
      <c r="DT879"/>
      <c r="DU879"/>
      <c r="DV879"/>
      <c r="DW879"/>
      <c r="DX879"/>
      <c r="DY879"/>
      <c r="DZ879"/>
      <c r="EA879"/>
      <c r="EB879"/>
      <c r="EC879"/>
      <c r="ED879"/>
      <c r="EE879"/>
      <c r="EF879"/>
      <c r="EG879"/>
      <c r="EH879"/>
      <c r="EI879"/>
      <c r="EJ879"/>
      <c r="EK879"/>
      <c r="EL879"/>
      <c r="EM879"/>
      <c r="EN879"/>
      <c r="EO879"/>
      <c r="EP879"/>
      <c r="EQ879"/>
      <c r="ER879"/>
      <c r="ES879"/>
      <c r="ET879"/>
      <c r="EU879"/>
      <c r="EV879"/>
      <c r="EW879"/>
      <c r="EX879"/>
      <c r="EY879"/>
      <c r="EZ879"/>
      <c r="FA879"/>
      <c r="FB879"/>
      <c r="FC879"/>
      <c r="FD879"/>
      <c r="FE879"/>
      <c r="FF879"/>
      <c r="FG879"/>
      <c r="FH879"/>
      <c r="FI879"/>
      <c r="FJ879"/>
      <c r="FK879"/>
      <c r="FL879"/>
      <c r="FM879"/>
      <c r="FN879"/>
      <c r="FO879"/>
      <c r="FP879"/>
      <c r="FQ879"/>
      <c r="FR879"/>
      <c r="FS879"/>
      <c r="FT879"/>
      <c r="FU879"/>
      <c r="FV879"/>
      <c r="FW879"/>
      <c r="FX879"/>
      <c r="FY879"/>
      <c r="FZ879"/>
      <c r="GA879"/>
      <c r="GB879"/>
      <c r="GC879"/>
      <c r="GD879"/>
      <c r="GE879"/>
      <c r="GF879"/>
      <c r="GG879"/>
      <c r="GH879"/>
      <c r="GI879"/>
      <c r="GJ879"/>
      <c r="GK879"/>
      <c r="GL879"/>
      <c r="GM879"/>
      <c r="GN879"/>
      <c r="GO879"/>
      <c r="GP879"/>
      <c r="GQ879"/>
      <c r="GR879"/>
      <c r="GS879"/>
      <c r="GT879"/>
      <c r="GU879"/>
      <c r="GV879"/>
      <c r="GW879"/>
      <c r="GX879"/>
      <c r="GY879"/>
      <c r="GZ879"/>
      <c r="HA879"/>
      <c r="HB879"/>
      <c r="HC879"/>
      <c r="HD879"/>
      <c r="HE879"/>
      <c r="HF879"/>
      <c r="HG879"/>
      <c r="HH879"/>
      <c r="HI879"/>
      <c r="HJ879"/>
      <c r="HK879"/>
      <c r="HL879"/>
      <c r="HM879"/>
      <c r="HN879"/>
      <c r="HO879"/>
      <c r="HP879"/>
      <c r="HQ879"/>
      <c r="HR879"/>
      <c r="HS879"/>
      <c r="HT879"/>
      <c r="HU879"/>
      <c r="HV879"/>
      <c r="HW879"/>
      <c r="HX879"/>
      <c r="HY879"/>
      <c r="HZ879"/>
      <c r="IA879"/>
      <c r="IB879"/>
      <c r="IC879"/>
      <c r="ID879"/>
      <c r="IE879"/>
      <c r="IF879"/>
      <c r="IG879"/>
      <c r="IH879"/>
      <c r="II879"/>
      <c r="IJ879"/>
      <c r="IK879"/>
      <c r="IL879"/>
      <c r="IM879"/>
      <c r="IN879"/>
      <c r="IO879"/>
      <c r="IP879"/>
      <c r="IQ879"/>
    </row>
    <row r="880" spans="1:252" ht="27" customHeight="1" x14ac:dyDescent="0.2">
      <c r="A880" s="739"/>
      <c r="B880" s="1088" t="s">
        <v>844</v>
      </c>
      <c r="C880" s="1089">
        <f>C881+C886+C892+C903+C904+C905+C906+C907+C912</f>
        <v>55270000</v>
      </c>
      <c r="D880" s="1089">
        <f>D881+D886+D892+D903+D904+D905+D906+D907+D912</f>
        <v>55270000</v>
      </c>
      <c r="E880" s="1368"/>
      <c r="F880" s="1369"/>
      <c r="G880" s="1361"/>
      <c r="H880" s="1362"/>
      <c r="I880" s="1363"/>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c r="DL880"/>
      <c r="DM880"/>
      <c r="DN880"/>
      <c r="DO880"/>
      <c r="DP880"/>
      <c r="DQ880"/>
      <c r="DR880"/>
      <c r="DS880"/>
      <c r="DT880"/>
      <c r="DU880"/>
      <c r="DV880"/>
      <c r="DW880"/>
      <c r="DX880"/>
      <c r="DY880"/>
      <c r="DZ880"/>
      <c r="EA880"/>
      <c r="EB880"/>
      <c r="EC880"/>
      <c r="ED880"/>
      <c r="EE880"/>
      <c r="EF880"/>
      <c r="EG880"/>
      <c r="EH880"/>
      <c r="EI880"/>
      <c r="EJ880"/>
      <c r="EK880"/>
      <c r="EL880"/>
      <c r="EM880"/>
      <c r="EN880"/>
      <c r="EO880"/>
      <c r="EP880"/>
      <c r="EQ880"/>
      <c r="ER880"/>
      <c r="ES880"/>
      <c r="ET880"/>
      <c r="EU880"/>
      <c r="EV880"/>
      <c r="EW880"/>
      <c r="EX880"/>
      <c r="EY880"/>
      <c r="EZ880"/>
      <c r="FA880"/>
      <c r="FB880"/>
      <c r="FC880"/>
      <c r="FD880"/>
      <c r="FE880"/>
      <c r="FF880"/>
      <c r="FG880"/>
      <c r="FH880"/>
      <c r="FI880"/>
      <c r="FJ880"/>
      <c r="FK880"/>
      <c r="FL880"/>
      <c r="FM880"/>
      <c r="FN880"/>
      <c r="FO880"/>
      <c r="FP880"/>
      <c r="FQ880"/>
      <c r="FR880"/>
      <c r="FS880"/>
      <c r="FT880"/>
      <c r="FU880"/>
      <c r="FV880"/>
      <c r="FW880"/>
      <c r="FX880"/>
      <c r="FY880"/>
      <c r="FZ880"/>
      <c r="GA880"/>
      <c r="GB880"/>
      <c r="GC880"/>
      <c r="GD880"/>
      <c r="GE880"/>
      <c r="GF880"/>
      <c r="GG880"/>
      <c r="GH880"/>
      <c r="GI880"/>
      <c r="GJ880"/>
      <c r="GK880"/>
      <c r="GL880"/>
      <c r="GM880"/>
      <c r="GN880"/>
      <c r="GO880"/>
      <c r="GP880"/>
      <c r="GQ880"/>
      <c r="GR880"/>
      <c r="GS880"/>
      <c r="GT880"/>
      <c r="GU880"/>
      <c r="GV880"/>
      <c r="GW880"/>
      <c r="GX880"/>
      <c r="GY880"/>
      <c r="GZ880"/>
      <c r="HA880"/>
      <c r="HB880"/>
      <c r="HC880"/>
      <c r="HD880"/>
      <c r="HE880"/>
      <c r="HF880"/>
      <c r="HG880"/>
      <c r="HH880"/>
      <c r="HI880"/>
      <c r="HJ880"/>
      <c r="HK880"/>
      <c r="HL880"/>
      <c r="HM880"/>
      <c r="HN880"/>
      <c r="HO880"/>
      <c r="HP880"/>
      <c r="HQ880"/>
      <c r="HR880"/>
      <c r="HS880"/>
      <c r="HT880"/>
      <c r="HU880"/>
      <c r="HV880"/>
      <c r="HW880"/>
      <c r="HX880"/>
      <c r="HY880"/>
      <c r="HZ880"/>
      <c r="IA880"/>
      <c r="IB880"/>
      <c r="IC880"/>
      <c r="ID880"/>
      <c r="IE880"/>
      <c r="IF880"/>
      <c r="IG880"/>
      <c r="IH880"/>
      <c r="II880"/>
      <c r="IJ880"/>
      <c r="IK880"/>
      <c r="IL880"/>
      <c r="IM880"/>
      <c r="IN880"/>
      <c r="IO880"/>
      <c r="IP880"/>
      <c r="IQ880"/>
    </row>
    <row r="881" spans="1:252" ht="27" customHeight="1" x14ac:dyDescent="0.2">
      <c r="A881" s="742"/>
      <c r="B881" s="1090" t="s">
        <v>845</v>
      </c>
      <c r="C881" s="1091">
        <f>SUM(C882:C885)</f>
        <v>10050000</v>
      </c>
      <c r="D881" s="1091">
        <f>SUM(D882:D885)</f>
        <v>10050000</v>
      </c>
      <c r="E881" s="699"/>
      <c r="F881" s="699"/>
      <c r="G881" s="1243"/>
      <c r="H881" s="1248"/>
      <c r="I881" s="1258"/>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c r="DT881"/>
      <c r="DU881"/>
      <c r="DV881"/>
      <c r="DW881"/>
      <c r="DX881"/>
      <c r="DY881"/>
      <c r="DZ881"/>
      <c r="EA881"/>
      <c r="EB881"/>
      <c r="EC881"/>
      <c r="ED881"/>
      <c r="EE881"/>
      <c r="EF881"/>
      <c r="EG881"/>
      <c r="EH881"/>
      <c r="EI881"/>
      <c r="EJ881"/>
      <c r="EK881"/>
      <c r="EL881"/>
      <c r="EM881"/>
      <c r="EN881"/>
      <c r="EO881"/>
      <c r="EP881"/>
      <c r="EQ881"/>
      <c r="ER881"/>
      <c r="ES881"/>
      <c r="ET881"/>
      <c r="EU881"/>
      <c r="EV881"/>
      <c r="EW881"/>
      <c r="EX881"/>
      <c r="EY881"/>
      <c r="EZ881"/>
      <c r="FA881"/>
      <c r="FB881"/>
      <c r="FC881"/>
      <c r="FD881"/>
      <c r="FE881"/>
      <c r="FF881"/>
      <c r="FG881"/>
      <c r="FH881"/>
      <c r="FI881"/>
      <c r="FJ881"/>
      <c r="FK881"/>
      <c r="FL881"/>
      <c r="FM881"/>
      <c r="FN881"/>
      <c r="FO881"/>
      <c r="FP881"/>
      <c r="FQ881"/>
      <c r="FR881"/>
      <c r="FS881"/>
      <c r="FT881"/>
      <c r="FU881"/>
      <c r="FV881"/>
      <c r="FW881"/>
      <c r="FX881"/>
      <c r="FY881"/>
      <c r="FZ881"/>
      <c r="GA881"/>
      <c r="GB881"/>
      <c r="GC881"/>
      <c r="GD881"/>
      <c r="GE881"/>
      <c r="GF881"/>
      <c r="GG881"/>
      <c r="GH881"/>
      <c r="GI881"/>
      <c r="GJ881"/>
      <c r="GK881"/>
      <c r="GL881"/>
      <c r="GM881"/>
      <c r="GN881"/>
      <c r="GO881"/>
      <c r="GP881"/>
      <c r="GQ881"/>
      <c r="GR881"/>
      <c r="GS881"/>
      <c r="GT881"/>
      <c r="GU881"/>
      <c r="GV881"/>
      <c r="GW881"/>
      <c r="GX881"/>
      <c r="GY881"/>
      <c r="GZ881"/>
      <c r="HA881"/>
      <c r="HB881"/>
      <c r="HC881"/>
      <c r="HD881"/>
      <c r="HE881"/>
      <c r="HF881"/>
      <c r="HG881"/>
      <c r="HH881"/>
      <c r="HI881"/>
      <c r="HJ881"/>
      <c r="HK881"/>
      <c r="HL881"/>
      <c r="HM881"/>
      <c r="HN881"/>
      <c r="HO881"/>
      <c r="HP881"/>
      <c r="HQ881"/>
      <c r="HR881"/>
      <c r="HS881"/>
      <c r="HT881"/>
      <c r="HU881"/>
      <c r="HV881"/>
      <c r="HW881"/>
      <c r="HX881"/>
      <c r="HY881"/>
      <c r="HZ881"/>
      <c r="IA881"/>
      <c r="IB881"/>
      <c r="IC881"/>
      <c r="ID881"/>
      <c r="IE881"/>
      <c r="IF881"/>
      <c r="IG881"/>
      <c r="IH881"/>
      <c r="II881"/>
      <c r="IJ881"/>
      <c r="IK881"/>
      <c r="IL881"/>
      <c r="IM881"/>
      <c r="IN881"/>
      <c r="IO881"/>
      <c r="IP881"/>
      <c r="IQ881"/>
    </row>
    <row r="882" spans="1:252" ht="27" customHeight="1" x14ac:dyDescent="0.2">
      <c r="A882" s="739"/>
      <c r="B882" s="970" t="s">
        <v>1435</v>
      </c>
      <c r="C882" s="861">
        <v>5750000</v>
      </c>
      <c r="D882" s="861">
        <v>5750000</v>
      </c>
      <c r="E882" s="1191"/>
      <c r="F882" s="1191"/>
      <c r="G882" s="1243"/>
      <c r="H882" s="1248"/>
      <c r="I882" s="1258"/>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c r="DT882"/>
      <c r="DU882"/>
      <c r="DV882"/>
      <c r="DW882"/>
      <c r="DX882"/>
      <c r="DY882"/>
      <c r="DZ882"/>
      <c r="EA882"/>
      <c r="EB882"/>
      <c r="EC882"/>
      <c r="ED882"/>
      <c r="EE882"/>
      <c r="EF882"/>
      <c r="EG882"/>
      <c r="EH882"/>
      <c r="EI882"/>
      <c r="EJ882"/>
      <c r="EK882"/>
      <c r="EL882"/>
      <c r="EM882"/>
      <c r="EN882"/>
      <c r="EO882"/>
      <c r="EP882"/>
      <c r="EQ882"/>
      <c r="ER882"/>
      <c r="ES882"/>
      <c r="ET882"/>
      <c r="EU882"/>
      <c r="EV882"/>
      <c r="EW882"/>
      <c r="EX882"/>
      <c r="EY882"/>
      <c r="EZ882"/>
      <c r="FA882"/>
      <c r="FB882"/>
      <c r="FC882"/>
      <c r="FD882"/>
      <c r="FE882"/>
      <c r="FF882"/>
      <c r="FG882"/>
      <c r="FH882"/>
      <c r="FI882"/>
      <c r="FJ882"/>
      <c r="FK882"/>
      <c r="FL882"/>
      <c r="FM882"/>
      <c r="FN882"/>
      <c r="FO882"/>
      <c r="FP882"/>
      <c r="FQ882"/>
      <c r="FR882"/>
      <c r="FS882"/>
      <c r="FT882"/>
      <c r="FU882"/>
      <c r="FV882"/>
      <c r="FW882"/>
      <c r="FX882"/>
      <c r="FY882"/>
      <c r="FZ882"/>
      <c r="GA882"/>
      <c r="GB882"/>
      <c r="GC882"/>
      <c r="GD882"/>
      <c r="GE882"/>
      <c r="GF882"/>
      <c r="GG882"/>
      <c r="GH882"/>
      <c r="GI882"/>
      <c r="GJ882"/>
      <c r="GK882"/>
      <c r="GL882"/>
      <c r="GM882"/>
      <c r="GN882"/>
      <c r="GO882"/>
      <c r="GP882"/>
      <c r="GQ882"/>
      <c r="GR882"/>
      <c r="GS882"/>
      <c r="GT882"/>
      <c r="GU882"/>
      <c r="GV882"/>
      <c r="GW882"/>
      <c r="GX882"/>
      <c r="GY882"/>
      <c r="GZ882"/>
      <c r="HA882"/>
      <c r="HB882"/>
      <c r="HC882"/>
      <c r="HD882"/>
      <c r="HE882"/>
      <c r="HF882"/>
      <c r="HG882"/>
      <c r="HH882"/>
      <c r="HI882"/>
      <c r="HJ882"/>
      <c r="HK882"/>
      <c r="HL882"/>
      <c r="HM882"/>
      <c r="HN882"/>
      <c r="HO882"/>
      <c r="HP882"/>
      <c r="HQ882"/>
      <c r="HR882"/>
      <c r="HS882"/>
      <c r="HT882"/>
      <c r="HU882"/>
      <c r="HV882"/>
      <c r="HW882"/>
      <c r="HX882"/>
      <c r="HY882"/>
      <c r="HZ882"/>
      <c r="IA882"/>
      <c r="IB882"/>
      <c r="IC882"/>
      <c r="ID882"/>
      <c r="IE882"/>
      <c r="IF882"/>
      <c r="IG882"/>
      <c r="IH882"/>
      <c r="II882"/>
      <c r="IJ882"/>
      <c r="IK882"/>
      <c r="IL882"/>
      <c r="IM882"/>
      <c r="IN882"/>
      <c r="IO882"/>
      <c r="IP882"/>
      <c r="IQ882"/>
    </row>
    <row r="883" spans="1:252" ht="27" customHeight="1" x14ac:dyDescent="0.2">
      <c r="A883" s="739"/>
      <c r="B883" s="970" t="s">
        <v>1436</v>
      </c>
      <c r="C883" s="883">
        <v>500000</v>
      </c>
      <c r="D883" s="883">
        <v>500000</v>
      </c>
      <c r="E883" s="1191"/>
      <c r="F883" s="1191"/>
      <c r="G883" s="1243"/>
      <c r="H883" s="1248"/>
      <c r="I883" s="1258"/>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c r="DT883"/>
      <c r="DU883"/>
      <c r="DV883"/>
      <c r="DW883"/>
      <c r="DX883"/>
      <c r="DY883"/>
      <c r="DZ883"/>
      <c r="EA883"/>
      <c r="EB883"/>
      <c r="EC883"/>
      <c r="ED883"/>
      <c r="EE883"/>
      <c r="EF883"/>
      <c r="EG883"/>
      <c r="EH883"/>
      <c r="EI883"/>
      <c r="EJ883"/>
      <c r="EK883"/>
      <c r="EL883"/>
      <c r="EM883"/>
      <c r="EN883"/>
      <c r="EO883"/>
      <c r="EP883"/>
      <c r="EQ883"/>
      <c r="ER883"/>
      <c r="ES883"/>
      <c r="ET883"/>
      <c r="EU883"/>
      <c r="EV883"/>
      <c r="EW883"/>
      <c r="EX883"/>
      <c r="EY883"/>
      <c r="EZ883"/>
      <c r="FA883"/>
      <c r="FB883"/>
      <c r="FC883"/>
      <c r="FD883"/>
      <c r="FE883"/>
      <c r="FF883"/>
      <c r="FG883"/>
      <c r="FH883"/>
      <c r="FI883"/>
      <c r="FJ883"/>
      <c r="FK883"/>
      <c r="FL883"/>
      <c r="FM883"/>
      <c r="FN883"/>
      <c r="FO883"/>
      <c r="FP883"/>
      <c r="FQ883"/>
      <c r="FR883"/>
      <c r="FS883"/>
      <c r="FT883"/>
      <c r="FU883"/>
      <c r="FV883"/>
      <c r="FW883"/>
      <c r="FX883"/>
      <c r="FY883"/>
      <c r="FZ883"/>
      <c r="GA883"/>
      <c r="GB883"/>
      <c r="GC883"/>
      <c r="GD883"/>
      <c r="GE883"/>
      <c r="GF883"/>
      <c r="GG883"/>
      <c r="GH883"/>
      <c r="GI883"/>
      <c r="GJ883"/>
      <c r="GK883"/>
      <c r="GL883"/>
      <c r="GM883"/>
      <c r="GN883"/>
      <c r="GO883"/>
      <c r="GP883"/>
      <c r="GQ883"/>
      <c r="GR883"/>
      <c r="GS883"/>
      <c r="GT883"/>
      <c r="GU883"/>
      <c r="GV883"/>
      <c r="GW883"/>
      <c r="GX883"/>
      <c r="GY883"/>
      <c r="GZ883"/>
      <c r="HA883"/>
      <c r="HB883"/>
      <c r="HC883"/>
      <c r="HD883"/>
      <c r="HE883"/>
      <c r="HF883"/>
      <c r="HG883"/>
      <c r="HH883"/>
      <c r="HI883"/>
      <c r="HJ883"/>
      <c r="HK883"/>
      <c r="HL883"/>
      <c r="HM883"/>
      <c r="HN883"/>
      <c r="HO883"/>
      <c r="HP883"/>
      <c r="HQ883"/>
      <c r="HR883"/>
      <c r="HS883"/>
      <c r="HT883"/>
      <c r="HU883"/>
      <c r="HV883"/>
      <c r="HW883"/>
      <c r="HX883"/>
      <c r="HY883"/>
      <c r="HZ883"/>
      <c r="IA883"/>
      <c r="IB883"/>
      <c r="IC883"/>
      <c r="ID883"/>
      <c r="IE883"/>
      <c r="IF883"/>
      <c r="IG883"/>
      <c r="IH883"/>
      <c r="II883"/>
      <c r="IJ883"/>
      <c r="IK883"/>
      <c r="IL883"/>
      <c r="IM883"/>
      <c r="IN883"/>
      <c r="IO883"/>
      <c r="IP883"/>
      <c r="IQ883"/>
    </row>
    <row r="884" spans="1:252" ht="27" customHeight="1" x14ac:dyDescent="0.2">
      <c r="A884" s="739"/>
      <c r="B884" s="970" t="s">
        <v>1118</v>
      </c>
      <c r="C884" s="883">
        <v>1800000</v>
      </c>
      <c r="D884" s="883">
        <v>1800000</v>
      </c>
      <c r="E884" s="1191"/>
      <c r="F884" s="1191"/>
      <c r="G884" s="1243"/>
      <c r="H884" s="1248"/>
      <c r="I884" s="1258"/>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c r="DT884"/>
      <c r="DU884"/>
      <c r="DV884"/>
      <c r="DW884"/>
      <c r="DX884"/>
      <c r="DY884"/>
      <c r="DZ884"/>
      <c r="EA884"/>
      <c r="EB884"/>
      <c r="EC884"/>
      <c r="ED884"/>
      <c r="EE884"/>
      <c r="EF884"/>
      <c r="EG884"/>
      <c r="EH884"/>
      <c r="EI884"/>
      <c r="EJ884"/>
      <c r="EK884"/>
      <c r="EL884"/>
      <c r="EM884"/>
      <c r="EN884"/>
      <c r="EO884"/>
      <c r="EP884"/>
      <c r="EQ884"/>
      <c r="ER884"/>
      <c r="ES884"/>
      <c r="ET884"/>
      <c r="EU884"/>
      <c r="EV884"/>
      <c r="EW884"/>
      <c r="EX884"/>
      <c r="EY884"/>
      <c r="EZ884"/>
      <c r="FA884"/>
      <c r="FB884"/>
      <c r="FC884"/>
      <c r="FD884"/>
      <c r="FE884"/>
      <c r="FF884"/>
      <c r="FG884"/>
      <c r="FH884"/>
      <c r="FI884"/>
      <c r="FJ884"/>
      <c r="FK884"/>
      <c r="FL884"/>
      <c r="FM884"/>
      <c r="FN884"/>
      <c r="FO884"/>
      <c r="FP884"/>
      <c r="FQ884"/>
      <c r="FR884"/>
      <c r="FS884"/>
      <c r="FT884"/>
      <c r="FU884"/>
      <c r="FV884"/>
      <c r="FW884"/>
      <c r="FX884"/>
      <c r="FY884"/>
      <c r="FZ884"/>
      <c r="GA884"/>
      <c r="GB884"/>
      <c r="GC884"/>
      <c r="GD884"/>
      <c r="GE884"/>
      <c r="GF884"/>
      <c r="GG884"/>
      <c r="GH884"/>
      <c r="GI884"/>
      <c r="GJ884"/>
      <c r="GK884"/>
      <c r="GL884"/>
      <c r="GM884"/>
      <c r="GN884"/>
      <c r="GO884"/>
      <c r="GP884"/>
      <c r="GQ884"/>
      <c r="GR884"/>
      <c r="GS884"/>
      <c r="GT884"/>
      <c r="GU884"/>
      <c r="GV884"/>
      <c r="GW884"/>
      <c r="GX884"/>
      <c r="GY884"/>
      <c r="GZ884"/>
      <c r="HA884"/>
      <c r="HB884"/>
      <c r="HC884"/>
      <c r="HD884"/>
      <c r="HE884"/>
      <c r="HF884"/>
      <c r="HG884"/>
      <c r="HH884"/>
      <c r="HI884"/>
      <c r="HJ884"/>
      <c r="HK884"/>
      <c r="HL884"/>
      <c r="HM884"/>
      <c r="HN884"/>
      <c r="HO884"/>
      <c r="HP884"/>
      <c r="HQ884"/>
      <c r="HR884"/>
      <c r="HS884"/>
      <c r="HT884"/>
      <c r="HU884"/>
      <c r="HV884"/>
      <c r="HW884"/>
      <c r="HX884"/>
      <c r="HY884"/>
      <c r="HZ884"/>
      <c r="IA884"/>
      <c r="IB884"/>
      <c r="IC884"/>
      <c r="ID884"/>
      <c r="IE884"/>
      <c r="IF884"/>
      <c r="IG884"/>
      <c r="IH884"/>
      <c r="II884"/>
      <c r="IJ884"/>
      <c r="IK884"/>
      <c r="IL884"/>
      <c r="IM884"/>
      <c r="IN884"/>
      <c r="IO884"/>
      <c r="IP884"/>
      <c r="IQ884"/>
    </row>
    <row r="885" spans="1:252" ht="27" customHeight="1" x14ac:dyDescent="0.2">
      <c r="A885" s="739"/>
      <c r="B885" s="970" t="s">
        <v>1437</v>
      </c>
      <c r="C885" s="883">
        <v>2000000</v>
      </c>
      <c r="D885" s="883">
        <v>2000000</v>
      </c>
      <c r="E885" s="1174"/>
      <c r="F885" s="740"/>
      <c r="G885" s="1361"/>
      <c r="H885" s="1362"/>
      <c r="I885" s="1363"/>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c r="DL885"/>
      <c r="DM885"/>
      <c r="DN885"/>
      <c r="DO885"/>
      <c r="DP885"/>
      <c r="DQ885"/>
      <c r="DR885"/>
      <c r="DS885"/>
      <c r="DT885"/>
      <c r="DU885"/>
      <c r="DV885"/>
      <c r="DW885"/>
      <c r="DX885"/>
      <c r="DY885"/>
      <c r="DZ885"/>
      <c r="EA885"/>
      <c r="EB885"/>
      <c r="EC885"/>
      <c r="ED885"/>
      <c r="EE885"/>
      <c r="EF885"/>
      <c r="EG885"/>
      <c r="EH885"/>
      <c r="EI885"/>
      <c r="EJ885"/>
      <c r="EK885"/>
      <c r="EL885"/>
      <c r="EM885"/>
      <c r="EN885"/>
      <c r="EO885"/>
      <c r="EP885"/>
      <c r="EQ885"/>
      <c r="ER885"/>
      <c r="ES885"/>
      <c r="ET885"/>
      <c r="EU885"/>
      <c r="EV885"/>
      <c r="EW885"/>
      <c r="EX885"/>
      <c r="EY885"/>
      <c r="EZ885"/>
      <c r="FA885"/>
      <c r="FB885"/>
      <c r="FC885"/>
      <c r="FD885"/>
      <c r="FE885"/>
      <c r="FF885"/>
      <c r="FG885"/>
      <c r="FH885"/>
      <c r="FI885"/>
      <c r="FJ885"/>
      <c r="FK885"/>
      <c r="FL885"/>
      <c r="FM885"/>
      <c r="FN885"/>
      <c r="FO885"/>
      <c r="FP885"/>
      <c r="FQ885"/>
      <c r="FR885"/>
      <c r="FS885"/>
      <c r="FT885"/>
      <c r="FU885"/>
      <c r="FV885"/>
      <c r="FW885"/>
      <c r="FX885"/>
      <c r="FY885"/>
      <c r="FZ885"/>
      <c r="GA885"/>
      <c r="GB885"/>
      <c r="GC885"/>
      <c r="GD885"/>
      <c r="GE885"/>
      <c r="GF885"/>
      <c r="GG885"/>
      <c r="GH885"/>
      <c r="GI885"/>
      <c r="GJ885"/>
      <c r="GK885"/>
      <c r="GL885"/>
      <c r="GM885"/>
      <c r="GN885"/>
      <c r="GO885"/>
      <c r="GP885"/>
      <c r="GQ885"/>
      <c r="GR885"/>
      <c r="GS885"/>
      <c r="GT885"/>
      <c r="GU885"/>
      <c r="GV885"/>
      <c r="GW885"/>
      <c r="GX885"/>
      <c r="GY885"/>
      <c r="GZ885"/>
      <c r="HA885"/>
      <c r="HB885"/>
      <c r="HC885"/>
      <c r="HD885"/>
      <c r="HE885"/>
      <c r="HF885"/>
      <c r="HG885"/>
      <c r="HH885"/>
      <c r="HI885"/>
      <c r="HJ885"/>
      <c r="HK885"/>
      <c r="HL885"/>
      <c r="HM885"/>
      <c r="HN885"/>
      <c r="HO885"/>
      <c r="HP885"/>
      <c r="HQ885"/>
      <c r="HR885"/>
      <c r="HS885"/>
      <c r="HT885"/>
      <c r="HU885"/>
      <c r="HV885"/>
      <c r="HW885"/>
      <c r="HX885"/>
      <c r="HY885"/>
      <c r="HZ885"/>
      <c r="IA885"/>
      <c r="IB885"/>
      <c r="IC885"/>
      <c r="ID885"/>
      <c r="IE885"/>
      <c r="IF885"/>
      <c r="IG885"/>
      <c r="IH885"/>
      <c r="II885"/>
      <c r="IJ885"/>
      <c r="IK885"/>
      <c r="IL885"/>
      <c r="IM885"/>
      <c r="IN885"/>
      <c r="IO885"/>
      <c r="IP885"/>
      <c r="IQ885"/>
    </row>
    <row r="886" spans="1:252" ht="27" customHeight="1" x14ac:dyDescent="0.2">
      <c r="A886" s="739"/>
      <c r="B886" s="1092" t="s">
        <v>1438</v>
      </c>
      <c r="C886" s="1093">
        <f>C887+C888</f>
        <v>4250000</v>
      </c>
      <c r="D886" s="1093">
        <f>D887+D888</f>
        <v>4250000</v>
      </c>
      <c r="E886" s="707"/>
      <c r="F886" s="707"/>
      <c r="G886" s="1243"/>
      <c r="H886" s="1248"/>
      <c r="I886" s="1258"/>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c r="DL886"/>
      <c r="DM886"/>
      <c r="DN886"/>
      <c r="DO886"/>
      <c r="DP886"/>
      <c r="DQ886"/>
      <c r="DR886"/>
      <c r="DS886"/>
      <c r="DT886"/>
      <c r="DU886"/>
      <c r="DV886"/>
      <c r="DW886"/>
      <c r="DX886"/>
      <c r="DY886"/>
      <c r="DZ886"/>
      <c r="EA886"/>
      <c r="EB886"/>
      <c r="EC886"/>
      <c r="ED886"/>
      <c r="EE886"/>
      <c r="EF886"/>
      <c r="EG886"/>
      <c r="EH886"/>
      <c r="EI886"/>
      <c r="EJ886"/>
      <c r="EK886"/>
      <c r="EL886"/>
      <c r="EM886"/>
      <c r="EN886"/>
      <c r="EO886"/>
      <c r="EP886"/>
      <c r="EQ886"/>
      <c r="ER886"/>
      <c r="ES886"/>
      <c r="ET886"/>
      <c r="EU886"/>
      <c r="EV886"/>
      <c r="EW886"/>
      <c r="EX886"/>
      <c r="EY886"/>
      <c r="EZ886"/>
      <c r="FA886"/>
      <c r="FB886"/>
      <c r="FC886"/>
      <c r="FD886"/>
      <c r="FE886"/>
      <c r="FF886"/>
      <c r="FG886"/>
      <c r="FH886"/>
      <c r="FI886"/>
      <c r="FJ886"/>
      <c r="FK886"/>
      <c r="FL886"/>
      <c r="FM886"/>
      <c r="FN886"/>
      <c r="FO886"/>
      <c r="FP886"/>
      <c r="FQ886"/>
      <c r="FR886"/>
      <c r="FS886"/>
      <c r="FT886"/>
      <c r="FU886"/>
      <c r="FV886"/>
      <c r="FW886"/>
      <c r="FX886"/>
      <c r="FY886"/>
      <c r="FZ886"/>
      <c r="GA886"/>
      <c r="GB886"/>
      <c r="GC886"/>
      <c r="GD886"/>
      <c r="GE886"/>
      <c r="GF886"/>
      <c r="GG886"/>
      <c r="GH886"/>
      <c r="GI886"/>
      <c r="GJ886"/>
      <c r="GK886"/>
      <c r="GL886"/>
      <c r="GM886"/>
      <c r="GN886"/>
      <c r="GO886"/>
      <c r="GP886"/>
      <c r="GQ886"/>
      <c r="GR886"/>
      <c r="GS886"/>
      <c r="GT886"/>
      <c r="GU886"/>
      <c r="GV886"/>
      <c r="GW886"/>
      <c r="GX886"/>
      <c r="GY886"/>
      <c r="GZ886"/>
      <c r="HA886"/>
      <c r="HB886"/>
      <c r="HC886"/>
      <c r="HD886"/>
      <c r="HE886"/>
      <c r="HF886"/>
      <c r="HG886"/>
      <c r="HH886"/>
      <c r="HI886"/>
      <c r="HJ886"/>
      <c r="HK886"/>
      <c r="HL886"/>
      <c r="HM886"/>
      <c r="HN886"/>
      <c r="HO886"/>
      <c r="HP886"/>
      <c r="HQ886"/>
      <c r="HR886"/>
      <c r="HS886"/>
      <c r="HT886"/>
      <c r="HU886"/>
      <c r="HV886"/>
      <c r="HW886"/>
      <c r="HX886"/>
      <c r="HY886"/>
      <c r="HZ886"/>
      <c r="IA886"/>
      <c r="IB886"/>
      <c r="IC886"/>
      <c r="ID886"/>
      <c r="IE886"/>
      <c r="IF886"/>
      <c r="IG886"/>
      <c r="IH886"/>
      <c r="II886"/>
      <c r="IJ886"/>
      <c r="IK886"/>
      <c r="IL886"/>
      <c r="IM886"/>
      <c r="IN886"/>
      <c r="IO886"/>
      <c r="IP886"/>
      <c r="IQ886"/>
    </row>
    <row r="887" spans="1:252" ht="27" customHeight="1" x14ac:dyDescent="0.2">
      <c r="A887" s="726"/>
      <c r="B887" s="970" t="s">
        <v>1075</v>
      </c>
      <c r="C887" s="983">
        <v>3000000</v>
      </c>
      <c r="D887" s="983">
        <v>3000000</v>
      </c>
      <c r="E887" s="707"/>
      <c r="F887" s="707"/>
      <c r="G887" s="1243"/>
      <c r="H887" s="1248"/>
      <c r="I887" s="1258"/>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c r="DT887"/>
      <c r="DU887"/>
      <c r="DV887"/>
      <c r="DW887"/>
      <c r="DX887"/>
      <c r="DY887"/>
      <c r="DZ887"/>
      <c r="EA887"/>
      <c r="EB887"/>
      <c r="EC887"/>
      <c r="ED887"/>
      <c r="EE887"/>
      <c r="EF887"/>
      <c r="EG887"/>
      <c r="EH887"/>
      <c r="EI887"/>
      <c r="EJ887"/>
      <c r="EK887"/>
      <c r="EL887"/>
      <c r="EM887"/>
      <c r="EN887"/>
      <c r="EO887"/>
      <c r="EP887"/>
      <c r="EQ887"/>
      <c r="ER887"/>
      <c r="ES887"/>
      <c r="ET887"/>
      <c r="EU887"/>
      <c r="EV887"/>
      <c r="EW887"/>
      <c r="EX887"/>
      <c r="EY887"/>
      <c r="EZ887"/>
      <c r="FA887"/>
      <c r="FB887"/>
      <c r="FC887"/>
      <c r="FD887"/>
      <c r="FE887"/>
      <c r="FF887"/>
      <c r="FG887"/>
      <c r="FH887"/>
      <c r="FI887"/>
      <c r="FJ887"/>
      <c r="FK887"/>
      <c r="FL887"/>
      <c r="FM887"/>
      <c r="FN887"/>
      <c r="FO887"/>
      <c r="FP887"/>
      <c r="FQ887"/>
      <c r="FR887"/>
      <c r="FS887"/>
      <c r="FT887"/>
      <c r="FU887"/>
      <c r="FV887"/>
      <c r="FW887"/>
      <c r="FX887"/>
      <c r="FY887"/>
      <c r="FZ887"/>
      <c r="GA887"/>
      <c r="GB887"/>
      <c r="GC887"/>
      <c r="GD887"/>
      <c r="GE887"/>
      <c r="GF887"/>
      <c r="GG887"/>
      <c r="GH887"/>
      <c r="GI887"/>
      <c r="GJ887"/>
      <c r="GK887"/>
      <c r="GL887"/>
      <c r="GM887"/>
      <c r="GN887"/>
      <c r="GO887"/>
      <c r="GP887"/>
      <c r="GQ887"/>
      <c r="GR887"/>
      <c r="GS887"/>
      <c r="GT887"/>
      <c r="GU887"/>
      <c r="GV887"/>
      <c r="GW887"/>
      <c r="GX887"/>
      <c r="GY887"/>
      <c r="GZ887"/>
      <c r="HA887"/>
      <c r="HB887"/>
      <c r="HC887"/>
      <c r="HD887"/>
      <c r="HE887"/>
      <c r="HF887"/>
      <c r="HG887"/>
      <c r="HH887"/>
      <c r="HI887"/>
      <c r="HJ887"/>
      <c r="HK887"/>
      <c r="HL887"/>
      <c r="HM887"/>
      <c r="HN887"/>
      <c r="HO887"/>
      <c r="HP887"/>
      <c r="HQ887"/>
      <c r="HR887"/>
      <c r="HS887"/>
      <c r="HT887"/>
      <c r="HU887"/>
      <c r="HV887"/>
      <c r="HW887"/>
      <c r="HX887"/>
      <c r="HY887"/>
      <c r="HZ887"/>
      <c r="IA887"/>
      <c r="IB887"/>
      <c r="IC887"/>
      <c r="ID887"/>
      <c r="IE887"/>
      <c r="IF887"/>
      <c r="IG887"/>
      <c r="IH887"/>
      <c r="II887"/>
      <c r="IJ887"/>
      <c r="IK887"/>
      <c r="IL887"/>
      <c r="IM887"/>
      <c r="IN887"/>
      <c r="IO887"/>
      <c r="IP887"/>
      <c r="IQ887"/>
    </row>
    <row r="888" spans="1:252" ht="27" customHeight="1" x14ac:dyDescent="0.2">
      <c r="A888" s="726"/>
      <c r="B888" s="1094" t="s">
        <v>851</v>
      </c>
      <c r="C888" s="983">
        <f>SUM(C889:C891)</f>
        <v>1250000</v>
      </c>
      <c r="D888" s="983">
        <f>SUM(D889:D891)</f>
        <v>1250000</v>
      </c>
      <c r="E888" s="707"/>
      <c r="F888" s="707"/>
      <c r="G888" s="1243"/>
      <c r="H888" s="1248"/>
      <c r="I888" s="125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c r="DU888"/>
      <c r="DV888"/>
      <c r="DW888"/>
      <c r="DX888"/>
      <c r="DY888"/>
      <c r="DZ888"/>
      <c r="EA888"/>
      <c r="EB888"/>
      <c r="EC888"/>
      <c r="ED888"/>
      <c r="EE888"/>
      <c r="EF888"/>
      <c r="EG888"/>
      <c r="EH888"/>
      <c r="EI888"/>
      <c r="EJ888"/>
      <c r="EK888"/>
      <c r="EL888"/>
      <c r="EM888"/>
      <c r="EN888"/>
      <c r="EO888"/>
      <c r="EP888"/>
      <c r="EQ888"/>
      <c r="ER888"/>
      <c r="ES888"/>
      <c r="ET888"/>
      <c r="EU888"/>
      <c r="EV888"/>
      <c r="EW888"/>
      <c r="EX888"/>
      <c r="EY888"/>
      <c r="EZ888"/>
      <c r="FA888"/>
      <c r="FB888"/>
      <c r="FC888"/>
      <c r="FD888"/>
      <c r="FE888"/>
      <c r="FF888"/>
      <c r="FG888"/>
      <c r="FH888"/>
      <c r="FI888"/>
      <c r="FJ888"/>
      <c r="FK888"/>
      <c r="FL888"/>
      <c r="FM888"/>
      <c r="FN888"/>
      <c r="FO888"/>
      <c r="FP888"/>
      <c r="FQ888"/>
      <c r="FR888"/>
      <c r="FS888"/>
      <c r="FT888"/>
      <c r="FU888"/>
      <c r="FV888"/>
      <c r="FW888"/>
      <c r="FX888"/>
      <c r="FY888"/>
      <c r="FZ888"/>
      <c r="GA888"/>
      <c r="GB888"/>
      <c r="GC888"/>
      <c r="GD888"/>
      <c r="GE888"/>
      <c r="GF888"/>
      <c r="GG888"/>
      <c r="GH888"/>
      <c r="GI888"/>
      <c r="GJ888"/>
      <c r="GK888"/>
      <c r="GL888"/>
      <c r="GM888"/>
      <c r="GN888"/>
      <c r="GO888"/>
      <c r="GP888"/>
      <c r="GQ888"/>
      <c r="GR888"/>
      <c r="GS888"/>
      <c r="GT888"/>
      <c r="GU888"/>
      <c r="GV888"/>
      <c r="GW888"/>
      <c r="GX888"/>
      <c r="GY888"/>
      <c r="GZ888"/>
      <c r="HA888"/>
      <c r="HB888"/>
      <c r="HC888"/>
      <c r="HD888"/>
      <c r="HE888"/>
      <c r="HF888"/>
      <c r="HG888"/>
      <c r="HH888"/>
      <c r="HI888"/>
      <c r="HJ888"/>
      <c r="HK888"/>
      <c r="HL888"/>
      <c r="HM888"/>
      <c r="HN888"/>
      <c r="HO888"/>
      <c r="HP888"/>
      <c r="HQ888"/>
      <c r="HR888"/>
      <c r="HS888"/>
      <c r="HT888"/>
      <c r="HU888"/>
      <c r="HV888"/>
      <c r="HW888"/>
      <c r="HX888"/>
      <c r="HY888"/>
      <c r="HZ888"/>
      <c r="IA888"/>
      <c r="IB888"/>
      <c r="IC888"/>
      <c r="ID888"/>
      <c r="IE888"/>
      <c r="IF888"/>
      <c r="IG888"/>
      <c r="IH888"/>
      <c r="II888"/>
      <c r="IJ888"/>
      <c r="IK888"/>
      <c r="IL888"/>
      <c r="IM888"/>
      <c r="IN888"/>
      <c r="IO888"/>
      <c r="IP888"/>
      <c r="IQ888"/>
    </row>
    <row r="889" spans="1:252" ht="27" customHeight="1" x14ac:dyDescent="0.2">
      <c r="A889" s="726"/>
      <c r="B889" s="979" t="s">
        <v>1439</v>
      </c>
      <c r="C889" s="983">
        <v>350000</v>
      </c>
      <c r="D889" s="983">
        <v>350000</v>
      </c>
      <c r="E889" s="1174"/>
      <c r="F889" s="740"/>
      <c r="G889" s="1361"/>
      <c r="H889" s="1362"/>
      <c r="I889" s="1363"/>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c r="DT889"/>
      <c r="DU889"/>
      <c r="DV889"/>
      <c r="DW889"/>
      <c r="DX889"/>
      <c r="DY889"/>
      <c r="DZ889"/>
      <c r="EA889"/>
      <c r="EB889"/>
      <c r="EC889"/>
      <c r="ED889"/>
      <c r="EE889"/>
      <c r="EF889"/>
      <c r="EG889"/>
      <c r="EH889"/>
      <c r="EI889"/>
      <c r="EJ889"/>
      <c r="EK889"/>
      <c r="EL889"/>
      <c r="EM889"/>
      <c r="EN889"/>
      <c r="EO889"/>
      <c r="EP889"/>
      <c r="EQ889"/>
      <c r="ER889"/>
      <c r="ES889"/>
      <c r="ET889"/>
      <c r="EU889"/>
      <c r="EV889"/>
      <c r="EW889"/>
      <c r="EX889"/>
      <c r="EY889"/>
      <c r="EZ889"/>
      <c r="FA889"/>
      <c r="FB889"/>
      <c r="FC889"/>
      <c r="FD889"/>
      <c r="FE889"/>
      <c r="FF889"/>
      <c r="FG889"/>
      <c r="FH889"/>
      <c r="FI889"/>
      <c r="FJ889"/>
      <c r="FK889"/>
      <c r="FL889"/>
      <c r="FM889"/>
      <c r="FN889"/>
      <c r="FO889"/>
      <c r="FP889"/>
      <c r="FQ889"/>
      <c r="FR889"/>
      <c r="FS889"/>
      <c r="FT889"/>
      <c r="FU889"/>
      <c r="FV889"/>
      <c r="FW889"/>
      <c r="FX889"/>
      <c r="FY889"/>
      <c r="FZ889"/>
      <c r="GA889"/>
      <c r="GB889"/>
      <c r="GC889"/>
      <c r="GD889"/>
      <c r="GE889"/>
      <c r="GF889"/>
      <c r="GG889"/>
      <c r="GH889"/>
      <c r="GI889"/>
      <c r="GJ889"/>
      <c r="GK889"/>
      <c r="GL889"/>
      <c r="GM889"/>
      <c r="GN889"/>
      <c r="GO889"/>
      <c r="GP889"/>
      <c r="GQ889"/>
      <c r="GR889"/>
      <c r="GS889"/>
      <c r="GT889"/>
      <c r="GU889"/>
      <c r="GV889"/>
      <c r="GW889"/>
      <c r="GX889"/>
      <c r="GY889"/>
      <c r="GZ889"/>
      <c r="HA889"/>
      <c r="HB889"/>
      <c r="HC889"/>
      <c r="HD889"/>
      <c r="HE889"/>
      <c r="HF889"/>
      <c r="HG889"/>
      <c r="HH889"/>
      <c r="HI889"/>
      <c r="HJ889"/>
      <c r="HK889"/>
      <c r="HL889"/>
      <c r="HM889"/>
      <c r="HN889"/>
      <c r="HO889"/>
      <c r="HP889"/>
      <c r="HQ889"/>
      <c r="HR889"/>
      <c r="HS889"/>
      <c r="HT889"/>
      <c r="HU889"/>
      <c r="HV889"/>
      <c r="HW889"/>
      <c r="HX889"/>
      <c r="HY889"/>
      <c r="HZ889"/>
      <c r="IA889"/>
      <c r="IB889"/>
      <c r="IC889"/>
      <c r="ID889"/>
      <c r="IE889"/>
      <c r="IF889"/>
      <c r="IG889"/>
      <c r="IH889"/>
      <c r="II889"/>
      <c r="IJ889"/>
      <c r="IK889"/>
      <c r="IL889"/>
      <c r="IM889"/>
      <c r="IN889"/>
      <c r="IO889"/>
      <c r="IP889"/>
      <c r="IQ889"/>
    </row>
    <row r="890" spans="1:252" s="607" customFormat="1" ht="27" customHeight="1" x14ac:dyDescent="0.2">
      <c r="A890" s="726"/>
      <c r="B890" s="1057" t="s">
        <v>1120</v>
      </c>
      <c r="C890" s="874">
        <v>500000</v>
      </c>
      <c r="D890" s="874">
        <v>500000</v>
      </c>
      <c r="E890" s="782"/>
      <c r="F890" s="782"/>
      <c r="G890" s="1243"/>
      <c r="H890" s="1248"/>
      <c r="I890" s="1258"/>
      <c r="IR890" s="698"/>
    </row>
    <row r="891" spans="1:252" ht="27" customHeight="1" x14ac:dyDescent="0.2">
      <c r="A891" s="726"/>
      <c r="B891" s="1057" t="s">
        <v>1661</v>
      </c>
      <c r="C891" s="983">
        <v>400000</v>
      </c>
      <c r="D891" s="983">
        <v>400000</v>
      </c>
      <c r="E891" s="707"/>
      <c r="F891" s="707"/>
      <c r="G891" s="1243"/>
      <c r="H891" s="1248"/>
      <c r="I891" s="1258"/>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c r="EX891"/>
      <c r="EY891"/>
      <c r="EZ891"/>
      <c r="FA891"/>
      <c r="FB891"/>
      <c r="FC891"/>
      <c r="FD891"/>
      <c r="FE891"/>
      <c r="FF891"/>
      <c r="FG891"/>
      <c r="FH891"/>
      <c r="FI891"/>
      <c r="FJ891"/>
      <c r="FK891"/>
      <c r="FL891"/>
      <c r="FM891"/>
      <c r="FN891"/>
      <c r="FO891"/>
      <c r="FP891"/>
      <c r="FQ891"/>
      <c r="FR891"/>
      <c r="FS891"/>
      <c r="FT891"/>
      <c r="FU891"/>
      <c r="FV891"/>
      <c r="FW891"/>
      <c r="FX891"/>
      <c r="FY891"/>
      <c r="FZ891"/>
      <c r="GA891"/>
      <c r="GB891"/>
      <c r="GC891"/>
      <c r="GD891"/>
      <c r="GE891"/>
      <c r="GF891"/>
      <c r="GG891"/>
      <c r="GH891"/>
      <c r="GI891"/>
      <c r="GJ891"/>
      <c r="GK891"/>
      <c r="GL891"/>
      <c r="GM891"/>
      <c r="GN891"/>
      <c r="GO891"/>
      <c r="GP891"/>
      <c r="GQ891"/>
      <c r="GR891"/>
      <c r="GS891"/>
      <c r="GT891"/>
      <c r="GU891"/>
      <c r="GV891"/>
      <c r="GW891"/>
      <c r="GX891"/>
      <c r="GY891"/>
      <c r="GZ891"/>
      <c r="HA891"/>
      <c r="HB891"/>
      <c r="HC891"/>
      <c r="HD891"/>
      <c r="HE891"/>
      <c r="HF891"/>
      <c r="HG891"/>
      <c r="HH891"/>
      <c r="HI891"/>
      <c r="HJ891"/>
      <c r="HK891"/>
      <c r="HL891"/>
      <c r="HM891"/>
      <c r="HN891"/>
      <c r="HO891"/>
      <c r="HP891"/>
      <c r="HQ891"/>
      <c r="HR891"/>
      <c r="HS891"/>
      <c r="HT891"/>
      <c r="HU891"/>
      <c r="HV891"/>
      <c r="HW891"/>
      <c r="HX891"/>
      <c r="HY891"/>
      <c r="HZ891"/>
      <c r="IA891"/>
      <c r="IB891"/>
      <c r="IC891"/>
      <c r="ID891"/>
      <c r="IE891"/>
      <c r="IF891"/>
      <c r="IG891"/>
      <c r="IH891"/>
      <c r="II891"/>
      <c r="IJ891"/>
      <c r="IK891"/>
      <c r="IL891"/>
      <c r="IM891"/>
      <c r="IN891"/>
      <c r="IO891"/>
      <c r="IP891"/>
      <c r="IQ891"/>
    </row>
    <row r="892" spans="1:252" ht="27" customHeight="1" x14ac:dyDescent="0.2">
      <c r="A892" s="741"/>
      <c r="B892" s="1095" t="s">
        <v>1440</v>
      </c>
      <c r="C892" s="1093">
        <f>C893+C894</f>
        <v>5000000</v>
      </c>
      <c r="D892" s="1093">
        <f>D893+D894</f>
        <v>5000000</v>
      </c>
      <c r="E892" s="707"/>
      <c r="F892" s="707"/>
      <c r="G892" s="1243"/>
      <c r="H892" s="1248"/>
      <c r="I892" s="1258"/>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c r="EW892"/>
      <c r="EX892"/>
      <c r="EY892"/>
      <c r="EZ892"/>
      <c r="FA892"/>
      <c r="FB892"/>
      <c r="FC892"/>
      <c r="FD892"/>
      <c r="FE892"/>
      <c r="FF892"/>
      <c r="FG892"/>
      <c r="FH892"/>
      <c r="FI892"/>
      <c r="FJ892"/>
      <c r="FK892"/>
      <c r="FL892"/>
      <c r="FM892"/>
      <c r="FN892"/>
      <c r="FO892"/>
      <c r="FP892"/>
      <c r="FQ892"/>
      <c r="FR892"/>
      <c r="FS892"/>
      <c r="FT892"/>
      <c r="FU892"/>
      <c r="FV892"/>
      <c r="FW892"/>
      <c r="FX892"/>
      <c r="FY892"/>
      <c r="FZ892"/>
      <c r="GA892"/>
      <c r="GB892"/>
      <c r="GC892"/>
      <c r="GD892"/>
      <c r="GE892"/>
      <c r="GF892"/>
      <c r="GG892"/>
      <c r="GH892"/>
      <c r="GI892"/>
      <c r="GJ892"/>
      <c r="GK892"/>
      <c r="GL892"/>
      <c r="GM892"/>
      <c r="GN892"/>
      <c r="GO892"/>
      <c r="GP892"/>
      <c r="GQ892"/>
      <c r="GR892"/>
      <c r="GS892"/>
      <c r="GT892"/>
      <c r="GU892"/>
      <c r="GV892"/>
      <c r="GW892"/>
      <c r="GX892"/>
      <c r="GY892"/>
      <c r="GZ892"/>
      <c r="HA892"/>
      <c r="HB892"/>
      <c r="HC892"/>
      <c r="HD892"/>
      <c r="HE892"/>
      <c r="HF892"/>
      <c r="HG892"/>
      <c r="HH892"/>
      <c r="HI892"/>
      <c r="HJ892"/>
      <c r="HK892"/>
      <c r="HL892"/>
      <c r="HM892"/>
      <c r="HN892"/>
      <c r="HO892"/>
      <c r="HP892"/>
      <c r="HQ892"/>
      <c r="HR892"/>
      <c r="HS892"/>
      <c r="HT892"/>
      <c r="HU892"/>
      <c r="HV892"/>
      <c r="HW892"/>
      <c r="HX892"/>
      <c r="HY892"/>
      <c r="HZ892"/>
      <c r="IA892"/>
      <c r="IB892"/>
      <c r="IC892"/>
      <c r="ID892"/>
      <c r="IE892"/>
      <c r="IF892"/>
      <c r="IG892"/>
      <c r="IH892"/>
      <c r="II892"/>
      <c r="IJ892"/>
      <c r="IK892"/>
      <c r="IL892"/>
      <c r="IM892"/>
      <c r="IN892"/>
      <c r="IO892"/>
      <c r="IP892"/>
      <c r="IQ892"/>
    </row>
    <row r="893" spans="1:252" ht="27" customHeight="1" x14ac:dyDescent="0.2">
      <c r="A893" s="741"/>
      <c r="B893" s="1096" t="s">
        <v>850</v>
      </c>
      <c r="C893" s="1097">
        <v>4000000</v>
      </c>
      <c r="D893" s="1097">
        <v>4000000</v>
      </c>
      <c r="E893" s="1163"/>
      <c r="F893" s="1163"/>
      <c r="G893" s="1243"/>
      <c r="H893" s="1248"/>
      <c r="I893" s="1258"/>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c r="EW893"/>
      <c r="EX893"/>
      <c r="EY893"/>
      <c r="EZ893"/>
      <c r="FA893"/>
      <c r="FB893"/>
      <c r="FC893"/>
      <c r="FD893"/>
      <c r="FE893"/>
      <c r="FF893"/>
      <c r="FG893"/>
      <c r="FH893"/>
      <c r="FI893"/>
      <c r="FJ893"/>
      <c r="FK893"/>
      <c r="FL893"/>
      <c r="FM893"/>
      <c r="FN893"/>
      <c r="FO893"/>
      <c r="FP893"/>
      <c r="FQ893"/>
      <c r="FR893"/>
      <c r="FS893"/>
      <c r="FT893"/>
      <c r="FU893"/>
      <c r="FV893"/>
      <c r="FW893"/>
      <c r="FX893"/>
      <c r="FY893"/>
      <c r="FZ893"/>
      <c r="GA893"/>
      <c r="GB893"/>
      <c r="GC893"/>
      <c r="GD893"/>
      <c r="GE893"/>
      <c r="GF893"/>
      <c r="GG893"/>
      <c r="GH893"/>
      <c r="GI893"/>
      <c r="GJ893"/>
      <c r="GK893"/>
      <c r="GL893"/>
      <c r="GM893"/>
      <c r="GN893"/>
      <c r="GO893"/>
      <c r="GP893"/>
      <c r="GQ893"/>
      <c r="GR893"/>
      <c r="GS893"/>
      <c r="GT893"/>
      <c r="GU893"/>
      <c r="GV893"/>
      <c r="GW893"/>
      <c r="GX893"/>
      <c r="GY893"/>
      <c r="GZ893"/>
      <c r="HA893"/>
      <c r="HB893"/>
      <c r="HC893"/>
      <c r="HD893"/>
      <c r="HE893"/>
      <c r="HF893"/>
      <c r="HG893"/>
      <c r="HH893"/>
      <c r="HI893"/>
      <c r="HJ893"/>
      <c r="HK893"/>
      <c r="HL893"/>
      <c r="HM893"/>
      <c r="HN893"/>
      <c r="HO893"/>
      <c r="HP893"/>
      <c r="HQ893"/>
      <c r="HR893"/>
      <c r="HS893"/>
      <c r="HT893"/>
      <c r="HU893"/>
      <c r="HV893"/>
      <c r="HW893"/>
      <c r="HX893"/>
      <c r="HY893"/>
      <c r="HZ893"/>
      <c r="IA893"/>
      <c r="IB893"/>
      <c r="IC893"/>
      <c r="ID893"/>
      <c r="IE893"/>
      <c r="IF893"/>
      <c r="IG893"/>
      <c r="IH893"/>
      <c r="II893"/>
      <c r="IJ893"/>
      <c r="IK893"/>
      <c r="IL893"/>
      <c r="IM893"/>
      <c r="IN893"/>
      <c r="IO893"/>
      <c r="IP893"/>
      <c r="IQ893"/>
    </row>
    <row r="894" spans="1:252" s="607" customFormat="1" ht="27" customHeight="1" x14ac:dyDescent="0.2">
      <c r="A894" s="726"/>
      <c r="B894" s="1094" t="s">
        <v>855</v>
      </c>
      <c r="C894" s="983">
        <f t="shared" ref="C894:D894" si="107">SUM(C895:C898)</f>
        <v>1000000</v>
      </c>
      <c r="D894" s="983">
        <f t="shared" si="107"/>
        <v>1000000</v>
      </c>
      <c r="E894" s="707"/>
      <c r="F894" s="707"/>
      <c r="G894" s="1243"/>
      <c r="H894" s="1248"/>
      <c r="I894" s="1258"/>
    </row>
    <row r="895" spans="1:252" ht="27" customHeight="1" x14ac:dyDescent="0.2">
      <c r="A895" s="726"/>
      <c r="B895" s="979" t="s">
        <v>1119</v>
      </c>
      <c r="C895" s="983">
        <v>0</v>
      </c>
      <c r="D895" s="983">
        <v>0</v>
      </c>
      <c r="E895" s="707"/>
      <c r="F895" s="707"/>
      <c r="G895" s="1243"/>
      <c r="H895" s="1248"/>
      <c r="I895" s="1258"/>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c r="EF895"/>
      <c r="EG895"/>
      <c r="EH895"/>
      <c r="EI895"/>
      <c r="EJ895"/>
      <c r="EK895"/>
      <c r="EL895"/>
      <c r="EM895"/>
      <c r="EN895"/>
      <c r="EO895"/>
      <c r="EP895"/>
      <c r="EQ895"/>
      <c r="ER895"/>
      <c r="ES895"/>
      <c r="ET895"/>
      <c r="EU895"/>
      <c r="EV895"/>
      <c r="EW895"/>
      <c r="EX895"/>
      <c r="EY895"/>
      <c r="EZ895"/>
      <c r="FA895"/>
      <c r="FB895"/>
      <c r="FC895"/>
      <c r="FD895"/>
      <c r="FE895"/>
      <c r="FF895"/>
      <c r="FG895"/>
      <c r="FH895"/>
      <c r="FI895"/>
      <c r="FJ895"/>
      <c r="FK895"/>
      <c r="FL895"/>
      <c r="FM895"/>
      <c r="FN895"/>
      <c r="FO895"/>
      <c r="FP895"/>
      <c r="FQ895"/>
      <c r="FR895"/>
      <c r="FS895"/>
      <c r="FT895"/>
      <c r="FU895"/>
      <c r="FV895"/>
      <c r="FW895"/>
      <c r="FX895"/>
      <c r="FY895"/>
      <c r="FZ895"/>
      <c r="GA895"/>
      <c r="GB895"/>
      <c r="GC895"/>
      <c r="GD895"/>
      <c r="GE895"/>
      <c r="GF895"/>
      <c r="GG895"/>
      <c r="GH895"/>
      <c r="GI895"/>
      <c r="GJ895"/>
      <c r="GK895"/>
      <c r="GL895"/>
      <c r="GM895"/>
      <c r="GN895"/>
      <c r="GO895"/>
      <c r="GP895"/>
      <c r="GQ895"/>
      <c r="GR895"/>
      <c r="GS895"/>
      <c r="GT895"/>
      <c r="GU895"/>
      <c r="GV895"/>
      <c r="GW895"/>
      <c r="GX895"/>
      <c r="GY895"/>
      <c r="GZ895"/>
      <c r="HA895"/>
      <c r="HB895"/>
      <c r="HC895"/>
      <c r="HD895"/>
      <c r="HE895"/>
      <c r="HF895"/>
      <c r="HG895"/>
      <c r="HH895"/>
      <c r="HI895"/>
      <c r="HJ895"/>
      <c r="HK895"/>
      <c r="HL895"/>
      <c r="HM895"/>
      <c r="HN895"/>
      <c r="HO895"/>
      <c r="HP895"/>
      <c r="HQ895"/>
      <c r="HR895"/>
      <c r="HS895"/>
      <c r="HT895"/>
      <c r="HU895"/>
      <c r="HV895"/>
      <c r="HW895"/>
      <c r="HX895"/>
      <c r="HY895"/>
      <c r="HZ895"/>
      <c r="IA895"/>
      <c r="IB895"/>
      <c r="IC895"/>
      <c r="ID895"/>
      <c r="IE895"/>
      <c r="IF895"/>
      <c r="IG895"/>
      <c r="IH895"/>
      <c r="II895"/>
      <c r="IJ895"/>
      <c r="IK895"/>
      <c r="IL895"/>
      <c r="IM895"/>
      <c r="IN895"/>
      <c r="IO895"/>
      <c r="IP895"/>
      <c r="IQ895"/>
    </row>
    <row r="896" spans="1:252" ht="27" customHeight="1" x14ac:dyDescent="0.2">
      <c r="A896" s="726"/>
      <c r="B896" s="1057" t="s">
        <v>1120</v>
      </c>
      <c r="C896" s="874">
        <v>0</v>
      </c>
      <c r="D896" s="874">
        <v>0</v>
      </c>
      <c r="E896" s="1370"/>
      <c r="F896" s="1367"/>
      <c r="G896" s="1361"/>
      <c r="H896" s="1362"/>
      <c r="I896" s="1363"/>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c r="EF896"/>
      <c r="EG896"/>
      <c r="EH896"/>
      <c r="EI896"/>
      <c r="EJ896"/>
      <c r="EK896"/>
      <c r="EL896"/>
      <c r="EM896"/>
      <c r="EN896"/>
      <c r="EO896"/>
      <c r="EP896"/>
      <c r="EQ896"/>
      <c r="ER896"/>
      <c r="ES896"/>
      <c r="ET896"/>
      <c r="EU896"/>
      <c r="EV896"/>
      <c r="EW896"/>
      <c r="EX896"/>
      <c r="EY896"/>
      <c r="EZ896"/>
      <c r="FA896"/>
      <c r="FB896"/>
      <c r="FC896"/>
      <c r="FD896"/>
      <c r="FE896"/>
      <c r="FF896"/>
      <c r="FG896"/>
      <c r="FH896"/>
      <c r="FI896"/>
      <c r="FJ896"/>
      <c r="FK896"/>
      <c r="FL896"/>
      <c r="FM896"/>
      <c r="FN896"/>
      <c r="FO896"/>
      <c r="FP896"/>
      <c r="FQ896"/>
      <c r="FR896"/>
      <c r="FS896"/>
      <c r="FT896"/>
      <c r="FU896"/>
      <c r="FV896"/>
      <c r="FW896"/>
      <c r="FX896"/>
      <c r="FY896"/>
      <c r="FZ896"/>
      <c r="GA896"/>
      <c r="GB896"/>
      <c r="GC896"/>
      <c r="GD896"/>
      <c r="GE896"/>
      <c r="GF896"/>
      <c r="GG896"/>
      <c r="GH896"/>
      <c r="GI896"/>
      <c r="GJ896"/>
      <c r="GK896"/>
      <c r="GL896"/>
      <c r="GM896"/>
      <c r="GN896"/>
      <c r="GO896"/>
      <c r="GP896"/>
      <c r="GQ896"/>
      <c r="GR896"/>
      <c r="GS896"/>
      <c r="GT896"/>
      <c r="GU896"/>
      <c r="GV896"/>
      <c r="GW896"/>
      <c r="GX896"/>
      <c r="GY896"/>
      <c r="GZ896"/>
      <c r="HA896"/>
      <c r="HB896"/>
      <c r="HC896"/>
      <c r="HD896"/>
      <c r="HE896"/>
      <c r="HF896"/>
      <c r="HG896"/>
      <c r="HH896"/>
      <c r="HI896"/>
      <c r="HJ896"/>
      <c r="HK896"/>
      <c r="HL896"/>
      <c r="HM896"/>
      <c r="HN896"/>
      <c r="HO896"/>
      <c r="HP896"/>
      <c r="HQ896"/>
      <c r="HR896"/>
      <c r="HS896"/>
      <c r="HT896"/>
      <c r="HU896"/>
      <c r="HV896"/>
      <c r="HW896"/>
      <c r="HX896"/>
      <c r="HY896"/>
      <c r="HZ896"/>
      <c r="IA896"/>
      <c r="IB896"/>
      <c r="IC896"/>
      <c r="ID896"/>
      <c r="IE896"/>
      <c r="IF896"/>
      <c r="IG896"/>
      <c r="IH896"/>
      <c r="II896"/>
      <c r="IJ896"/>
      <c r="IK896"/>
      <c r="IL896"/>
      <c r="IM896"/>
      <c r="IN896"/>
      <c r="IO896"/>
      <c r="IP896"/>
      <c r="IQ896"/>
    </row>
    <row r="897" spans="1:252" s="426" customFormat="1" ht="27" customHeight="1" x14ac:dyDescent="0.2">
      <c r="A897" s="741"/>
      <c r="B897" s="970" t="s">
        <v>1121</v>
      </c>
      <c r="C897" s="983">
        <v>0</v>
      </c>
      <c r="D897" s="983">
        <v>0</v>
      </c>
      <c r="E897" s="1163"/>
      <c r="F897" s="1163"/>
      <c r="G897" s="1243"/>
      <c r="H897" s="1248"/>
      <c r="I897" s="1258"/>
      <c r="IR897" s="116"/>
    </row>
    <row r="898" spans="1:252" ht="27" customHeight="1" x14ac:dyDescent="0.2">
      <c r="A898" s="741"/>
      <c r="B898" s="970" t="s">
        <v>1122</v>
      </c>
      <c r="C898" s="983">
        <v>1000000</v>
      </c>
      <c r="D898" s="983">
        <v>1000000</v>
      </c>
      <c r="E898" s="1163"/>
      <c r="F898" s="1163"/>
      <c r="G898" s="1243"/>
      <c r="H898" s="1248"/>
      <c r="I898" s="125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c r="EF898"/>
      <c r="EG898"/>
      <c r="EH898"/>
      <c r="EI898"/>
      <c r="EJ898"/>
      <c r="EK898"/>
      <c r="EL898"/>
      <c r="EM898"/>
      <c r="EN898"/>
      <c r="EO898"/>
      <c r="EP898"/>
      <c r="EQ898"/>
      <c r="ER898"/>
      <c r="ES898"/>
      <c r="ET898"/>
      <c r="EU898"/>
      <c r="EV898"/>
      <c r="EW898"/>
      <c r="EX898"/>
      <c r="EY898"/>
      <c r="EZ898"/>
      <c r="FA898"/>
      <c r="FB898"/>
      <c r="FC898"/>
      <c r="FD898"/>
      <c r="FE898"/>
      <c r="FF898"/>
      <c r="FG898"/>
      <c r="FH898"/>
      <c r="FI898"/>
      <c r="FJ898"/>
      <c r="FK898"/>
      <c r="FL898"/>
      <c r="FM898"/>
      <c r="FN898"/>
      <c r="FO898"/>
      <c r="FP898"/>
      <c r="FQ898"/>
      <c r="FR898"/>
      <c r="FS898"/>
      <c r="FT898"/>
      <c r="FU898"/>
      <c r="FV898"/>
      <c r="FW898"/>
      <c r="FX898"/>
      <c r="FY898"/>
      <c r="FZ898"/>
      <c r="GA898"/>
      <c r="GB898"/>
      <c r="GC898"/>
      <c r="GD898"/>
      <c r="GE898"/>
      <c r="GF898"/>
      <c r="GG898"/>
      <c r="GH898"/>
      <c r="GI898"/>
      <c r="GJ898"/>
      <c r="GK898"/>
      <c r="GL898"/>
      <c r="GM898"/>
      <c r="GN898"/>
      <c r="GO898"/>
      <c r="GP898"/>
      <c r="GQ898"/>
      <c r="GR898"/>
      <c r="GS898"/>
      <c r="GT898"/>
      <c r="GU898"/>
      <c r="GV898"/>
      <c r="GW898"/>
      <c r="GX898"/>
      <c r="GY898"/>
      <c r="GZ898"/>
      <c r="HA898"/>
      <c r="HB898"/>
      <c r="HC898"/>
      <c r="HD898"/>
      <c r="HE898"/>
      <c r="HF898"/>
      <c r="HG898"/>
      <c r="HH898"/>
      <c r="HI898"/>
      <c r="HJ898"/>
      <c r="HK898"/>
      <c r="HL898"/>
      <c r="HM898"/>
      <c r="HN898"/>
      <c r="HO898"/>
      <c r="HP898"/>
      <c r="HQ898"/>
      <c r="HR898"/>
      <c r="HS898"/>
      <c r="HT898"/>
      <c r="HU898"/>
      <c r="HV898"/>
      <c r="HW898"/>
      <c r="HX898"/>
      <c r="HY898"/>
      <c r="HZ898"/>
      <c r="IA898"/>
      <c r="IB898"/>
      <c r="IC898"/>
      <c r="ID898"/>
      <c r="IE898"/>
      <c r="IF898"/>
      <c r="IG898"/>
      <c r="IH898"/>
      <c r="II898"/>
      <c r="IJ898"/>
      <c r="IK898"/>
      <c r="IL898"/>
      <c r="IM898"/>
      <c r="IN898"/>
      <c r="IO898"/>
      <c r="IP898"/>
      <c r="IQ898"/>
    </row>
    <row r="899" spans="1:252" ht="27" customHeight="1" x14ac:dyDescent="0.2">
      <c r="A899" s="741"/>
      <c r="B899" s="1098" t="s">
        <v>1441</v>
      </c>
      <c r="C899" s="1099">
        <v>0</v>
      </c>
      <c r="D899" s="1099">
        <v>0</v>
      </c>
      <c r="E899" s="1163"/>
      <c r="F899" s="1163"/>
      <c r="G899" s="1243"/>
      <c r="H899" s="1248"/>
      <c r="I899" s="1258"/>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c r="EF899"/>
      <c r="EG899"/>
      <c r="EH899"/>
      <c r="EI899"/>
      <c r="EJ899"/>
      <c r="EK899"/>
      <c r="EL899"/>
      <c r="EM899"/>
      <c r="EN899"/>
      <c r="EO899"/>
      <c r="EP899"/>
      <c r="EQ899"/>
      <c r="ER899"/>
      <c r="ES899"/>
      <c r="ET899"/>
      <c r="EU899"/>
      <c r="EV899"/>
      <c r="EW899"/>
      <c r="EX899"/>
      <c r="EY899"/>
      <c r="EZ899"/>
      <c r="FA899"/>
      <c r="FB899"/>
      <c r="FC899"/>
      <c r="FD899"/>
      <c r="FE899"/>
      <c r="FF899"/>
      <c r="FG899"/>
      <c r="FH899"/>
      <c r="FI899"/>
      <c r="FJ899"/>
      <c r="FK899"/>
      <c r="FL899"/>
      <c r="FM899"/>
      <c r="FN899"/>
      <c r="FO899"/>
      <c r="FP899"/>
      <c r="FQ899"/>
      <c r="FR899"/>
      <c r="FS899"/>
      <c r="FT899"/>
      <c r="FU899"/>
      <c r="FV899"/>
      <c r="FW899"/>
      <c r="FX899"/>
      <c r="FY899"/>
      <c r="FZ899"/>
      <c r="GA899"/>
      <c r="GB899"/>
      <c r="GC899"/>
      <c r="GD899"/>
      <c r="GE899"/>
      <c r="GF899"/>
      <c r="GG899"/>
      <c r="GH899"/>
      <c r="GI899"/>
      <c r="GJ899"/>
      <c r="GK899"/>
      <c r="GL899"/>
      <c r="GM899"/>
      <c r="GN899"/>
      <c r="GO899"/>
      <c r="GP899"/>
      <c r="GQ899"/>
      <c r="GR899"/>
      <c r="GS899"/>
      <c r="GT899"/>
      <c r="GU899"/>
      <c r="GV899"/>
      <c r="GW899"/>
      <c r="GX899"/>
      <c r="GY899"/>
      <c r="GZ899"/>
      <c r="HA899"/>
      <c r="HB899"/>
      <c r="HC899"/>
      <c r="HD899"/>
      <c r="HE899"/>
      <c r="HF899"/>
      <c r="HG899"/>
      <c r="HH899"/>
      <c r="HI899"/>
      <c r="HJ899"/>
      <c r="HK899"/>
      <c r="HL899"/>
      <c r="HM899"/>
      <c r="HN899"/>
      <c r="HO899"/>
      <c r="HP899"/>
      <c r="HQ899"/>
      <c r="HR899"/>
      <c r="HS899"/>
      <c r="HT899"/>
      <c r="HU899"/>
      <c r="HV899"/>
      <c r="HW899"/>
      <c r="HX899"/>
      <c r="HY899"/>
      <c r="HZ899"/>
      <c r="IA899"/>
      <c r="IB899"/>
      <c r="IC899"/>
      <c r="ID899"/>
      <c r="IE899"/>
      <c r="IF899"/>
      <c r="IG899"/>
      <c r="IH899"/>
      <c r="II899"/>
      <c r="IJ899"/>
      <c r="IK899"/>
      <c r="IL899"/>
      <c r="IM899"/>
      <c r="IN899"/>
      <c r="IO899"/>
      <c r="IP899"/>
      <c r="IQ899"/>
    </row>
    <row r="900" spans="1:252" ht="27" customHeight="1" x14ac:dyDescent="0.2">
      <c r="A900" s="741"/>
      <c r="B900" s="1096" t="s">
        <v>850</v>
      </c>
      <c r="C900" s="874">
        <v>0</v>
      </c>
      <c r="D900" s="874">
        <v>0</v>
      </c>
      <c r="E900" s="1163"/>
      <c r="F900" s="1163"/>
      <c r="G900" s="1243"/>
      <c r="H900" s="1248"/>
      <c r="I900" s="1258"/>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c r="EF900"/>
      <c r="EG900"/>
      <c r="EH900"/>
      <c r="EI900"/>
      <c r="EJ900"/>
      <c r="EK900"/>
      <c r="EL900"/>
      <c r="EM900"/>
      <c r="EN900"/>
      <c r="EO900"/>
      <c r="EP900"/>
      <c r="EQ900"/>
      <c r="ER900"/>
      <c r="ES900"/>
      <c r="ET900"/>
      <c r="EU900"/>
      <c r="EV900"/>
      <c r="EW900"/>
      <c r="EX900"/>
      <c r="EY900"/>
      <c r="EZ900"/>
      <c r="FA900"/>
      <c r="FB900"/>
      <c r="FC900"/>
      <c r="FD900"/>
      <c r="FE900"/>
      <c r="FF900"/>
      <c r="FG900"/>
      <c r="FH900"/>
      <c r="FI900"/>
      <c r="FJ900"/>
      <c r="FK900"/>
      <c r="FL900"/>
      <c r="FM900"/>
      <c r="FN900"/>
      <c r="FO900"/>
      <c r="FP900"/>
      <c r="FQ900"/>
      <c r="FR900"/>
      <c r="FS900"/>
      <c r="FT900"/>
      <c r="FU900"/>
      <c r="FV900"/>
      <c r="FW900"/>
      <c r="FX900"/>
      <c r="FY900"/>
      <c r="FZ900"/>
      <c r="GA900"/>
      <c r="GB900"/>
      <c r="GC900"/>
      <c r="GD900"/>
      <c r="GE900"/>
      <c r="GF900"/>
      <c r="GG900"/>
      <c r="GH900"/>
      <c r="GI900"/>
      <c r="GJ900"/>
      <c r="GK900"/>
      <c r="GL900"/>
      <c r="GM900"/>
      <c r="GN900"/>
      <c r="GO900"/>
      <c r="GP900"/>
      <c r="GQ900"/>
      <c r="GR900"/>
      <c r="GS900"/>
      <c r="GT900"/>
      <c r="GU900"/>
      <c r="GV900"/>
      <c r="GW900"/>
      <c r="GX900"/>
      <c r="GY900"/>
      <c r="GZ900"/>
      <c r="HA900"/>
      <c r="HB900"/>
      <c r="HC900"/>
      <c r="HD900"/>
      <c r="HE900"/>
      <c r="HF900"/>
      <c r="HG900"/>
      <c r="HH900"/>
      <c r="HI900"/>
      <c r="HJ900"/>
      <c r="HK900"/>
      <c r="HL900"/>
      <c r="HM900"/>
      <c r="HN900"/>
      <c r="HO900"/>
      <c r="HP900"/>
      <c r="HQ900"/>
      <c r="HR900"/>
      <c r="HS900"/>
      <c r="HT900"/>
      <c r="HU900"/>
      <c r="HV900"/>
      <c r="HW900"/>
      <c r="HX900"/>
      <c r="HY900"/>
      <c r="HZ900"/>
      <c r="IA900"/>
      <c r="IB900"/>
      <c r="IC900"/>
      <c r="ID900"/>
      <c r="IE900"/>
      <c r="IF900"/>
      <c r="IG900"/>
      <c r="IH900"/>
      <c r="II900"/>
      <c r="IJ900"/>
      <c r="IK900"/>
      <c r="IL900"/>
      <c r="IM900"/>
      <c r="IN900"/>
      <c r="IO900"/>
      <c r="IP900"/>
      <c r="IQ900"/>
    </row>
    <row r="901" spans="1:252" ht="27" customHeight="1" x14ac:dyDescent="0.2">
      <c r="A901" s="726"/>
      <c r="B901" s="979" t="s">
        <v>1442</v>
      </c>
      <c r="C901" s="874">
        <v>0</v>
      </c>
      <c r="D901" s="874">
        <v>0</v>
      </c>
      <c r="E901" s="1163"/>
      <c r="F901" s="1163"/>
      <c r="G901" s="1243"/>
      <c r="H901" s="1248"/>
      <c r="I901" s="1258"/>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c r="EF901"/>
      <c r="EG901"/>
      <c r="EH901"/>
      <c r="EI901"/>
      <c r="EJ901"/>
      <c r="EK901"/>
      <c r="EL901"/>
      <c r="EM901"/>
      <c r="EN901"/>
      <c r="EO901"/>
      <c r="EP901"/>
      <c r="EQ901"/>
      <c r="ER901"/>
      <c r="ES901"/>
      <c r="ET901"/>
      <c r="EU901"/>
      <c r="EV901"/>
      <c r="EW901"/>
      <c r="EX901"/>
      <c r="EY901"/>
      <c r="EZ901"/>
      <c r="FA901"/>
      <c r="FB901"/>
      <c r="FC901"/>
      <c r="FD901"/>
      <c r="FE901"/>
      <c r="FF901"/>
      <c r="FG901"/>
      <c r="FH901"/>
      <c r="FI901"/>
      <c r="FJ901"/>
      <c r="FK901"/>
      <c r="FL901"/>
      <c r="FM901"/>
      <c r="FN901"/>
      <c r="FO901"/>
      <c r="FP901"/>
      <c r="FQ901"/>
      <c r="FR901"/>
      <c r="FS901"/>
      <c r="FT901"/>
      <c r="FU901"/>
      <c r="FV901"/>
      <c r="FW901"/>
      <c r="FX901"/>
      <c r="FY901"/>
      <c r="FZ901"/>
      <c r="GA901"/>
      <c r="GB901"/>
      <c r="GC901"/>
      <c r="GD901"/>
      <c r="GE901"/>
      <c r="GF901"/>
      <c r="GG901"/>
      <c r="GH901"/>
      <c r="GI901"/>
      <c r="GJ901"/>
      <c r="GK901"/>
      <c r="GL901"/>
      <c r="GM901"/>
      <c r="GN901"/>
      <c r="GO901"/>
      <c r="GP901"/>
      <c r="GQ901"/>
      <c r="GR901"/>
      <c r="GS901"/>
      <c r="GT901"/>
      <c r="GU901"/>
      <c r="GV901"/>
      <c r="GW901"/>
      <c r="GX901"/>
      <c r="GY901"/>
      <c r="GZ901"/>
      <c r="HA901"/>
      <c r="HB901"/>
      <c r="HC901"/>
      <c r="HD901"/>
      <c r="HE901"/>
      <c r="HF901"/>
      <c r="HG901"/>
      <c r="HH901"/>
      <c r="HI901"/>
      <c r="HJ901"/>
      <c r="HK901"/>
      <c r="HL901"/>
      <c r="HM901"/>
      <c r="HN901"/>
      <c r="HO901"/>
      <c r="HP901"/>
      <c r="HQ901"/>
      <c r="HR901"/>
      <c r="HS901"/>
      <c r="HT901"/>
      <c r="HU901"/>
      <c r="HV901"/>
      <c r="HW901"/>
      <c r="HX901"/>
      <c r="HY901"/>
      <c r="HZ901"/>
      <c r="IA901"/>
      <c r="IB901"/>
      <c r="IC901"/>
      <c r="ID901"/>
      <c r="IE901"/>
      <c r="IF901"/>
      <c r="IG901"/>
      <c r="IH901"/>
      <c r="II901"/>
      <c r="IJ901"/>
      <c r="IK901"/>
      <c r="IL901"/>
      <c r="IM901"/>
      <c r="IN901"/>
      <c r="IO901"/>
      <c r="IP901"/>
      <c r="IQ901"/>
    </row>
    <row r="902" spans="1:252" ht="27" customHeight="1" x14ac:dyDescent="0.2">
      <c r="A902" s="726"/>
      <c r="B902" s="979" t="s">
        <v>869</v>
      </c>
      <c r="C902" s="874">
        <v>0</v>
      </c>
      <c r="D902" s="874">
        <v>0</v>
      </c>
      <c r="E902" s="1163"/>
      <c r="F902" s="1163"/>
      <c r="G902" s="1243"/>
      <c r="H902" s="1248"/>
      <c r="I902" s="1258"/>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c r="EW902"/>
      <c r="EX902"/>
      <c r="EY902"/>
      <c r="EZ902"/>
      <c r="FA902"/>
      <c r="FB902"/>
      <c r="FC902"/>
      <c r="FD902"/>
      <c r="FE902"/>
      <c r="FF902"/>
      <c r="FG902"/>
      <c r="FH902"/>
      <c r="FI902"/>
      <c r="FJ902"/>
      <c r="FK902"/>
      <c r="FL902"/>
      <c r="FM902"/>
      <c r="FN902"/>
      <c r="FO902"/>
      <c r="FP902"/>
      <c r="FQ902"/>
      <c r="FR902"/>
      <c r="FS902"/>
      <c r="FT902"/>
      <c r="FU902"/>
      <c r="FV902"/>
      <c r="FW902"/>
      <c r="FX902"/>
      <c r="FY902"/>
      <c r="FZ902"/>
      <c r="GA902"/>
      <c r="GB902"/>
      <c r="GC902"/>
      <c r="GD902"/>
      <c r="GE902"/>
      <c r="GF902"/>
      <c r="GG902"/>
      <c r="GH902"/>
      <c r="GI902"/>
      <c r="GJ902"/>
      <c r="GK902"/>
      <c r="GL902"/>
      <c r="GM902"/>
      <c r="GN902"/>
      <c r="GO902"/>
      <c r="GP902"/>
      <c r="GQ902"/>
      <c r="GR902"/>
      <c r="GS902"/>
      <c r="GT902"/>
      <c r="GU902"/>
      <c r="GV902"/>
      <c r="GW902"/>
      <c r="GX902"/>
      <c r="GY902"/>
      <c r="GZ902"/>
      <c r="HA902"/>
      <c r="HB902"/>
      <c r="HC902"/>
      <c r="HD902"/>
      <c r="HE902"/>
      <c r="HF902"/>
      <c r="HG902"/>
      <c r="HH902"/>
      <c r="HI902"/>
      <c r="HJ902"/>
      <c r="HK902"/>
      <c r="HL902"/>
      <c r="HM902"/>
      <c r="HN902"/>
      <c r="HO902"/>
      <c r="HP902"/>
      <c r="HQ902"/>
      <c r="HR902"/>
      <c r="HS902"/>
      <c r="HT902"/>
      <c r="HU902"/>
      <c r="HV902"/>
      <c r="HW902"/>
      <c r="HX902"/>
      <c r="HY902"/>
      <c r="HZ902"/>
      <c r="IA902"/>
      <c r="IB902"/>
      <c r="IC902"/>
      <c r="ID902"/>
      <c r="IE902"/>
      <c r="IF902"/>
      <c r="IG902"/>
      <c r="IH902"/>
      <c r="II902"/>
      <c r="IJ902"/>
      <c r="IK902"/>
      <c r="IL902"/>
      <c r="IM902"/>
      <c r="IN902"/>
      <c r="IO902"/>
      <c r="IP902"/>
      <c r="IQ902"/>
    </row>
    <row r="903" spans="1:252" ht="27" customHeight="1" x14ac:dyDescent="0.2">
      <c r="A903" s="741"/>
      <c r="B903" s="1100" t="s">
        <v>1736</v>
      </c>
      <c r="C903" s="874">
        <v>300000</v>
      </c>
      <c r="D903" s="874">
        <v>300000</v>
      </c>
      <c r="E903" s="740"/>
      <c r="F903" s="740"/>
      <c r="G903" s="1364"/>
      <c r="H903" s="1365"/>
      <c r="I903" s="136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c r="EX903"/>
      <c r="EY903"/>
      <c r="EZ903"/>
      <c r="FA903"/>
      <c r="FB903"/>
      <c r="FC903"/>
      <c r="FD903"/>
      <c r="FE903"/>
      <c r="FF903"/>
      <c r="FG903"/>
      <c r="FH903"/>
      <c r="FI903"/>
      <c r="FJ903"/>
      <c r="FK903"/>
      <c r="FL903"/>
      <c r="FM903"/>
      <c r="FN903"/>
      <c r="FO903"/>
      <c r="FP903"/>
      <c r="FQ903"/>
      <c r="FR903"/>
      <c r="FS903"/>
      <c r="FT903"/>
      <c r="FU903"/>
      <c r="FV903"/>
      <c r="FW903"/>
      <c r="FX903"/>
      <c r="FY903"/>
      <c r="FZ903"/>
      <c r="GA903"/>
      <c r="GB903"/>
      <c r="GC903"/>
      <c r="GD903"/>
      <c r="GE903"/>
      <c r="GF903"/>
      <c r="GG903"/>
      <c r="GH903"/>
      <c r="GI903"/>
      <c r="GJ903"/>
      <c r="GK903"/>
      <c r="GL903"/>
      <c r="GM903"/>
      <c r="GN903"/>
      <c r="GO903"/>
      <c r="GP903"/>
      <c r="GQ903"/>
      <c r="GR903"/>
      <c r="GS903"/>
      <c r="GT903"/>
      <c r="GU903"/>
      <c r="GV903"/>
      <c r="GW903"/>
      <c r="GX903"/>
      <c r="GY903"/>
      <c r="GZ903"/>
      <c r="HA903"/>
      <c r="HB903"/>
      <c r="HC903"/>
      <c r="HD903"/>
      <c r="HE903"/>
      <c r="HF903"/>
      <c r="HG903"/>
      <c r="HH903"/>
      <c r="HI903"/>
      <c r="HJ903"/>
      <c r="HK903"/>
      <c r="HL903"/>
      <c r="HM903"/>
      <c r="HN903"/>
      <c r="HO903"/>
      <c r="HP903"/>
      <c r="HQ903"/>
      <c r="HR903"/>
      <c r="HS903"/>
      <c r="HT903"/>
      <c r="HU903"/>
      <c r="HV903"/>
      <c r="HW903"/>
      <c r="HX903"/>
      <c r="HY903"/>
      <c r="HZ903"/>
      <c r="IA903"/>
      <c r="IB903"/>
      <c r="IC903"/>
      <c r="ID903"/>
      <c r="IE903"/>
      <c r="IF903"/>
      <c r="IG903"/>
      <c r="IH903"/>
      <c r="II903"/>
      <c r="IJ903"/>
      <c r="IK903"/>
      <c r="IL903"/>
      <c r="IM903"/>
      <c r="IN903"/>
      <c r="IO903"/>
      <c r="IP903"/>
      <c r="IQ903"/>
    </row>
    <row r="904" spans="1:252" s="607" customFormat="1" ht="27" customHeight="1" x14ac:dyDescent="0.2">
      <c r="A904" s="741"/>
      <c r="B904" s="1100" t="s">
        <v>1737</v>
      </c>
      <c r="C904" s="874">
        <v>3000000</v>
      </c>
      <c r="D904" s="874">
        <v>3000000</v>
      </c>
      <c r="E904" s="1367"/>
      <c r="F904" s="1367"/>
      <c r="G904" s="1364"/>
      <c r="H904" s="1365"/>
      <c r="I904" s="1366"/>
    </row>
    <row r="905" spans="1:252" s="607" customFormat="1" ht="27" customHeight="1" x14ac:dyDescent="0.2">
      <c r="A905" s="741"/>
      <c r="B905" s="1101" t="s">
        <v>1076</v>
      </c>
      <c r="C905" s="874">
        <v>100000</v>
      </c>
      <c r="D905" s="874">
        <v>100000</v>
      </c>
      <c r="E905" s="707"/>
      <c r="F905" s="707"/>
      <c r="G905" s="1243"/>
      <c r="H905" s="1248"/>
      <c r="I905" s="1258"/>
    </row>
    <row r="906" spans="1:252" s="607" customFormat="1" ht="27" customHeight="1" x14ac:dyDescent="0.2">
      <c r="A906" s="741"/>
      <c r="B906" s="1102" t="s">
        <v>1077</v>
      </c>
      <c r="C906" s="983">
        <v>100000</v>
      </c>
      <c r="D906" s="983">
        <v>100000</v>
      </c>
      <c r="E906" s="1163"/>
      <c r="F906" s="1163"/>
      <c r="G906" s="1243"/>
      <c r="H906" s="1248"/>
      <c r="I906" s="1258"/>
    </row>
    <row r="907" spans="1:252" ht="27" customHeight="1" x14ac:dyDescent="0.2">
      <c r="A907" s="741"/>
      <c r="B907" s="1102" t="s">
        <v>1123</v>
      </c>
      <c r="C907" s="874">
        <f>C908+C909+C910+C911</f>
        <v>32450000</v>
      </c>
      <c r="D907" s="874">
        <f>D908+D909+D910+D911</f>
        <v>32450000</v>
      </c>
      <c r="E907" s="1163"/>
      <c r="F907" s="1163"/>
      <c r="G907" s="1243"/>
      <c r="H907" s="1248"/>
      <c r="I907" s="1258"/>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c r="EY907"/>
      <c r="EZ907"/>
      <c r="FA907"/>
      <c r="FB907"/>
      <c r="FC907"/>
      <c r="FD907"/>
      <c r="FE907"/>
      <c r="FF907"/>
      <c r="FG907"/>
      <c r="FH907"/>
      <c r="FI907"/>
      <c r="FJ907"/>
      <c r="FK907"/>
      <c r="FL907"/>
      <c r="FM907"/>
      <c r="FN907"/>
      <c r="FO907"/>
      <c r="FP907"/>
      <c r="FQ907"/>
      <c r="FR907"/>
      <c r="FS907"/>
      <c r="FT907"/>
      <c r="FU907"/>
      <c r="FV907"/>
      <c r="FW907"/>
      <c r="FX907"/>
      <c r="FY907"/>
      <c r="FZ907"/>
      <c r="GA907"/>
      <c r="GB907"/>
      <c r="GC907"/>
      <c r="GD907"/>
      <c r="GE907"/>
      <c r="GF907"/>
      <c r="GG907"/>
      <c r="GH907"/>
      <c r="GI907"/>
      <c r="GJ907"/>
      <c r="GK907"/>
      <c r="GL907"/>
      <c r="GM907"/>
      <c r="GN907"/>
      <c r="GO907"/>
      <c r="GP907"/>
      <c r="GQ907"/>
      <c r="GR907"/>
      <c r="GS907"/>
      <c r="GT907"/>
      <c r="GU907"/>
      <c r="GV907"/>
      <c r="GW907"/>
      <c r="GX907"/>
      <c r="GY907"/>
      <c r="GZ907"/>
      <c r="HA907"/>
      <c r="HB907"/>
      <c r="HC907"/>
      <c r="HD907"/>
      <c r="HE907"/>
      <c r="HF907"/>
      <c r="HG907"/>
      <c r="HH907"/>
      <c r="HI907"/>
      <c r="HJ907"/>
      <c r="HK907"/>
      <c r="HL907"/>
      <c r="HM907"/>
      <c r="HN907"/>
      <c r="HO907"/>
      <c r="HP907"/>
      <c r="HQ907"/>
      <c r="HR907"/>
      <c r="HS907"/>
      <c r="HT907"/>
      <c r="HU907"/>
      <c r="HV907"/>
      <c r="HW907"/>
      <c r="HX907"/>
      <c r="HY907"/>
      <c r="HZ907"/>
      <c r="IA907"/>
      <c r="IB907"/>
      <c r="IC907"/>
      <c r="ID907"/>
      <c r="IE907"/>
      <c r="IF907"/>
      <c r="IG907"/>
      <c r="IH907"/>
      <c r="II907"/>
      <c r="IJ907"/>
      <c r="IK907"/>
      <c r="IL907"/>
      <c r="IM907"/>
      <c r="IN907"/>
      <c r="IO907"/>
      <c r="IP907"/>
      <c r="IQ907"/>
    </row>
    <row r="908" spans="1:252" ht="27" customHeight="1" x14ac:dyDescent="0.2">
      <c r="A908" s="741"/>
      <c r="B908" s="1103" t="s">
        <v>1124</v>
      </c>
      <c r="C908" s="983">
        <v>7000000</v>
      </c>
      <c r="D908" s="983">
        <v>7000000</v>
      </c>
      <c r="E908" s="1163"/>
      <c r="F908" s="1163"/>
      <c r="G908" s="1243"/>
      <c r="H908" s="1248"/>
      <c r="I908" s="125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c r="EY908"/>
      <c r="EZ908"/>
      <c r="FA908"/>
      <c r="FB908"/>
      <c r="FC908"/>
      <c r="FD908"/>
      <c r="FE908"/>
      <c r="FF908"/>
      <c r="FG908"/>
      <c r="FH908"/>
      <c r="FI908"/>
      <c r="FJ908"/>
      <c r="FK908"/>
      <c r="FL908"/>
      <c r="FM908"/>
      <c r="FN908"/>
      <c r="FO908"/>
      <c r="FP908"/>
      <c r="FQ908"/>
      <c r="FR908"/>
      <c r="FS908"/>
      <c r="FT908"/>
      <c r="FU908"/>
      <c r="FV908"/>
      <c r="FW908"/>
      <c r="FX908"/>
      <c r="FY908"/>
      <c r="FZ908"/>
      <c r="GA908"/>
      <c r="GB908"/>
      <c r="GC908"/>
      <c r="GD908"/>
      <c r="GE908"/>
      <c r="GF908"/>
      <c r="GG908"/>
      <c r="GH908"/>
      <c r="GI908"/>
      <c r="GJ908"/>
      <c r="GK908"/>
      <c r="GL908"/>
      <c r="GM908"/>
      <c r="GN908"/>
      <c r="GO908"/>
      <c r="GP908"/>
      <c r="GQ908"/>
      <c r="GR908"/>
      <c r="GS908"/>
      <c r="GT908"/>
      <c r="GU908"/>
      <c r="GV908"/>
      <c r="GW908"/>
      <c r="GX908"/>
      <c r="GY908"/>
      <c r="GZ908"/>
      <c r="HA908"/>
      <c r="HB908"/>
      <c r="HC908"/>
      <c r="HD908"/>
      <c r="HE908"/>
      <c r="HF908"/>
      <c r="HG908"/>
      <c r="HH908"/>
      <c r="HI908"/>
      <c r="HJ908"/>
      <c r="HK908"/>
      <c r="HL908"/>
      <c r="HM908"/>
      <c r="HN908"/>
      <c r="HO908"/>
      <c r="HP908"/>
      <c r="HQ908"/>
      <c r="HR908"/>
      <c r="HS908"/>
      <c r="HT908"/>
      <c r="HU908"/>
      <c r="HV908"/>
      <c r="HW908"/>
      <c r="HX908"/>
      <c r="HY908"/>
      <c r="HZ908"/>
      <c r="IA908"/>
      <c r="IB908"/>
      <c r="IC908"/>
      <c r="ID908"/>
      <c r="IE908"/>
      <c r="IF908"/>
      <c r="IG908"/>
      <c r="IH908"/>
      <c r="II908"/>
      <c r="IJ908"/>
      <c r="IK908"/>
      <c r="IL908"/>
      <c r="IM908"/>
      <c r="IN908"/>
      <c r="IO908"/>
      <c r="IP908"/>
      <c r="IQ908"/>
    </row>
    <row r="909" spans="1:252" ht="27" customHeight="1" x14ac:dyDescent="0.2">
      <c r="A909" s="726"/>
      <c r="B909" s="1104" t="s">
        <v>1125</v>
      </c>
      <c r="C909" s="874">
        <v>22000000</v>
      </c>
      <c r="D909" s="874">
        <v>22000000</v>
      </c>
      <c r="E909" s="1163"/>
      <c r="F909" s="1163"/>
      <c r="G909" s="1243"/>
      <c r="H909" s="1248"/>
      <c r="I909" s="1258"/>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c r="EY909"/>
      <c r="EZ909"/>
      <c r="FA909"/>
      <c r="FB909"/>
      <c r="FC909"/>
      <c r="FD909"/>
      <c r="FE909"/>
      <c r="FF909"/>
      <c r="FG909"/>
      <c r="FH909"/>
      <c r="FI909"/>
      <c r="FJ909"/>
      <c r="FK909"/>
      <c r="FL909"/>
      <c r="FM909"/>
      <c r="FN909"/>
      <c r="FO909"/>
      <c r="FP909"/>
      <c r="FQ909"/>
      <c r="FR909"/>
      <c r="FS909"/>
      <c r="FT909"/>
      <c r="FU909"/>
      <c r="FV909"/>
      <c r="FW909"/>
      <c r="FX909"/>
      <c r="FY909"/>
      <c r="FZ909"/>
      <c r="GA909"/>
      <c r="GB909"/>
      <c r="GC909"/>
      <c r="GD909"/>
      <c r="GE909"/>
      <c r="GF909"/>
      <c r="GG909"/>
      <c r="GH909"/>
      <c r="GI909"/>
      <c r="GJ909"/>
      <c r="GK909"/>
      <c r="GL909"/>
      <c r="GM909"/>
      <c r="GN909"/>
      <c r="GO909"/>
      <c r="GP909"/>
      <c r="GQ909"/>
      <c r="GR909"/>
      <c r="GS909"/>
      <c r="GT909"/>
      <c r="GU909"/>
      <c r="GV909"/>
      <c r="GW909"/>
      <c r="GX909"/>
      <c r="GY909"/>
      <c r="GZ909"/>
      <c r="HA909"/>
      <c r="HB909"/>
      <c r="HC909"/>
      <c r="HD909"/>
      <c r="HE909"/>
      <c r="HF909"/>
      <c r="HG909"/>
      <c r="HH909"/>
      <c r="HI909"/>
      <c r="HJ909"/>
      <c r="HK909"/>
      <c r="HL909"/>
      <c r="HM909"/>
      <c r="HN909"/>
      <c r="HO909"/>
      <c r="HP909"/>
      <c r="HQ909"/>
      <c r="HR909"/>
      <c r="HS909"/>
      <c r="HT909"/>
      <c r="HU909"/>
      <c r="HV909"/>
      <c r="HW909"/>
      <c r="HX909"/>
      <c r="HY909"/>
      <c r="HZ909"/>
      <c r="IA909"/>
      <c r="IB909"/>
      <c r="IC909"/>
      <c r="ID909"/>
      <c r="IE909"/>
      <c r="IF909"/>
      <c r="IG909"/>
      <c r="IH909"/>
      <c r="II909"/>
      <c r="IJ909"/>
      <c r="IK909"/>
      <c r="IL909"/>
      <c r="IM909"/>
      <c r="IN909"/>
      <c r="IO909"/>
      <c r="IP909"/>
      <c r="IQ909"/>
    </row>
    <row r="910" spans="1:252" ht="27" customHeight="1" x14ac:dyDescent="0.2">
      <c r="A910" s="726"/>
      <c r="B910" s="979" t="s">
        <v>1126</v>
      </c>
      <c r="C910" s="874">
        <v>900000</v>
      </c>
      <c r="D910" s="874">
        <v>900000</v>
      </c>
      <c r="E910" s="1218"/>
      <c r="F910" s="1163"/>
      <c r="G910" s="825"/>
      <c r="H910" s="1244"/>
      <c r="I910" s="1257"/>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c r="EY910"/>
      <c r="EZ910"/>
      <c r="FA910"/>
      <c r="FB910"/>
      <c r="FC910"/>
      <c r="FD910"/>
      <c r="FE910"/>
      <c r="FF910"/>
      <c r="FG910"/>
      <c r="FH910"/>
      <c r="FI910"/>
      <c r="FJ910"/>
      <c r="FK910"/>
      <c r="FL910"/>
      <c r="FM910"/>
      <c r="FN910"/>
      <c r="FO910"/>
      <c r="FP910"/>
      <c r="FQ910"/>
      <c r="FR910"/>
      <c r="FS910"/>
      <c r="FT910"/>
      <c r="FU910"/>
      <c r="FV910"/>
      <c r="FW910"/>
      <c r="FX910"/>
      <c r="FY910"/>
      <c r="FZ910"/>
      <c r="GA910"/>
      <c r="GB910"/>
      <c r="GC910"/>
      <c r="GD910"/>
      <c r="GE910"/>
      <c r="GF910"/>
      <c r="GG910"/>
      <c r="GH910"/>
      <c r="GI910"/>
      <c r="GJ910"/>
      <c r="GK910"/>
      <c r="GL910"/>
      <c r="GM910"/>
      <c r="GN910"/>
      <c r="GO910"/>
      <c r="GP910"/>
      <c r="GQ910"/>
      <c r="GR910"/>
      <c r="GS910"/>
      <c r="GT910"/>
      <c r="GU910"/>
      <c r="GV910"/>
      <c r="GW910"/>
      <c r="GX910"/>
      <c r="GY910"/>
      <c r="GZ910"/>
      <c r="HA910"/>
      <c r="HB910"/>
      <c r="HC910"/>
      <c r="HD910"/>
      <c r="HE910"/>
      <c r="HF910"/>
      <c r="HG910"/>
      <c r="HH910"/>
      <c r="HI910"/>
      <c r="HJ910"/>
      <c r="HK910"/>
      <c r="HL910"/>
      <c r="HM910"/>
      <c r="HN910"/>
      <c r="HO910"/>
      <c r="HP910"/>
      <c r="HQ910"/>
      <c r="HR910"/>
      <c r="HS910"/>
      <c r="HT910"/>
      <c r="HU910"/>
      <c r="HV910"/>
      <c r="HW910"/>
      <c r="HX910"/>
      <c r="HY910"/>
      <c r="HZ910"/>
      <c r="IA910"/>
      <c r="IB910"/>
      <c r="IC910"/>
      <c r="ID910"/>
      <c r="IE910"/>
      <c r="IF910"/>
      <c r="IG910"/>
      <c r="IH910"/>
      <c r="II910"/>
      <c r="IJ910"/>
      <c r="IK910"/>
      <c r="IL910"/>
      <c r="IM910"/>
      <c r="IN910"/>
      <c r="IO910"/>
      <c r="IP910"/>
      <c r="IQ910"/>
    </row>
    <row r="911" spans="1:252" s="607" customFormat="1" ht="27" customHeight="1" x14ac:dyDescent="0.2">
      <c r="A911" s="726"/>
      <c r="B911" s="970" t="s">
        <v>1127</v>
      </c>
      <c r="C911" s="874">
        <v>2550000</v>
      </c>
      <c r="D911" s="874">
        <v>2550000</v>
      </c>
      <c r="E911" s="1367"/>
      <c r="F911" s="1367"/>
      <c r="G911" s="1364"/>
      <c r="H911" s="1365"/>
      <c r="I911" s="1366"/>
    </row>
    <row r="912" spans="1:252" s="607" customFormat="1" ht="27" customHeight="1" x14ac:dyDescent="0.2">
      <c r="A912" s="726"/>
      <c r="B912" s="970" t="s">
        <v>1443</v>
      </c>
      <c r="C912" s="874">
        <v>20000</v>
      </c>
      <c r="D912" s="874">
        <v>20000</v>
      </c>
      <c r="E912" s="1163"/>
      <c r="F912" s="1163"/>
      <c r="G912" s="1243"/>
      <c r="H912" s="1248"/>
      <c r="I912" s="1258"/>
    </row>
    <row r="913" spans="1:251" s="607" customFormat="1" ht="27" customHeight="1" x14ac:dyDescent="0.2">
      <c r="A913" s="739">
        <v>3613</v>
      </c>
      <c r="B913" s="1021" t="s">
        <v>879</v>
      </c>
      <c r="C913" s="940">
        <f>C914+C924+C925+C926+C931+C943+C944</f>
        <v>23745000</v>
      </c>
      <c r="D913" s="940">
        <f>D914+D924+D925+D926+D931+D943+D944</f>
        <v>23745000</v>
      </c>
      <c r="E913" s="707"/>
      <c r="F913" s="707"/>
      <c r="G913" s="1243"/>
      <c r="H913" s="1248"/>
      <c r="I913" s="1258"/>
    </row>
    <row r="914" spans="1:251" s="607" customFormat="1" ht="27" customHeight="1" x14ac:dyDescent="0.2">
      <c r="A914" s="877"/>
      <c r="B914" s="1105" t="s">
        <v>880</v>
      </c>
      <c r="C914" s="1086">
        <f>SUM(C915:C923)</f>
        <v>3990000</v>
      </c>
      <c r="D914" s="1086">
        <f>SUM(D915:D923)</f>
        <v>4200000</v>
      </c>
      <c r="E914" s="1163"/>
      <c r="F914" s="1163"/>
      <c r="G914" s="1243"/>
      <c r="H914" s="1248"/>
      <c r="I914" s="1258"/>
    </row>
    <row r="915" spans="1:251" s="607" customFormat="1" ht="27" customHeight="1" x14ac:dyDescent="0.2">
      <c r="A915" s="878"/>
      <c r="B915" s="970" t="s">
        <v>1662</v>
      </c>
      <c r="C915" s="874">
        <v>550000</v>
      </c>
      <c r="D915" s="874">
        <v>550000</v>
      </c>
      <c r="E915" s="1163"/>
      <c r="F915" s="1163"/>
      <c r="G915" s="1243"/>
      <c r="H915" s="1248"/>
      <c r="I915" s="1258"/>
    </row>
    <row r="916" spans="1:251" ht="27" customHeight="1" x14ac:dyDescent="0.2">
      <c r="A916" s="742"/>
      <c r="B916" s="970" t="s">
        <v>1213</v>
      </c>
      <c r="C916" s="983">
        <v>0</v>
      </c>
      <c r="D916" s="983">
        <v>0</v>
      </c>
      <c r="E916" s="1163"/>
      <c r="F916" s="1163"/>
      <c r="G916" s="1243"/>
      <c r="H916" s="1248"/>
      <c r="I916" s="1258"/>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c r="FS916"/>
      <c r="FT916"/>
      <c r="FU916"/>
      <c r="FV916"/>
      <c r="FW916"/>
      <c r="FX916"/>
      <c r="FY916"/>
      <c r="FZ916"/>
      <c r="GA916"/>
      <c r="GB916"/>
      <c r="GC916"/>
      <c r="GD916"/>
      <c r="GE916"/>
      <c r="GF916"/>
      <c r="GG916"/>
      <c r="GH916"/>
      <c r="GI916"/>
      <c r="GJ916"/>
      <c r="GK916"/>
      <c r="GL916"/>
      <c r="GM916"/>
      <c r="GN916"/>
      <c r="GO916"/>
      <c r="GP916"/>
      <c r="GQ916"/>
      <c r="GR916"/>
      <c r="GS916"/>
      <c r="GT916"/>
      <c r="GU916"/>
      <c r="GV916"/>
      <c r="GW916"/>
      <c r="GX916"/>
      <c r="GY916"/>
      <c r="GZ916"/>
      <c r="HA916"/>
      <c r="HB916"/>
      <c r="HC916"/>
      <c r="HD916"/>
      <c r="HE916"/>
      <c r="HF916"/>
      <c r="HG916"/>
      <c r="HH916"/>
      <c r="HI916"/>
      <c r="HJ916"/>
      <c r="HK916"/>
      <c r="HL916"/>
      <c r="HM916"/>
      <c r="HN916"/>
      <c r="HO916"/>
      <c r="HP916"/>
      <c r="HQ916"/>
      <c r="HR916"/>
      <c r="HS916"/>
      <c r="HT916"/>
      <c r="HU916"/>
      <c r="HV916"/>
      <c r="HW916"/>
      <c r="HX916"/>
      <c r="HY916"/>
      <c r="HZ916"/>
      <c r="IA916"/>
      <c r="IB916"/>
      <c r="IC916"/>
      <c r="ID916"/>
      <c r="IE916"/>
      <c r="IF916"/>
      <c r="IG916"/>
      <c r="IH916"/>
      <c r="II916"/>
      <c r="IJ916"/>
      <c r="IK916"/>
      <c r="IL916"/>
      <c r="IM916"/>
      <c r="IN916"/>
      <c r="IO916"/>
      <c r="IP916"/>
      <c r="IQ916"/>
    </row>
    <row r="917" spans="1:251" ht="27" customHeight="1" x14ac:dyDescent="0.2">
      <c r="A917" s="739"/>
      <c r="B917" s="1106" t="s">
        <v>1444</v>
      </c>
      <c r="C917" s="874">
        <v>0</v>
      </c>
      <c r="D917" s="874">
        <v>0</v>
      </c>
      <c r="E917" s="1163"/>
      <c r="F917" s="1163"/>
      <c r="G917" s="1243"/>
      <c r="H917" s="1248"/>
      <c r="I917" s="1258"/>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c r="EY917"/>
      <c r="EZ917"/>
      <c r="FA917"/>
      <c r="FB917"/>
      <c r="FC917"/>
      <c r="FD917"/>
      <c r="FE917"/>
      <c r="FF917"/>
      <c r="FG917"/>
      <c r="FH917"/>
      <c r="FI917"/>
      <c r="FJ917"/>
      <c r="FK917"/>
      <c r="FL917"/>
      <c r="FM917"/>
      <c r="FN917"/>
      <c r="FO917"/>
      <c r="FP917"/>
      <c r="FQ917"/>
      <c r="FR917"/>
      <c r="FS917"/>
      <c r="FT917"/>
      <c r="FU917"/>
      <c r="FV917"/>
      <c r="FW917"/>
      <c r="FX917"/>
      <c r="FY917"/>
      <c r="FZ917"/>
      <c r="GA917"/>
      <c r="GB917"/>
      <c r="GC917"/>
      <c r="GD917"/>
      <c r="GE917"/>
      <c r="GF917"/>
      <c r="GG917"/>
      <c r="GH917"/>
      <c r="GI917"/>
      <c r="GJ917"/>
      <c r="GK917"/>
      <c r="GL917"/>
      <c r="GM917"/>
      <c r="GN917"/>
      <c r="GO917"/>
      <c r="GP917"/>
      <c r="GQ917"/>
      <c r="GR917"/>
      <c r="GS917"/>
      <c r="GT917"/>
      <c r="GU917"/>
      <c r="GV917"/>
      <c r="GW917"/>
      <c r="GX917"/>
      <c r="GY917"/>
      <c r="GZ917"/>
      <c r="HA917"/>
      <c r="HB917"/>
      <c r="HC917"/>
      <c r="HD917"/>
      <c r="HE917"/>
      <c r="HF917"/>
      <c r="HG917"/>
      <c r="HH917"/>
      <c r="HI917"/>
      <c r="HJ917"/>
      <c r="HK917"/>
      <c r="HL917"/>
      <c r="HM917"/>
      <c r="HN917"/>
      <c r="HO917"/>
      <c r="HP917"/>
      <c r="HQ917"/>
      <c r="HR917"/>
      <c r="HS917"/>
      <c r="HT917"/>
      <c r="HU917"/>
      <c r="HV917"/>
      <c r="HW917"/>
      <c r="HX917"/>
      <c r="HY917"/>
      <c r="HZ917"/>
      <c r="IA917"/>
      <c r="IB917"/>
      <c r="IC917"/>
      <c r="ID917"/>
      <c r="IE917"/>
      <c r="IF917"/>
      <c r="IG917"/>
      <c r="IH917"/>
      <c r="II917"/>
      <c r="IJ917"/>
      <c r="IK917"/>
      <c r="IL917"/>
      <c r="IM917"/>
      <c r="IN917"/>
      <c r="IO917"/>
      <c r="IP917"/>
      <c r="IQ917"/>
    </row>
    <row r="918" spans="1:251" ht="27" customHeight="1" x14ac:dyDescent="0.2">
      <c r="A918" s="878"/>
      <c r="B918" s="1106" t="s">
        <v>1445</v>
      </c>
      <c r="C918" s="874">
        <v>600000</v>
      </c>
      <c r="D918" s="874">
        <v>600000</v>
      </c>
      <c r="E918" s="1163"/>
      <c r="F918" s="1163"/>
      <c r="G918" s="1243"/>
      <c r="H918" s="1248"/>
      <c r="I918" s="125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c r="EY918"/>
      <c r="EZ918"/>
      <c r="FA918"/>
      <c r="FB918"/>
      <c r="FC918"/>
      <c r="FD918"/>
      <c r="FE918"/>
      <c r="FF918"/>
      <c r="FG918"/>
      <c r="FH918"/>
      <c r="FI918"/>
      <c r="FJ918"/>
      <c r="FK918"/>
      <c r="FL918"/>
      <c r="FM918"/>
      <c r="FN918"/>
      <c r="FO918"/>
      <c r="FP918"/>
      <c r="FQ918"/>
      <c r="FR918"/>
      <c r="FS918"/>
      <c r="FT918"/>
      <c r="FU918"/>
      <c r="FV918"/>
      <c r="FW918"/>
      <c r="FX918"/>
      <c r="FY918"/>
      <c r="FZ918"/>
      <c r="GA918"/>
      <c r="GB918"/>
      <c r="GC918"/>
      <c r="GD918"/>
      <c r="GE918"/>
      <c r="GF918"/>
      <c r="GG918"/>
      <c r="GH918"/>
      <c r="GI918"/>
      <c r="GJ918"/>
      <c r="GK918"/>
      <c r="GL918"/>
      <c r="GM918"/>
      <c r="GN918"/>
      <c r="GO918"/>
      <c r="GP918"/>
      <c r="GQ918"/>
      <c r="GR918"/>
      <c r="GS918"/>
      <c r="GT918"/>
      <c r="GU918"/>
      <c r="GV918"/>
      <c r="GW918"/>
      <c r="GX918"/>
      <c r="GY918"/>
      <c r="GZ918"/>
      <c r="HA918"/>
      <c r="HB918"/>
      <c r="HC918"/>
      <c r="HD918"/>
      <c r="HE918"/>
      <c r="HF918"/>
      <c r="HG918"/>
      <c r="HH918"/>
      <c r="HI918"/>
      <c r="HJ918"/>
      <c r="HK918"/>
      <c r="HL918"/>
      <c r="HM918"/>
      <c r="HN918"/>
      <c r="HO918"/>
      <c r="HP918"/>
      <c r="HQ918"/>
      <c r="HR918"/>
      <c r="HS918"/>
      <c r="HT918"/>
      <c r="HU918"/>
      <c r="HV918"/>
      <c r="HW918"/>
      <c r="HX918"/>
      <c r="HY918"/>
      <c r="HZ918"/>
      <c r="IA918"/>
      <c r="IB918"/>
      <c r="IC918"/>
      <c r="ID918"/>
      <c r="IE918"/>
      <c r="IF918"/>
      <c r="IG918"/>
      <c r="IH918"/>
      <c r="II918"/>
      <c r="IJ918"/>
      <c r="IK918"/>
      <c r="IL918"/>
      <c r="IM918"/>
      <c r="IN918"/>
      <c r="IO918"/>
      <c r="IP918"/>
      <c r="IQ918"/>
    </row>
    <row r="919" spans="1:251" s="607" customFormat="1" ht="27" customHeight="1" x14ac:dyDescent="0.2">
      <c r="A919" s="878"/>
      <c r="B919" s="1106" t="s">
        <v>1078</v>
      </c>
      <c r="C919" s="874">
        <v>1100000</v>
      </c>
      <c r="D919" s="874">
        <f>1100000+210000</f>
        <v>1310000</v>
      </c>
      <c r="E919" s="1163"/>
      <c r="F919" s="1163"/>
      <c r="G919" s="1243"/>
      <c r="H919" s="1248"/>
      <c r="I919" s="1258"/>
    </row>
    <row r="920" spans="1:251" s="607" customFormat="1" ht="27" customHeight="1" x14ac:dyDescent="0.2">
      <c r="A920" s="878"/>
      <c r="B920" s="979" t="s">
        <v>1128</v>
      </c>
      <c r="C920" s="874">
        <v>0</v>
      </c>
      <c r="D920" s="874">
        <v>0</v>
      </c>
      <c r="E920" s="740"/>
      <c r="F920" s="740"/>
      <c r="G920" s="1364"/>
      <c r="H920" s="1365"/>
      <c r="I920" s="1366"/>
    </row>
    <row r="921" spans="1:251" s="607" customFormat="1" ht="27" customHeight="1" x14ac:dyDescent="0.2">
      <c r="A921" s="878"/>
      <c r="B921" s="979" t="s">
        <v>1738</v>
      </c>
      <c r="C921" s="874">
        <v>840000</v>
      </c>
      <c r="D921" s="874">
        <v>840000</v>
      </c>
      <c r="E921" s="1367"/>
      <c r="F921" s="1367"/>
      <c r="G921" s="1364"/>
      <c r="H921" s="1365"/>
      <c r="I921" s="1366"/>
    </row>
    <row r="922" spans="1:251" s="607" customFormat="1" ht="27" customHeight="1" x14ac:dyDescent="0.2">
      <c r="A922" s="878"/>
      <c r="B922" s="979" t="s">
        <v>1129</v>
      </c>
      <c r="C922" s="874">
        <v>900000</v>
      </c>
      <c r="D922" s="874">
        <v>900000</v>
      </c>
      <c r="E922" s="1367"/>
      <c r="F922" s="1367"/>
      <c r="G922" s="1364"/>
      <c r="H922" s="1365"/>
      <c r="I922" s="1366"/>
    </row>
    <row r="923" spans="1:251" s="607" customFormat="1" ht="27" customHeight="1" x14ac:dyDescent="0.2">
      <c r="A923" s="878"/>
      <c r="B923" s="1107" t="s">
        <v>1713</v>
      </c>
      <c r="C923" s="874">
        <v>0</v>
      </c>
      <c r="D923" s="874">
        <v>0</v>
      </c>
      <c r="E923" s="1163"/>
      <c r="F923" s="1163"/>
      <c r="G923" s="1243"/>
      <c r="H923" s="1248"/>
      <c r="I923" s="1366"/>
    </row>
    <row r="924" spans="1:251" s="607" customFormat="1" ht="27" customHeight="1" x14ac:dyDescent="0.2">
      <c r="A924" s="878"/>
      <c r="B924" s="1085" t="s">
        <v>1079</v>
      </c>
      <c r="C924" s="983">
        <v>30000</v>
      </c>
      <c r="D924" s="983">
        <v>30000</v>
      </c>
      <c r="E924" s="1163"/>
      <c r="F924" s="1163"/>
      <c r="G924" s="1243"/>
      <c r="H924" s="1248"/>
      <c r="I924" s="1258"/>
    </row>
    <row r="925" spans="1:251" s="607" customFormat="1" ht="27" customHeight="1" x14ac:dyDescent="0.2">
      <c r="A925" s="878"/>
      <c r="B925" s="1085" t="s">
        <v>1080</v>
      </c>
      <c r="C925" s="1086">
        <v>80000</v>
      </c>
      <c r="D925" s="1086">
        <v>80000</v>
      </c>
      <c r="E925" s="707"/>
      <c r="F925" s="707"/>
      <c r="G925" s="1243"/>
      <c r="H925" s="1248"/>
      <c r="I925" s="1258"/>
    </row>
    <row r="926" spans="1:251" s="607" customFormat="1" ht="27" customHeight="1" x14ac:dyDescent="0.2">
      <c r="A926" s="742"/>
      <c r="B926" s="1085" t="s">
        <v>1081</v>
      </c>
      <c r="C926" s="1086">
        <f t="shared" ref="C926:D926" si="108">C927+C928+C929+C930</f>
        <v>8050000</v>
      </c>
      <c r="D926" s="1086">
        <f t="shared" si="108"/>
        <v>8050000</v>
      </c>
      <c r="E926" s="707"/>
      <c r="F926" s="707"/>
      <c r="G926" s="1243"/>
      <c r="H926" s="1248"/>
      <c r="I926" s="1258"/>
    </row>
    <row r="927" spans="1:251" ht="27" customHeight="1" x14ac:dyDescent="0.2">
      <c r="A927" s="742"/>
      <c r="B927" s="1085" t="s">
        <v>1124</v>
      </c>
      <c r="C927" s="874">
        <v>1200000</v>
      </c>
      <c r="D927" s="874">
        <v>1200000</v>
      </c>
      <c r="E927" s="740"/>
      <c r="F927" s="740"/>
      <c r="G927" s="1364"/>
      <c r="H927" s="1365"/>
      <c r="I927" s="136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c r="DU927"/>
      <c r="DV927"/>
      <c r="DW927"/>
      <c r="DX927"/>
      <c r="DY927"/>
      <c r="DZ927"/>
      <c r="EA927"/>
      <c r="EB927"/>
      <c r="EC927"/>
      <c r="ED927"/>
      <c r="EE927"/>
      <c r="EF927"/>
      <c r="EG927"/>
      <c r="EH927"/>
      <c r="EI927"/>
      <c r="EJ927"/>
      <c r="EK927"/>
      <c r="EL927"/>
      <c r="EM927"/>
      <c r="EN927"/>
      <c r="EO927"/>
      <c r="EP927"/>
      <c r="EQ927"/>
      <c r="ER927"/>
      <c r="ES927"/>
      <c r="ET927"/>
      <c r="EU927"/>
      <c r="EV927"/>
      <c r="EW927"/>
      <c r="EX927"/>
      <c r="EY927"/>
      <c r="EZ927"/>
      <c r="FA927"/>
      <c r="FB927"/>
      <c r="FC927"/>
      <c r="FD927"/>
      <c r="FE927"/>
      <c r="FF927"/>
      <c r="FG927"/>
      <c r="FH927"/>
      <c r="FI927"/>
      <c r="FJ927"/>
      <c r="FK927"/>
      <c r="FL927"/>
      <c r="FM927"/>
      <c r="FN927"/>
      <c r="FO927"/>
      <c r="FP927"/>
      <c r="FQ927"/>
      <c r="FR927"/>
      <c r="FS927"/>
      <c r="FT927"/>
      <c r="FU927"/>
      <c r="FV927"/>
      <c r="FW927"/>
      <c r="FX927"/>
      <c r="FY927"/>
      <c r="FZ927"/>
      <c r="GA927"/>
      <c r="GB927"/>
      <c r="GC927"/>
      <c r="GD927"/>
      <c r="GE927"/>
      <c r="GF927"/>
      <c r="GG927"/>
      <c r="GH927"/>
      <c r="GI927"/>
      <c r="GJ927"/>
      <c r="GK927"/>
      <c r="GL927"/>
      <c r="GM927"/>
      <c r="GN927"/>
      <c r="GO927"/>
      <c r="GP927"/>
      <c r="GQ927"/>
      <c r="GR927"/>
      <c r="GS927"/>
      <c r="GT927"/>
      <c r="GU927"/>
      <c r="GV927"/>
      <c r="GW927"/>
      <c r="GX927"/>
      <c r="GY927"/>
      <c r="GZ927"/>
      <c r="HA927"/>
      <c r="HB927"/>
      <c r="HC927"/>
      <c r="HD927"/>
      <c r="HE927"/>
      <c r="HF927"/>
      <c r="HG927"/>
      <c r="HH927"/>
      <c r="HI927"/>
      <c r="HJ927"/>
      <c r="HK927"/>
      <c r="HL927"/>
      <c r="HM927"/>
      <c r="HN927"/>
      <c r="HO927"/>
      <c r="HP927"/>
      <c r="HQ927"/>
      <c r="HR927"/>
      <c r="HS927"/>
      <c r="HT927"/>
      <c r="HU927"/>
      <c r="HV927"/>
      <c r="HW927"/>
      <c r="HX927"/>
      <c r="HY927"/>
      <c r="HZ927"/>
      <c r="IA927"/>
      <c r="IB927"/>
      <c r="IC927"/>
      <c r="ID927"/>
      <c r="IE927"/>
      <c r="IF927"/>
      <c r="IG927"/>
      <c r="IH927"/>
      <c r="II927"/>
      <c r="IJ927"/>
      <c r="IK927"/>
      <c r="IL927"/>
      <c r="IM927"/>
      <c r="IN927"/>
      <c r="IO927"/>
      <c r="IP927"/>
      <c r="IQ927"/>
    </row>
    <row r="928" spans="1:251" ht="27" customHeight="1" x14ac:dyDescent="0.2">
      <c r="A928" s="742"/>
      <c r="B928" s="1085" t="s">
        <v>897</v>
      </c>
      <c r="C928" s="874">
        <v>2000000</v>
      </c>
      <c r="D928" s="874">
        <v>2000000</v>
      </c>
      <c r="E928" s="707"/>
      <c r="F928" s="707"/>
      <c r="G928" s="1243"/>
      <c r="H928" s="1248"/>
      <c r="I928" s="125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c r="DU928"/>
      <c r="DV928"/>
      <c r="DW928"/>
      <c r="DX928"/>
      <c r="DY928"/>
      <c r="DZ928"/>
      <c r="EA928"/>
      <c r="EB928"/>
      <c r="EC928"/>
      <c r="ED928"/>
      <c r="EE928"/>
      <c r="EF928"/>
      <c r="EG928"/>
      <c r="EH928"/>
      <c r="EI928"/>
      <c r="EJ928"/>
      <c r="EK928"/>
      <c r="EL928"/>
      <c r="EM928"/>
      <c r="EN928"/>
      <c r="EO928"/>
      <c r="EP928"/>
      <c r="EQ928"/>
      <c r="ER928"/>
      <c r="ES928"/>
      <c r="ET928"/>
      <c r="EU928"/>
      <c r="EV928"/>
      <c r="EW928"/>
      <c r="EX928"/>
      <c r="EY928"/>
      <c r="EZ928"/>
      <c r="FA928"/>
      <c r="FB928"/>
      <c r="FC928"/>
      <c r="FD928"/>
      <c r="FE928"/>
      <c r="FF928"/>
      <c r="FG928"/>
      <c r="FH928"/>
      <c r="FI928"/>
      <c r="FJ928"/>
      <c r="FK928"/>
      <c r="FL928"/>
      <c r="FM928"/>
      <c r="FN928"/>
      <c r="FO928"/>
      <c r="FP928"/>
      <c r="FQ928"/>
      <c r="FR928"/>
      <c r="FS928"/>
      <c r="FT928"/>
      <c r="FU928"/>
      <c r="FV928"/>
      <c r="FW928"/>
      <c r="FX928"/>
      <c r="FY928"/>
      <c r="FZ928"/>
      <c r="GA928"/>
      <c r="GB928"/>
      <c r="GC928"/>
      <c r="GD928"/>
      <c r="GE928"/>
      <c r="GF928"/>
      <c r="GG928"/>
      <c r="GH928"/>
      <c r="GI928"/>
      <c r="GJ928"/>
      <c r="GK928"/>
      <c r="GL928"/>
      <c r="GM928"/>
      <c r="GN928"/>
      <c r="GO928"/>
      <c r="GP928"/>
      <c r="GQ928"/>
      <c r="GR928"/>
      <c r="GS928"/>
      <c r="GT928"/>
      <c r="GU928"/>
      <c r="GV928"/>
      <c r="GW928"/>
      <c r="GX928"/>
      <c r="GY928"/>
      <c r="GZ928"/>
      <c r="HA928"/>
      <c r="HB928"/>
      <c r="HC928"/>
      <c r="HD928"/>
      <c r="HE928"/>
      <c r="HF928"/>
      <c r="HG928"/>
      <c r="HH928"/>
      <c r="HI928"/>
      <c r="HJ928"/>
      <c r="HK928"/>
      <c r="HL928"/>
      <c r="HM928"/>
      <c r="HN928"/>
      <c r="HO928"/>
      <c r="HP928"/>
      <c r="HQ928"/>
      <c r="HR928"/>
      <c r="HS928"/>
      <c r="HT928"/>
      <c r="HU928"/>
      <c r="HV928"/>
      <c r="HW928"/>
      <c r="HX928"/>
      <c r="HY928"/>
      <c r="HZ928"/>
      <c r="IA928"/>
      <c r="IB928"/>
      <c r="IC928"/>
      <c r="ID928"/>
      <c r="IE928"/>
      <c r="IF928"/>
      <c r="IG928"/>
      <c r="IH928"/>
      <c r="II928"/>
      <c r="IJ928"/>
      <c r="IK928"/>
      <c r="IL928"/>
      <c r="IM928"/>
      <c r="IN928"/>
      <c r="IO928"/>
      <c r="IP928"/>
      <c r="IQ928"/>
    </row>
    <row r="929" spans="1:252" ht="27" customHeight="1" x14ac:dyDescent="0.2">
      <c r="A929" s="739"/>
      <c r="B929" s="1104" t="s">
        <v>898</v>
      </c>
      <c r="C929" s="983">
        <v>2000000</v>
      </c>
      <c r="D929" s="983">
        <v>2000000</v>
      </c>
      <c r="E929" s="707"/>
      <c r="F929" s="707"/>
      <c r="G929" s="1243"/>
      <c r="H929" s="1248"/>
      <c r="I929" s="1258"/>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c r="EF929"/>
      <c r="EG929"/>
      <c r="EH929"/>
      <c r="EI929"/>
      <c r="EJ929"/>
      <c r="EK929"/>
      <c r="EL929"/>
      <c r="EM929"/>
      <c r="EN929"/>
      <c r="EO929"/>
      <c r="EP929"/>
      <c r="EQ929"/>
      <c r="ER929"/>
      <c r="ES929"/>
      <c r="ET929"/>
      <c r="EU929"/>
      <c r="EV929"/>
      <c r="EW929"/>
      <c r="EX929"/>
      <c r="EY929"/>
      <c r="EZ929"/>
      <c r="FA929"/>
      <c r="FB929"/>
      <c r="FC929"/>
      <c r="FD929"/>
      <c r="FE929"/>
      <c r="FF929"/>
      <c r="FG929"/>
      <c r="FH929"/>
      <c r="FI929"/>
      <c r="FJ929"/>
      <c r="FK929"/>
      <c r="FL929"/>
      <c r="FM929"/>
      <c r="FN929"/>
      <c r="FO929"/>
      <c r="FP929"/>
      <c r="FQ929"/>
      <c r="FR929"/>
      <c r="FS929"/>
      <c r="FT929"/>
      <c r="FU929"/>
      <c r="FV929"/>
      <c r="FW929"/>
      <c r="FX929"/>
      <c r="FY929"/>
      <c r="FZ929"/>
      <c r="GA929"/>
      <c r="GB929"/>
      <c r="GC929"/>
      <c r="GD929"/>
      <c r="GE929"/>
      <c r="GF929"/>
      <c r="GG929"/>
      <c r="GH929"/>
      <c r="GI929"/>
      <c r="GJ929"/>
      <c r="GK929"/>
      <c r="GL929"/>
      <c r="GM929"/>
      <c r="GN929"/>
      <c r="GO929"/>
      <c r="GP929"/>
      <c r="GQ929"/>
      <c r="GR929"/>
      <c r="GS929"/>
      <c r="GT929"/>
      <c r="GU929"/>
      <c r="GV929"/>
      <c r="GW929"/>
      <c r="GX929"/>
      <c r="GY929"/>
      <c r="GZ929"/>
      <c r="HA929"/>
      <c r="HB929"/>
      <c r="HC929"/>
      <c r="HD929"/>
      <c r="HE929"/>
      <c r="HF929"/>
      <c r="HG929"/>
      <c r="HH929"/>
      <c r="HI929"/>
      <c r="HJ929"/>
      <c r="HK929"/>
      <c r="HL929"/>
      <c r="HM929"/>
      <c r="HN929"/>
      <c r="HO929"/>
      <c r="HP929"/>
      <c r="HQ929"/>
      <c r="HR929"/>
      <c r="HS929"/>
      <c r="HT929"/>
      <c r="HU929"/>
      <c r="HV929"/>
      <c r="HW929"/>
      <c r="HX929"/>
      <c r="HY929"/>
      <c r="HZ929"/>
      <c r="IA929"/>
      <c r="IB929"/>
      <c r="IC929"/>
      <c r="ID929"/>
      <c r="IE929"/>
      <c r="IF929"/>
      <c r="IG929"/>
      <c r="IH929"/>
      <c r="II929"/>
      <c r="IJ929"/>
      <c r="IK929"/>
      <c r="IL929"/>
      <c r="IM929"/>
      <c r="IN929"/>
      <c r="IO929"/>
      <c r="IP929"/>
      <c r="IQ929"/>
    </row>
    <row r="930" spans="1:252" s="426" customFormat="1" ht="27" customHeight="1" x14ac:dyDescent="0.2">
      <c r="A930" s="739"/>
      <c r="B930" s="1104" t="s">
        <v>1446</v>
      </c>
      <c r="C930" s="983">
        <v>2850000</v>
      </c>
      <c r="D930" s="983">
        <v>2850000</v>
      </c>
      <c r="E930" s="707"/>
      <c r="F930" s="707"/>
      <c r="G930" s="1243"/>
      <c r="H930" s="1248"/>
      <c r="I930" s="1258"/>
      <c r="IR930" s="116"/>
    </row>
    <row r="931" spans="1:252" s="607" customFormat="1" ht="27" customHeight="1" x14ac:dyDescent="0.2">
      <c r="A931" s="739"/>
      <c r="B931" s="1105" t="s">
        <v>900</v>
      </c>
      <c r="C931" s="1083">
        <f t="shared" ref="C931:D931" si="109">SUM(C932:C942)</f>
        <v>4905000</v>
      </c>
      <c r="D931" s="1083">
        <f t="shared" si="109"/>
        <v>4905000</v>
      </c>
      <c r="E931" s="707"/>
      <c r="F931" s="707"/>
      <c r="G931" s="1243"/>
      <c r="H931" s="1248"/>
      <c r="I931" s="1258"/>
      <c r="IR931" s="698"/>
    </row>
    <row r="932" spans="1:252" ht="27" customHeight="1" x14ac:dyDescent="0.2">
      <c r="A932" s="739"/>
      <c r="B932" s="1104" t="s">
        <v>1447</v>
      </c>
      <c r="C932" s="983">
        <v>700000</v>
      </c>
      <c r="D932" s="983">
        <v>700000</v>
      </c>
      <c r="E932" s="707"/>
      <c r="F932" s="707"/>
      <c r="G932" s="1243"/>
      <c r="H932" s="1248"/>
      <c r="I932" s="1258"/>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c r="EF932"/>
      <c r="EG932"/>
      <c r="EH932"/>
      <c r="EI932"/>
      <c r="EJ932"/>
      <c r="EK932"/>
      <c r="EL932"/>
      <c r="EM932"/>
      <c r="EN932"/>
      <c r="EO932"/>
      <c r="EP932"/>
      <c r="EQ932"/>
      <c r="ER932"/>
      <c r="ES932"/>
      <c r="ET932"/>
      <c r="EU932"/>
      <c r="EV932"/>
      <c r="EW932"/>
      <c r="EX932"/>
      <c r="EY932"/>
      <c r="EZ932"/>
      <c r="FA932"/>
      <c r="FB932"/>
      <c r="FC932"/>
      <c r="FD932"/>
      <c r="FE932"/>
      <c r="FF932"/>
      <c r="FG932"/>
      <c r="FH932"/>
      <c r="FI932"/>
      <c r="FJ932"/>
      <c r="FK932"/>
      <c r="FL932"/>
      <c r="FM932"/>
      <c r="FN932"/>
      <c r="FO932"/>
      <c r="FP932"/>
      <c r="FQ932"/>
      <c r="FR932"/>
      <c r="FS932"/>
      <c r="FT932"/>
      <c r="FU932"/>
      <c r="FV932"/>
      <c r="FW932"/>
      <c r="FX932"/>
      <c r="FY932"/>
      <c r="FZ932"/>
      <c r="GA932"/>
      <c r="GB932"/>
      <c r="GC932"/>
      <c r="GD932"/>
      <c r="GE932"/>
      <c r="GF932"/>
      <c r="GG932"/>
      <c r="GH932"/>
      <c r="GI932"/>
      <c r="GJ932"/>
      <c r="GK932"/>
      <c r="GL932"/>
      <c r="GM932"/>
      <c r="GN932"/>
      <c r="GO932"/>
      <c r="GP932"/>
      <c r="GQ932"/>
      <c r="GR932"/>
      <c r="GS932"/>
      <c r="GT932"/>
      <c r="GU932"/>
      <c r="GV932"/>
      <c r="GW932"/>
      <c r="GX932"/>
      <c r="GY932"/>
      <c r="GZ932"/>
      <c r="HA932"/>
      <c r="HB932"/>
      <c r="HC932"/>
      <c r="HD932"/>
      <c r="HE932"/>
      <c r="HF932"/>
      <c r="HG932"/>
      <c r="HH932"/>
      <c r="HI932"/>
      <c r="HJ932"/>
      <c r="HK932"/>
      <c r="HL932"/>
      <c r="HM932"/>
      <c r="HN932"/>
      <c r="HO932"/>
      <c r="HP932"/>
      <c r="HQ932"/>
      <c r="HR932"/>
      <c r="HS932"/>
      <c r="HT932"/>
      <c r="HU932"/>
      <c r="HV932"/>
      <c r="HW932"/>
      <c r="HX932"/>
      <c r="HY932"/>
      <c r="HZ932"/>
      <c r="IA932"/>
      <c r="IB932"/>
      <c r="IC932"/>
      <c r="ID932"/>
      <c r="IE932"/>
      <c r="IF932"/>
      <c r="IG932"/>
      <c r="IH932"/>
      <c r="II932"/>
      <c r="IJ932"/>
      <c r="IK932"/>
      <c r="IL932"/>
      <c r="IM932"/>
      <c r="IN932"/>
      <c r="IO932"/>
      <c r="IP932"/>
      <c r="IQ932"/>
    </row>
    <row r="933" spans="1:252" ht="27" customHeight="1" x14ac:dyDescent="0.2">
      <c r="A933" s="739"/>
      <c r="B933" s="1057" t="s">
        <v>1448</v>
      </c>
      <c r="C933" s="983">
        <v>1000000</v>
      </c>
      <c r="D933" s="983">
        <v>1000000</v>
      </c>
      <c r="E933" s="707"/>
      <c r="F933" s="707"/>
      <c r="G933" s="1243"/>
      <c r="H933" s="1248"/>
      <c r="I933" s="1258"/>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c r="EF933"/>
      <c r="EG933"/>
      <c r="EH933"/>
      <c r="EI933"/>
      <c r="EJ933"/>
      <c r="EK933"/>
      <c r="EL933"/>
      <c r="EM933"/>
      <c r="EN933"/>
      <c r="EO933"/>
      <c r="EP933"/>
      <c r="EQ933"/>
      <c r="ER933"/>
      <c r="ES933"/>
      <c r="ET933"/>
      <c r="EU933"/>
      <c r="EV933"/>
      <c r="EW933"/>
      <c r="EX933"/>
      <c r="EY933"/>
      <c r="EZ933"/>
      <c r="FA933"/>
      <c r="FB933"/>
      <c r="FC933"/>
      <c r="FD933"/>
      <c r="FE933"/>
      <c r="FF933"/>
      <c r="FG933"/>
      <c r="FH933"/>
      <c r="FI933"/>
      <c r="FJ933"/>
      <c r="FK933"/>
      <c r="FL933"/>
      <c r="FM933"/>
      <c r="FN933"/>
      <c r="FO933"/>
      <c r="FP933"/>
      <c r="FQ933"/>
      <c r="FR933"/>
      <c r="FS933"/>
      <c r="FT933"/>
      <c r="FU933"/>
      <c r="FV933"/>
      <c r="FW933"/>
      <c r="FX933"/>
      <c r="FY933"/>
      <c r="FZ933"/>
      <c r="GA933"/>
      <c r="GB933"/>
      <c r="GC933"/>
      <c r="GD933"/>
      <c r="GE933"/>
      <c r="GF933"/>
      <c r="GG933"/>
      <c r="GH933"/>
      <c r="GI933"/>
      <c r="GJ933"/>
      <c r="GK933"/>
      <c r="GL933"/>
      <c r="GM933"/>
      <c r="GN933"/>
      <c r="GO933"/>
      <c r="GP933"/>
      <c r="GQ933"/>
      <c r="GR933"/>
      <c r="GS933"/>
      <c r="GT933"/>
      <c r="GU933"/>
      <c r="GV933"/>
      <c r="GW933"/>
      <c r="GX933"/>
      <c r="GY933"/>
      <c r="GZ933"/>
      <c r="HA933"/>
      <c r="HB933"/>
      <c r="HC933"/>
      <c r="HD933"/>
      <c r="HE933"/>
      <c r="HF933"/>
      <c r="HG933"/>
      <c r="HH933"/>
      <c r="HI933"/>
      <c r="HJ933"/>
      <c r="HK933"/>
      <c r="HL933"/>
      <c r="HM933"/>
      <c r="HN933"/>
      <c r="HO933"/>
      <c r="HP933"/>
      <c r="HQ933"/>
      <c r="HR933"/>
      <c r="HS933"/>
      <c r="HT933"/>
      <c r="HU933"/>
      <c r="HV933"/>
      <c r="HW933"/>
      <c r="HX933"/>
      <c r="HY933"/>
      <c r="HZ933"/>
      <c r="IA933"/>
      <c r="IB933"/>
      <c r="IC933"/>
      <c r="ID933"/>
      <c r="IE933"/>
      <c r="IF933"/>
      <c r="IG933"/>
      <c r="IH933"/>
      <c r="II933"/>
      <c r="IJ933"/>
      <c r="IK933"/>
      <c r="IL933"/>
      <c r="IM933"/>
      <c r="IN933"/>
      <c r="IO933"/>
      <c r="IP933"/>
      <c r="IQ933"/>
    </row>
    <row r="934" spans="1:252" ht="27" customHeight="1" x14ac:dyDescent="0.2">
      <c r="A934" s="739"/>
      <c r="B934" s="1057" t="s">
        <v>1130</v>
      </c>
      <c r="C934" s="983">
        <v>50000</v>
      </c>
      <c r="D934" s="983">
        <v>50000</v>
      </c>
      <c r="E934" s="707"/>
      <c r="F934" s="707"/>
      <c r="G934" s="1243"/>
      <c r="H934" s="1248"/>
      <c r="I934" s="1258"/>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c r="EF934"/>
      <c r="EG934"/>
      <c r="EH934"/>
      <c r="EI934"/>
      <c r="EJ934"/>
      <c r="EK934"/>
      <c r="EL934"/>
      <c r="EM934"/>
      <c r="EN934"/>
      <c r="EO934"/>
      <c r="EP934"/>
      <c r="EQ934"/>
      <c r="ER934"/>
      <c r="ES934"/>
      <c r="ET934"/>
      <c r="EU934"/>
      <c r="EV934"/>
      <c r="EW934"/>
      <c r="EX934"/>
      <c r="EY934"/>
      <c r="EZ934"/>
      <c r="FA934"/>
      <c r="FB934"/>
      <c r="FC934"/>
      <c r="FD934"/>
      <c r="FE934"/>
      <c r="FF934"/>
      <c r="FG934"/>
      <c r="FH934"/>
      <c r="FI934"/>
      <c r="FJ934"/>
      <c r="FK934"/>
      <c r="FL934"/>
      <c r="FM934"/>
      <c r="FN934"/>
      <c r="FO934"/>
      <c r="FP934"/>
      <c r="FQ934"/>
      <c r="FR934"/>
      <c r="FS934"/>
      <c r="FT934"/>
      <c r="FU934"/>
      <c r="FV934"/>
      <c r="FW934"/>
      <c r="FX934"/>
      <c r="FY934"/>
      <c r="FZ934"/>
      <c r="GA934"/>
      <c r="GB934"/>
      <c r="GC934"/>
      <c r="GD934"/>
      <c r="GE934"/>
      <c r="GF934"/>
      <c r="GG934"/>
      <c r="GH934"/>
      <c r="GI934"/>
      <c r="GJ934"/>
      <c r="GK934"/>
      <c r="GL934"/>
      <c r="GM934"/>
      <c r="GN934"/>
      <c r="GO934"/>
      <c r="GP934"/>
      <c r="GQ934"/>
      <c r="GR934"/>
      <c r="GS934"/>
      <c r="GT934"/>
      <c r="GU934"/>
      <c r="GV934"/>
      <c r="GW934"/>
      <c r="GX934"/>
      <c r="GY934"/>
      <c r="GZ934"/>
      <c r="HA934"/>
      <c r="HB934"/>
      <c r="HC934"/>
      <c r="HD934"/>
      <c r="HE934"/>
      <c r="HF934"/>
      <c r="HG934"/>
      <c r="HH934"/>
      <c r="HI934"/>
      <c r="HJ934"/>
      <c r="HK934"/>
      <c r="HL934"/>
      <c r="HM934"/>
      <c r="HN934"/>
      <c r="HO934"/>
      <c r="HP934"/>
      <c r="HQ934"/>
      <c r="HR934"/>
      <c r="HS934"/>
      <c r="HT934"/>
      <c r="HU934"/>
      <c r="HV934"/>
      <c r="HW934"/>
      <c r="HX934"/>
      <c r="HY934"/>
      <c r="HZ934"/>
      <c r="IA934"/>
      <c r="IB934"/>
      <c r="IC934"/>
      <c r="ID934"/>
      <c r="IE934"/>
      <c r="IF934"/>
      <c r="IG934"/>
      <c r="IH934"/>
      <c r="II934"/>
      <c r="IJ934"/>
      <c r="IK934"/>
      <c r="IL934"/>
      <c r="IM934"/>
      <c r="IN934"/>
      <c r="IO934"/>
      <c r="IP934"/>
      <c r="IQ934"/>
    </row>
    <row r="935" spans="1:252" s="129" customFormat="1" ht="27" customHeight="1" x14ac:dyDescent="0.2">
      <c r="A935" s="739"/>
      <c r="B935" s="979" t="s">
        <v>906</v>
      </c>
      <c r="C935" s="983">
        <v>100000</v>
      </c>
      <c r="D935" s="983">
        <v>100000</v>
      </c>
      <c r="E935" s="707"/>
      <c r="F935" s="707"/>
      <c r="G935" s="1243"/>
      <c r="H935" s="1248"/>
      <c r="I935" s="1258"/>
    </row>
    <row r="936" spans="1:252" ht="27" customHeight="1" x14ac:dyDescent="0.2">
      <c r="A936" s="739"/>
      <c r="B936" s="1104" t="s">
        <v>1449</v>
      </c>
      <c r="C936" s="983">
        <v>200000</v>
      </c>
      <c r="D936" s="983">
        <v>200000</v>
      </c>
      <c r="E936" s="707"/>
      <c r="F936" s="707"/>
      <c r="G936" s="1243"/>
      <c r="H936" s="1248"/>
      <c r="I936" s="1258"/>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c r="GS936"/>
      <c r="GT936"/>
      <c r="GU936"/>
      <c r="GV936"/>
      <c r="GW936"/>
      <c r="GX936"/>
      <c r="GY936"/>
      <c r="GZ936"/>
      <c r="HA936"/>
      <c r="HB936"/>
      <c r="HC936"/>
      <c r="HD936"/>
      <c r="HE936"/>
      <c r="HF936"/>
      <c r="HG936"/>
      <c r="HH936"/>
      <c r="HI936"/>
      <c r="HJ936"/>
      <c r="HK936"/>
      <c r="HL936"/>
      <c r="HM936"/>
      <c r="HN936"/>
      <c r="HO936"/>
      <c r="HP936"/>
      <c r="HQ936"/>
      <c r="HR936"/>
      <c r="HS936"/>
      <c r="HT936"/>
      <c r="HU936"/>
      <c r="HV936"/>
      <c r="HW936"/>
      <c r="HX936"/>
      <c r="HY936"/>
      <c r="HZ936"/>
      <c r="IA936"/>
      <c r="IB936"/>
      <c r="IC936"/>
      <c r="ID936"/>
      <c r="IE936"/>
      <c r="IF936"/>
      <c r="IG936"/>
      <c r="IH936"/>
      <c r="II936"/>
      <c r="IJ936"/>
      <c r="IK936"/>
      <c r="IL936"/>
      <c r="IM936"/>
      <c r="IN936"/>
      <c r="IO936"/>
      <c r="IP936"/>
      <c r="IQ936"/>
    </row>
    <row r="937" spans="1:252" ht="27" customHeight="1" x14ac:dyDescent="0.2">
      <c r="A937" s="739"/>
      <c r="B937" s="1107" t="s">
        <v>1450</v>
      </c>
      <c r="C937" s="983">
        <v>350000</v>
      </c>
      <c r="D937" s="983">
        <v>350000</v>
      </c>
      <c r="E937" s="707"/>
      <c r="F937" s="707"/>
      <c r="G937" s="1243"/>
      <c r="H937" s="1248"/>
      <c r="I937" s="1258"/>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c r="DT937"/>
      <c r="DU937"/>
      <c r="DV937"/>
      <c r="DW937"/>
      <c r="DX937"/>
      <c r="DY937"/>
      <c r="DZ937"/>
      <c r="EA937"/>
      <c r="EB937"/>
      <c r="EC937"/>
      <c r="ED937"/>
      <c r="EE937"/>
      <c r="EF937"/>
      <c r="EG937"/>
      <c r="EH937"/>
      <c r="EI937"/>
      <c r="EJ937"/>
      <c r="EK937"/>
      <c r="EL937"/>
      <c r="EM937"/>
      <c r="EN937"/>
      <c r="EO937"/>
      <c r="EP937"/>
      <c r="EQ937"/>
      <c r="ER937"/>
      <c r="ES937"/>
      <c r="ET937"/>
      <c r="EU937"/>
      <c r="EV937"/>
      <c r="EW937"/>
      <c r="EX937"/>
      <c r="EY937"/>
      <c r="EZ937"/>
      <c r="FA937"/>
      <c r="FB937"/>
      <c r="FC937"/>
      <c r="FD937"/>
      <c r="FE937"/>
      <c r="FF937"/>
      <c r="FG937"/>
      <c r="FH937"/>
      <c r="FI937"/>
      <c r="FJ937"/>
      <c r="FK937"/>
      <c r="FL937"/>
      <c r="FM937"/>
      <c r="FN937"/>
      <c r="FO937"/>
      <c r="FP937"/>
      <c r="FQ937"/>
      <c r="FR937"/>
      <c r="FS937"/>
      <c r="FT937"/>
      <c r="FU937"/>
      <c r="FV937"/>
      <c r="FW937"/>
      <c r="FX937"/>
      <c r="FY937"/>
      <c r="FZ937"/>
      <c r="GA937"/>
      <c r="GB937"/>
      <c r="GC937"/>
      <c r="GD937"/>
      <c r="GE937"/>
      <c r="GF937"/>
      <c r="GG937"/>
      <c r="GH937"/>
      <c r="GI937"/>
      <c r="GJ937"/>
      <c r="GK937"/>
      <c r="GL937"/>
      <c r="GM937"/>
      <c r="GN937"/>
      <c r="GO937"/>
      <c r="GP937"/>
      <c r="GQ937"/>
      <c r="GR937"/>
      <c r="GS937"/>
      <c r="GT937"/>
      <c r="GU937"/>
      <c r="GV937"/>
      <c r="GW937"/>
      <c r="GX937"/>
      <c r="GY937"/>
      <c r="GZ937"/>
      <c r="HA937"/>
      <c r="HB937"/>
      <c r="HC937"/>
      <c r="HD937"/>
      <c r="HE937"/>
      <c r="HF937"/>
      <c r="HG937"/>
      <c r="HH937"/>
      <c r="HI937"/>
      <c r="HJ937"/>
      <c r="HK937"/>
      <c r="HL937"/>
      <c r="HM937"/>
      <c r="HN937"/>
      <c r="HO937"/>
      <c r="HP937"/>
      <c r="HQ937"/>
      <c r="HR937"/>
      <c r="HS937"/>
      <c r="HT937"/>
      <c r="HU937"/>
      <c r="HV937"/>
      <c r="HW937"/>
      <c r="HX937"/>
      <c r="HY937"/>
      <c r="HZ937"/>
      <c r="IA937"/>
      <c r="IB937"/>
      <c r="IC937"/>
      <c r="ID937"/>
      <c r="IE937"/>
      <c r="IF937"/>
      <c r="IG937"/>
      <c r="IH937"/>
      <c r="II937"/>
      <c r="IJ937"/>
      <c r="IK937"/>
      <c r="IL937"/>
      <c r="IM937"/>
      <c r="IN937"/>
      <c r="IO937"/>
      <c r="IP937"/>
      <c r="IQ937"/>
    </row>
    <row r="938" spans="1:252" ht="27" customHeight="1" x14ac:dyDescent="0.2">
      <c r="A938" s="739"/>
      <c r="B938" s="1108" t="s">
        <v>1131</v>
      </c>
      <c r="C938" s="983">
        <v>0</v>
      </c>
      <c r="D938" s="983">
        <v>0</v>
      </c>
      <c r="E938" s="707"/>
      <c r="F938" s="707"/>
      <c r="G938" s="1243"/>
      <c r="H938" s="1248"/>
      <c r="I938" s="125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c r="DT938"/>
      <c r="DU938"/>
      <c r="DV938"/>
      <c r="DW938"/>
      <c r="DX938"/>
      <c r="DY938"/>
      <c r="DZ938"/>
      <c r="EA938"/>
      <c r="EB938"/>
      <c r="EC938"/>
      <c r="ED938"/>
      <c r="EE938"/>
      <c r="EF938"/>
      <c r="EG938"/>
      <c r="EH938"/>
      <c r="EI938"/>
      <c r="EJ938"/>
      <c r="EK938"/>
      <c r="EL938"/>
      <c r="EM938"/>
      <c r="EN938"/>
      <c r="EO938"/>
      <c r="EP938"/>
      <c r="EQ938"/>
      <c r="ER938"/>
      <c r="ES938"/>
      <c r="ET938"/>
      <c r="EU938"/>
      <c r="EV938"/>
      <c r="EW938"/>
      <c r="EX938"/>
      <c r="EY938"/>
      <c r="EZ938"/>
      <c r="FA938"/>
      <c r="FB938"/>
      <c r="FC938"/>
      <c r="FD938"/>
      <c r="FE938"/>
      <c r="FF938"/>
      <c r="FG938"/>
      <c r="FH938"/>
      <c r="FI938"/>
      <c r="FJ938"/>
      <c r="FK938"/>
      <c r="FL938"/>
      <c r="FM938"/>
      <c r="FN938"/>
      <c r="FO938"/>
      <c r="FP938"/>
      <c r="FQ938"/>
      <c r="FR938"/>
      <c r="FS938"/>
      <c r="FT938"/>
      <c r="FU938"/>
      <c r="FV938"/>
      <c r="FW938"/>
      <c r="FX938"/>
      <c r="FY938"/>
      <c r="FZ938"/>
      <c r="GA938"/>
      <c r="GB938"/>
      <c r="GC938"/>
      <c r="GD938"/>
      <c r="GE938"/>
      <c r="GF938"/>
      <c r="GG938"/>
      <c r="GH938"/>
      <c r="GI938"/>
      <c r="GJ938"/>
      <c r="GK938"/>
      <c r="GL938"/>
      <c r="GM938"/>
      <c r="GN938"/>
      <c r="GO938"/>
      <c r="GP938"/>
      <c r="GQ938"/>
      <c r="GR938"/>
      <c r="GS938"/>
      <c r="GT938"/>
      <c r="GU938"/>
      <c r="GV938"/>
      <c r="GW938"/>
      <c r="GX938"/>
      <c r="GY938"/>
      <c r="GZ938"/>
      <c r="HA938"/>
      <c r="HB938"/>
      <c r="HC938"/>
      <c r="HD938"/>
      <c r="HE938"/>
      <c r="HF938"/>
      <c r="HG938"/>
      <c r="HH938"/>
      <c r="HI938"/>
      <c r="HJ938"/>
      <c r="HK938"/>
      <c r="HL938"/>
      <c r="HM938"/>
      <c r="HN938"/>
      <c r="HO938"/>
      <c r="HP938"/>
      <c r="HQ938"/>
      <c r="HR938"/>
      <c r="HS938"/>
      <c r="HT938"/>
      <c r="HU938"/>
      <c r="HV938"/>
      <c r="HW938"/>
      <c r="HX938"/>
      <c r="HY938"/>
      <c r="HZ938"/>
      <c r="IA938"/>
      <c r="IB938"/>
      <c r="IC938"/>
      <c r="ID938"/>
      <c r="IE938"/>
      <c r="IF938"/>
      <c r="IG938"/>
      <c r="IH938"/>
      <c r="II938"/>
      <c r="IJ938"/>
      <c r="IK938"/>
      <c r="IL938"/>
      <c r="IM938"/>
      <c r="IN938"/>
      <c r="IO938"/>
      <c r="IP938"/>
      <c r="IQ938"/>
    </row>
    <row r="939" spans="1:252" ht="27" customHeight="1" x14ac:dyDescent="0.2">
      <c r="A939" s="739"/>
      <c r="B939" s="1057" t="s">
        <v>1451</v>
      </c>
      <c r="C939" s="983">
        <v>2200000</v>
      </c>
      <c r="D939" s="983">
        <v>2200000</v>
      </c>
      <c r="E939" s="740"/>
      <c r="F939" s="740"/>
      <c r="G939" s="1243"/>
      <c r="H939" s="1248"/>
      <c r="I939" s="1258"/>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c r="DT939"/>
      <c r="DU939"/>
      <c r="DV939"/>
      <c r="DW939"/>
      <c r="DX939"/>
      <c r="DY939"/>
      <c r="DZ939"/>
      <c r="EA939"/>
      <c r="EB939"/>
      <c r="EC939"/>
      <c r="ED939"/>
      <c r="EE939"/>
      <c r="EF939"/>
      <c r="EG939"/>
      <c r="EH939"/>
      <c r="EI939"/>
      <c r="EJ939"/>
      <c r="EK939"/>
      <c r="EL939"/>
      <c r="EM939"/>
      <c r="EN939"/>
      <c r="EO939"/>
      <c r="EP939"/>
      <c r="EQ939"/>
      <c r="ER939"/>
      <c r="ES939"/>
      <c r="ET939"/>
      <c r="EU939"/>
      <c r="EV939"/>
      <c r="EW939"/>
      <c r="EX939"/>
      <c r="EY939"/>
      <c r="EZ939"/>
      <c r="FA939"/>
      <c r="FB939"/>
      <c r="FC939"/>
      <c r="FD939"/>
      <c r="FE939"/>
      <c r="FF939"/>
      <c r="FG939"/>
      <c r="FH939"/>
      <c r="FI939"/>
      <c r="FJ939"/>
      <c r="FK939"/>
      <c r="FL939"/>
      <c r="FM939"/>
      <c r="FN939"/>
      <c r="FO939"/>
      <c r="FP939"/>
      <c r="FQ939"/>
      <c r="FR939"/>
      <c r="FS939"/>
      <c r="FT939"/>
      <c r="FU939"/>
      <c r="FV939"/>
      <c r="FW939"/>
      <c r="FX939"/>
      <c r="FY939"/>
      <c r="FZ939"/>
      <c r="GA939"/>
      <c r="GB939"/>
      <c r="GC939"/>
      <c r="GD939"/>
      <c r="GE939"/>
      <c r="GF939"/>
      <c r="GG939"/>
      <c r="GH939"/>
      <c r="GI939"/>
      <c r="GJ939"/>
      <c r="GK939"/>
      <c r="GL939"/>
      <c r="GM939"/>
      <c r="GN939"/>
      <c r="GO939"/>
      <c r="GP939"/>
      <c r="GQ939"/>
      <c r="GR939"/>
      <c r="GS939"/>
      <c r="GT939"/>
      <c r="GU939"/>
      <c r="GV939"/>
      <c r="GW939"/>
      <c r="GX939"/>
      <c r="GY939"/>
      <c r="GZ939"/>
      <c r="HA939"/>
      <c r="HB939"/>
      <c r="HC939"/>
      <c r="HD939"/>
      <c r="HE939"/>
      <c r="HF939"/>
      <c r="HG939"/>
      <c r="HH939"/>
      <c r="HI939"/>
      <c r="HJ939"/>
      <c r="HK939"/>
      <c r="HL939"/>
      <c r="HM939"/>
      <c r="HN939"/>
      <c r="HO939"/>
      <c r="HP939"/>
      <c r="HQ939"/>
      <c r="HR939"/>
      <c r="HS939"/>
      <c r="HT939"/>
      <c r="HU939"/>
      <c r="HV939"/>
      <c r="HW939"/>
      <c r="HX939"/>
      <c r="HY939"/>
      <c r="HZ939"/>
      <c r="IA939"/>
      <c r="IB939"/>
      <c r="IC939"/>
      <c r="ID939"/>
      <c r="IE939"/>
      <c r="IF939"/>
      <c r="IG939"/>
      <c r="IH939"/>
      <c r="II939"/>
      <c r="IJ939"/>
      <c r="IK939"/>
      <c r="IL939"/>
      <c r="IM939"/>
      <c r="IN939"/>
      <c r="IO939"/>
      <c r="IP939"/>
      <c r="IQ939"/>
    </row>
    <row r="940" spans="1:252" ht="27" customHeight="1" x14ac:dyDescent="0.2">
      <c r="A940" s="739"/>
      <c r="B940" s="1107" t="s">
        <v>1452</v>
      </c>
      <c r="C940" s="983">
        <v>20000</v>
      </c>
      <c r="D940" s="983">
        <v>20000</v>
      </c>
      <c r="E940" s="707"/>
      <c r="F940" s="707"/>
      <c r="G940" s="1243"/>
      <c r="H940" s="1248"/>
      <c r="I940" s="1258"/>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c r="GS940"/>
      <c r="GT940"/>
      <c r="GU940"/>
      <c r="GV940"/>
      <c r="GW940"/>
      <c r="GX940"/>
      <c r="GY940"/>
      <c r="GZ940"/>
      <c r="HA940"/>
      <c r="HB940"/>
      <c r="HC940"/>
      <c r="HD940"/>
      <c r="HE940"/>
      <c r="HF940"/>
      <c r="HG940"/>
      <c r="HH940"/>
      <c r="HI940"/>
      <c r="HJ940"/>
      <c r="HK940"/>
      <c r="HL940"/>
      <c r="HM940"/>
      <c r="HN940"/>
      <c r="HO940"/>
      <c r="HP940"/>
      <c r="HQ940"/>
      <c r="HR940"/>
      <c r="HS940"/>
      <c r="HT940"/>
      <c r="HU940"/>
      <c r="HV940"/>
      <c r="HW940"/>
      <c r="HX940"/>
      <c r="HY940"/>
      <c r="HZ940"/>
      <c r="IA940"/>
      <c r="IB940"/>
      <c r="IC940"/>
      <c r="ID940"/>
      <c r="IE940"/>
      <c r="IF940"/>
      <c r="IG940"/>
      <c r="IH940"/>
      <c r="II940"/>
      <c r="IJ940"/>
      <c r="IK940"/>
      <c r="IL940"/>
      <c r="IM940"/>
      <c r="IN940"/>
      <c r="IO940"/>
      <c r="IP940"/>
      <c r="IQ940"/>
    </row>
    <row r="941" spans="1:252" ht="27" customHeight="1" x14ac:dyDescent="0.2">
      <c r="A941" s="739"/>
      <c r="B941" s="979" t="s">
        <v>911</v>
      </c>
      <c r="C941" s="983">
        <v>15000</v>
      </c>
      <c r="D941" s="983">
        <v>15000</v>
      </c>
      <c r="E941" s="1174"/>
      <c r="F941" s="740"/>
      <c r="G941" s="1361"/>
      <c r="H941" s="1362"/>
      <c r="I941" s="1363"/>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c r="GS941"/>
      <c r="GT941"/>
      <c r="GU941"/>
      <c r="GV941"/>
      <c r="GW941"/>
      <c r="GX941"/>
      <c r="GY941"/>
      <c r="GZ941"/>
      <c r="HA941"/>
      <c r="HB941"/>
      <c r="HC941"/>
      <c r="HD941"/>
      <c r="HE941"/>
      <c r="HF941"/>
      <c r="HG941"/>
      <c r="HH941"/>
      <c r="HI941"/>
      <c r="HJ941"/>
      <c r="HK941"/>
      <c r="HL941"/>
      <c r="HM941"/>
      <c r="HN941"/>
      <c r="HO941"/>
      <c r="HP941"/>
      <c r="HQ941"/>
      <c r="HR941"/>
      <c r="HS941"/>
      <c r="HT941"/>
      <c r="HU941"/>
      <c r="HV941"/>
      <c r="HW941"/>
      <c r="HX941"/>
      <c r="HY941"/>
      <c r="HZ941"/>
      <c r="IA941"/>
      <c r="IB941"/>
      <c r="IC941"/>
      <c r="ID941"/>
      <c r="IE941"/>
      <c r="IF941"/>
      <c r="IG941"/>
      <c r="IH941"/>
      <c r="II941"/>
      <c r="IJ941"/>
      <c r="IK941"/>
      <c r="IL941"/>
      <c r="IM941"/>
      <c r="IN941"/>
      <c r="IO941"/>
      <c r="IP941"/>
      <c r="IQ941"/>
    </row>
    <row r="942" spans="1:252" ht="27" customHeight="1" x14ac:dyDescent="0.2">
      <c r="A942" s="739"/>
      <c r="B942" s="970" t="s">
        <v>1214</v>
      </c>
      <c r="C942" s="983">
        <v>270000</v>
      </c>
      <c r="D942" s="983">
        <v>270000</v>
      </c>
      <c r="E942" s="707"/>
      <c r="F942" s="707"/>
      <c r="G942" s="1243"/>
      <c r="H942" s="1248"/>
      <c r="I942" s="1258"/>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c r="GS942"/>
      <c r="GT942"/>
      <c r="GU942"/>
      <c r="GV942"/>
      <c r="GW942"/>
      <c r="GX942"/>
      <c r="GY942"/>
      <c r="GZ942"/>
      <c r="HA942"/>
      <c r="HB942"/>
      <c r="HC942"/>
      <c r="HD942"/>
      <c r="HE942"/>
      <c r="HF942"/>
      <c r="HG942"/>
      <c r="HH942"/>
      <c r="HI942"/>
      <c r="HJ942"/>
      <c r="HK942"/>
      <c r="HL942"/>
      <c r="HM942"/>
      <c r="HN942"/>
      <c r="HO942"/>
      <c r="HP942"/>
      <c r="HQ942"/>
      <c r="HR942"/>
      <c r="HS942"/>
      <c r="HT942"/>
      <c r="HU942"/>
      <c r="HV942"/>
      <c r="HW942"/>
      <c r="HX942"/>
      <c r="HY942"/>
      <c r="HZ942"/>
      <c r="IA942"/>
      <c r="IB942"/>
      <c r="IC942"/>
      <c r="ID942"/>
      <c r="IE942"/>
      <c r="IF942"/>
      <c r="IG942"/>
      <c r="IH942"/>
      <c r="II942"/>
      <c r="IJ942"/>
      <c r="IK942"/>
      <c r="IL942"/>
      <c r="IM942"/>
      <c r="IN942"/>
      <c r="IO942"/>
      <c r="IP942"/>
      <c r="IQ942"/>
    </row>
    <row r="943" spans="1:252" ht="27" customHeight="1" x14ac:dyDescent="0.2">
      <c r="A943" s="742"/>
      <c r="B943" s="1085" t="s">
        <v>913</v>
      </c>
      <c r="C943" s="1083">
        <f t="shared" ref="C943:D943" si="110">C946+C950+C959</f>
        <v>6100000</v>
      </c>
      <c r="D943" s="1083">
        <f t="shared" si="110"/>
        <v>5890000</v>
      </c>
      <c r="E943" s="707"/>
      <c r="F943" s="707"/>
      <c r="G943" s="1243"/>
      <c r="H943" s="1248"/>
      <c r="I943" s="1258"/>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c r="DT943"/>
      <c r="DU943"/>
      <c r="DV943"/>
      <c r="DW943"/>
      <c r="DX943"/>
      <c r="DY943"/>
      <c r="DZ943"/>
      <c r="EA943"/>
      <c r="EB943"/>
      <c r="EC943"/>
      <c r="ED943"/>
      <c r="EE943"/>
      <c r="EF943"/>
      <c r="EG943"/>
      <c r="EH943"/>
      <c r="EI943"/>
      <c r="EJ943"/>
      <c r="EK943"/>
      <c r="EL943"/>
      <c r="EM943"/>
      <c r="EN943"/>
      <c r="EO943"/>
      <c r="EP943"/>
      <c r="EQ943"/>
      <c r="ER943"/>
      <c r="ES943"/>
      <c r="ET943"/>
      <c r="EU943"/>
      <c r="EV943"/>
      <c r="EW943"/>
      <c r="EX943"/>
      <c r="EY943"/>
      <c r="EZ943"/>
      <c r="FA943"/>
      <c r="FB943"/>
      <c r="FC943"/>
      <c r="FD943"/>
      <c r="FE943"/>
      <c r="FF943"/>
      <c r="FG943"/>
      <c r="FH943"/>
      <c r="FI943"/>
      <c r="FJ943"/>
      <c r="FK943"/>
      <c r="FL943"/>
      <c r="FM943"/>
      <c r="FN943"/>
      <c r="FO943"/>
      <c r="FP943"/>
      <c r="FQ943"/>
      <c r="FR943"/>
      <c r="FS943"/>
      <c r="FT943"/>
      <c r="FU943"/>
      <c r="FV943"/>
      <c r="FW943"/>
      <c r="FX943"/>
      <c r="FY943"/>
      <c r="FZ943"/>
      <c r="GA943"/>
      <c r="GB943"/>
      <c r="GC943"/>
      <c r="GD943"/>
      <c r="GE943"/>
      <c r="GF943"/>
      <c r="GG943"/>
      <c r="GH943"/>
      <c r="GI943"/>
      <c r="GJ943"/>
      <c r="GK943"/>
      <c r="GL943"/>
      <c r="GM943"/>
      <c r="GN943"/>
      <c r="GO943"/>
      <c r="GP943"/>
      <c r="GQ943"/>
      <c r="GR943"/>
      <c r="GS943"/>
      <c r="GT943"/>
      <c r="GU943"/>
      <c r="GV943"/>
      <c r="GW943"/>
      <c r="GX943"/>
      <c r="GY943"/>
      <c r="GZ943"/>
      <c r="HA943"/>
      <c r="HB943"/>
      <c r="HC943"/>
      <c r="HD943"/>
      <c r="HE943"/>
      <c r="HF943"/>
      <c r="HG943"/>
      <c r="HH943"/>
      <c r="HI943"/>
      <c r="HJ943"/>
      <c r="HK943"/>
      <c r="HL943"/>
      <c r="HM943"/>
      <c r="HN943"/>
      <c r="HO943"/>
      <c r="HP943"/>
      <c r="HQ943"/>
      <c r="HR943"/>
      <c r="HS943"/>
      <c r="HT943"/>
      <c r="HU943"/>
      <c r="HV943"/>
      <c r="HW943"/>
      <c r="HX943"/>
      <c r="HY943"/>
      <c r="HZ943"/>
      <c r="IA943"/>
      <c r="IB943"/>
      <c r="IC943"/>
      <c r="ID943"/>
      <c r="IE943"/>
      <c r="IF943"/>
      <c r="IG943"/>
      <c r="IH943"/>
      <c r="II943"/>
      <c r="IJ943"/>
      <c r="IK943"/>
      <c r="IL943"/>
      <c r="IM943"/>
      <c r="IN943"/>
      <c r="IO943"/>
      <c r="IP943"/>
      <c r="IQ943"/>
    </row>
    <row r="944" spans="1:252" ht="27" customHeight="1" x14ac:dyDescent="0.2">
      <c r="A944" s="742"/>
      <c r="B944" s="970" t="s">
        <v>1865</v>
      </c>
      <c r="C944" s="983">
        <v>590000</v>
      </c>
      <c r="D944" s="983">
        <v>590000</v>
      </c>
      <c r="E944" s="707"/>
      <c r="F944" s="707"/>
      <c r="G944" s="1243"/>
      <c r="H944" s="1248"/>
      <c r="I944" s="1258"/>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c r="DT944"/>
      <c r="DU944"/>
      <c r="DV944"/>
      <c r="DW944"/>
      <c r="DX944"/>
      <c r="DY944"/>
      <c r="DZ944"/>
      <c r="EA944"/>
      <c r="EB944"/>
      <c r="EC944"/>
      <c r="ED944"/>
      <c r="EE944"/>
      <c r="EF944"/>
      <c r="EG944"/>
      <c r="EH944"/>
      <c r="EI944"/>
      <c r="EJ944"/>
      <c r="EK944"/>
      <c r="EL944"/>
      <c r="EM944"/>
      <c r="EN944"/>
      <c r="EO944"/>
      <c r="EP944"/>
      <c r="EQ944"/>
      <c r="ER944"/>
      <c r="ES944"/>
      <c r="ET944"/>
      <c r="EU944"/>
      <c r="EV944"/>
      <c r="EW944"/>
      <c r="EX944"/>
      <c r="EY944"/>
      <c r="EZ944"/>
      <c r="FA944"/>
      <c r="FB944"/>
      <c r="FC944"/>
      <c r="FD944"/>
      <c r="FE944"/>
      <c r="FF944"/>
      <c r="FG944"/>
      <c r="FH944"/>
      <c r="FI944"/>
      <c r="FJ944"/>
      <c r="FK944"/>
      <c r="FL944"/>
      <c r="FM944"/>
      <c r="FN944"/>
      <c r="FO944"/>
      <c r="FP944"/>
      <c r="FQ944"/>
      <c r="FR944"/>
      <c r="FS944"/>
      <c r="FT944"/>
      <c r="FU944"/>
      <c r="FV944"/>
      <c r="FW944"/>
      <c r="FX944"/>
      <c r="FY944"/>
      <c r="FZ944"/>
      <c r="GA944"/>
      <c r="GB944"/>
      <c r="GC944"/>
      <c r="GD944"/>
      <c r="GE944"/>
      <c r="GF944"/>
      <c r="GG944"/>
      <c r="GH944"/>
      <c r="GI944"/>
      <c r="GJ944"/>
      <c r="GK944"/>
      <c r="GL944"/>
      <c r="GM944"/>
      <c r="GN944"/>
      <c r="GO944"/>
      <c r="GP944"/>
      <c r="GQ944"/>
      <c r="GR944"/>
      <c r="GS944"/>
      <c r="GT944"/>
      <c r="GU944"/>
      <c r="GV944"/>
      <c r="GW944"/>
      <c r="GX944"/>
      <c r="GY944"/>
      <c r="GZ944"/>
      <c r="HA944"/>
      <c r="HB944"/>
      <c r="HC944"/>
      <c r="HD944"/>
      <c r="HE944"/>
      <c r="HF944"/>
      <c r="HG944"/>
      <c r="HH944"/>
      <c r="HI944"/>
      <c r="HJ944"/>
      <c r="HK944"/>
      <c r="HL944"/>
      <c r="HM944"/>
      <c r="HN944"/>
      <c r="HO944"/>
      <c r="HP944"/>
      <c r="HQ944"/>
      <c r="HR944"/>
      <c r="HS944"/>
      <c r="HT944"/>
      <c r="HU944"/>
      <c r="HV944"/>
      <c r="HW944"/>
      <c r="HX944"/>
      <c r="HY944"/>
      <c r="HZ944"/>
      <c r="IA944"/>
      <c r="IB944"/>
      <c r="IC944"/>
      <c r="ID944"/>
      <c r="IE944"/>
      <c r="IF944"/>
      <c r="IG944"/>
      <c r="IH944"/>
      <c r="II944"/>
      <c r="IJ944"/>
      <c r="IK944"/>
      <c r="IL944"/>
      <c r="IM944"/>
      <c r="IN944"/>
      <c r="IO944"/>
      <c r="IP944"/>
      <c r="IQ944"/>
    </row>
    <row r="945" spans="1:251" ht="27" customHeight="1" x14ac:dyDescent="0.2">
      <c r="A945" s="742"/>
      <c r="B945" s="970" t="s">
        <v>1453</v>
      </c>
      <c r="C945" s="983">
        <v>0</v>
      </c>
      <c r="D945" s="983">
        <v>0</v>
      </c>
      <c r="E945" s="1174"/>
      <c r="F945" s="740"/>
      <c r="G945" s="1361"/>
      <c r="H945" s="1362"/>
      <c r="I945" s="1363"/>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c r="DE945"/>
      <c r="DF945"/>
      <c r="DG945"/>
      <c r="DH945"/>
      <c r="DI945"/>
      <c r="DJ945"/>
      <c r="DK945"/>
      <c r="DL945"/>
      <c r="DM945"/>
      <c r="DN945"/>
      <c r="DO945"/>
      <c r="DP945"/>
      <c r="DQ945"/>
      <c r="DR945"/>
      <c r="DS945"/>
      <c r="DT945"/>
      <c r="DU945"/>
      <c r="DV945"/>
      <c r="DW945"/>
      <c r="DX945"/>
      <c r="DY945"/>
      <c r="DZ945"/>
      <c r="EA945"/>
      <c r="EB945"/>
      <c r="EC945"/>
      <c r="ED945"/>
      <c r="EE945"/>
      <c r="EF945"/>
      <c r="EG945"/>
      <c r="EH945"/>
      <c r="EI945"/>
      <c r="EJ945"/>
      <c r="EK945"/>
      <c r="EL945"/>
      <c r="EM945"/>
      <c r="EN945"/>
      <c r="EO945"/>
      <c r="EP945"/>
      <c r="EQ945"/>
      <c r="ER945"/>
      <c r="ES945"/>
      <c r="ET945"/>
      <c r="EU945"/>
      <c r="EV945"/>
      <c r="EW945"/>
      <c r="EX945"/>
      <c r="EY945"/>
      <c r="EZ945"/>
      <c r="FA945"/>
      <c r="FB945"/>
      <c r="FC945"/>
      <c r="FD945"/>
      <c r="FE945"/>
      <c r="FF945"/>
      <c r="FG945"/>
      <c r="FH945"/>
      <c r="FI945"/>
      <c r="FJ945"/>
      <c r="FK945"/>
      <c r="FL945"/>
      <c r="FM945"/>
      <c r="FN945"/>
      <c r="FO945"/>
      <c r="FP945"/>
      <c r="FQ945"/>
      <c r="FR945"/>
      <c r="FS945"/>
      <c r="FT945"/>
      <c r="FU945"/>
      <c r="FV945"/>
      <c r="FW945"/>
      <c r="FX945"/>
      <c r="FY945"/>
      <c r="FZ945"/>
      <c r="GA945"/>
      <c r="GB945"/>
      <c r="GC945"/>
      <c r="GD945"/>
      <c r="GE945"/>
      <c r="GF945"/>
      <c r="GG945"/>
      <c r="GH945"/>
      <c r="GI945"/>
      <c r="GJ945"/>
      <c r="GK945"/>
      <c r="GL945"/>
      <c r="GM945"/>
      <c r="GN945"/>
      <c r="GO945"/>
      <c r="GP945"/>
      <c r="GQ945"/>
      <c r="GR945"/>
      <c r="GS945"/>
      <c r="GT945"/>
      <c r="GU945"/>
      <c r="GV945"/>
      <c r="GW945"/>
      <c r="GX945"/>
      <c r="GY945"/>
      <c r="GZ945"/>
      <c r="HA945"/>
      <c r="HB945"/>
      <c r="HC945"/>
      <c r="HD945"/>
      <c r="HE945"/>
      <c r="HF945"/>
      <c r="HG945"/>
      <c r="HH945"/>
      <c r="HI945"/>
      <c r="HJ945"/>
      <c r="HK945"/>
      <c r="HL945"/>
      <c r="HM945"/>
      <c r="HN945"/>
      <c r="HO945"/>
      <c r="HP945"/>
      <c r="HQ945"/>
      <c r="HR945"/>
      <c r="HS945"/>
      <c r="HT945"/>
      <c r="HU945"/>
      <c r="HV945"/>
      <c r="HW945"/>
      <c r="HX945"/>
      <c r="HY945"/>
      <c r="HZ945"/>
      <c r="IA945"/>
      <c r="IB945"/>
      <c r="IC945"/>
      <c r="ID945"/>
      <c r="IE945"/>
      <c r="IF945"/>
      <c r="IG945"/>
      <c r="IH945"/>
      <c r="II945"/>
      <c r="IJ945"/>
      <c r="IK945"/>
      <c r="IL945"/>
      <c r="IM945"/>
      <c r="IN945"/>
      <c r="IO945"/>
      <c r="IP945"/>
      <c r="IQ945"/>
    </row>
    <row r="946" spans="1:251" ht="27" customHeight="1" x14ac:dyDescent="0.2">
      <c r="A946" s="742"/>
      <c r="B946" s="977" t="s">
        <v>1454</v>
      </c>
      <c r="C946" s="1093">
        <f t="shared" ref="C946:D946" si="111">C947+C948</f>
        <v>3000000</v>
      </c>
      <c r="D946" s="1093">
        <f t="shared" si="111"/>
        <v>2790000</v>
      </c>
      <c r="E946" s="707"/>
      <c r="F946" s="707"/>
      <c r="G946" s="1243"/>
      <c r="H946" s="1248"/>
      <c r="I946" s="1258"/>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c r="GS946"/>
      <c r="GT946"/>
      <c r="GU946"/>
      <c r="GV946"/>
      <c r="GW946"/>
      <c r="GX946"/>
      <c r="GY946"/>
      <c r="GZ946"/>
      <c r="HA946"/>
      <c r="HB946"/>
      <c r="HC946"/>
      <c r="HD946"/>
      <c r="HE946"/>
      <c r="HF946"/>
      <c r="HG946"/>
      <c r="HH946"/>
      <c r="HI946"/>
      <c r="HJ946"/>
      <c r="HK946"/>
      <c r="HL946"/>
      <c r="HM946"/>
      <c r="HN946"/>
      <c r="HO946"/>
      <c r="HP946"/>
      <c r="HQ946"/>
      <c r="HR946"/>
      <c r="HS946"/>
      <c r="HT946"/>
      <c r="HU946"/>
      <c r="HV946"/>
      <c r="HW946"/>
      <c r="HX946"/>
      <c r="HY946"/>
      <c r="HZ946"/>
      <c r="IA946"/>
      <c r="IB946"/>
      <c r="IC946"/>
      <c r="ID946"/>
      <c r="IE946"/>
      <c r="IF946"/>
      <c r="IG946"/>
      <c r="IH946"/>
      <c r="II946"/>
      <c r="IJ946"/>
      <c r="IK946"/>
      <c r="IL946"/>
      <c r="IM946"/>
      <c r="IN946"/>
      <c r="IO946"/>
      <c r="IP946"/>
      <c r="IQ946"/>
    </row>
    <row r="947" spans="1:251" ht="27" customHeight="1" x14ac:dyDescent="0.2">
      <c r="A947" s="742"/>
      <c r="B947" s="1107" t="s">
        <v>916</v>
      </c>
      <c r="C947" s="983">
        <v>3000000</v>
      </c>
      <c r="D947" s="983">
        <f>3000000-210000</f>
        <v>2790000</v>
      </c>
      <c r="E947" s="707"/>
      <c r="F947" s="707"/>
      <c r="G947" s="1243"/>
      <c r="H947" s="1248"/>
      <c r="I947" s="1258"/>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c r="GS947"/>
      <c r="GT947"/>
      <c r="GU947"/>
      <c r="GV947"/>
      <c r="GW947"/>
      <c r="GX947"/>
      <c r="GY947"/>
      <c r="GZ947"/>
      <c r="HA947"/>
      <c r="HB947"/>
      <c r="HC947"/>
      <c r="HD947"/>
      <c r="HE947"/>
      <c r="HF947"/>
      <c r="HG947"/>
      <c r="HH947"/>
      <c r="HI947"/>
      <c r="HJ947"/>
      <c r="HK947"/>
      <c r="HL947"/>
      <c r="HM947"/>
      <c r="HN947"/>
      <c r="HO947"/>
      <c r="HP947"/>
      <c r="HQ947"/>
      <c r="HR947"/>
      <c r="HS947"/>
      <c r="HT947"/>
      <c r="HU947"/>
      <c r="HV947"/>
      <c r="HW947"/>
      <c r="HX947"/>
      <c r="HY947"/>
      <c r="HZ947"/>
      <c r="IA947"/>
      <c r="IB947"/>
      <c r="IC947"/>
      <c r="ID947"/>
      <c r="IE947"/>
      <c r="IF947"/>
      <c r="IG947"/>
      <c r="IH947"/>
      <c r="II947"/>
      <c r="IJ947"/>
      <c r="IK947"/>
      <c r="IL947"/>
      <c r="IM947"/>
      <c r="IN947"/>
      <c r="IO947"/>
      <c r="IP947"/>
      <c r="IQ947"/>
    </row>
    <row r="948" spans="1:251" ht="27" customHeight="1" x14ac:dyDescent="0.2">
      <c r="A948" s="739"/>
      <c r="B948" s="979" t="s">
        <v>1082</v>
      </c>
      <c r="C948" s="983">
        <f t="shared" ref="C948:D948" si="112">C949</f>
        <v>0</v>
      </c>
      <c r="D948" s="983">
        <f t="shared" si="112"/>
        <v>0</v>
      </c>
      <c r="E948" s="707"/>
      <c r="F948" s="707"/>
      <c r="G948" s="1243"/>
      <c r="H948" s="1248"/>
      <c r="I948" s="125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c r="DL948"/>
      <c r="DM948"/>
      <c r="DN948"/>
      <c r="DO948"/>
      <c r="DP948"/>
      <c r="DQ948"/>
      <c r="DR948"/>
      <c r="DS948"/>
      <c r="DT948"/>
      <c r="DU948"/>
      <c r="DV948"/>
      <c r="DW948"/>
      <c r="DX948"/>
      <c r="DY948"/>
      <c r="DZ948"/>
      <c r="EA948"/>
      <c r="EB948"/>
      <c r="EC948"/>
      <c r="ED948"/>
      <c r="EE948"/>
      <c r="EF948"/>
      <c r="EG948"/>
      <c r="EH948"/>
      <c r="EI948"/>
      <c r="EJ948"/>
      <c r="EK948"/>
      <c r="EL948"/>
      <c r="EM948"/>
      <c r="EN948"/>
      <c r="EO948"/>
      <c r="EP948"/>
      <c r="EQ948"/>
      <c r="ER948"/>
      <c r="ES948"/>
      <c r="ET948"/>
      <c r="EU948"/>
      <c r="EV948"/>
      <c r="EW948"/>
      <c r="EX948"/>
      <c r="EY948"/>
      <c r="EZ948"/>
      <c r="FA948"/>
      <c r="FB948"/>
      <c r="FC948"/>
      <c r="FD948"/>
      <c r="FE948"/>
      <c r="FF948"/>
      <c r="FG948"/>
      <c r="FH948"/>
      <c r="FI948"/>
      <c r="FJ948"/>
      <c r="FK948"/>
      <c r="FL948"/>
      <c r="FM948"/>
      <c r="FN948"/>
      <c r="FO948"/>
      <c r="FP948"/>
      <c r="FQ948"/>
      <c r="FR948"/>
      <c r="FS948"/>
      <c r="FT948"/>
      <c r="FU948"/>
      <c r="FV948"/>
      <c r="FW948"/>
      <c r="FX948"/>
      <c r="FY948"/>
      <c r="FZ948"/>
      <c r="GA948"/>
      <c r="GB948"/>
      <c r="GC948"/>
      <c r="GD948"/>
      <c r="GE948"/>
      <c r="GF948"/>
      <c r="GG948"/>
      <c r="GH948"/>
      <c r="GI948"/>
      <c r="GJ948"/>
      <c r="GK948"/>
      <c r="GL948"/>
      <c r="GM948"/>
      <c r="GN948"/>
      <c r="GO948"/>
      <c r="GP948"/>
      <c r="GQ948"/>
      <c r="GR948"/>
      <c r="GS948"/>
      <c r="GT948"/>
      <c r="GU948"/>
      <c r="GV948"/>
      <c r="GW948"/>
      <c r="GX948"/>
      <c r="GY948"/>
      <c r="GZ948"/>
      <c r="HA948"/>
      <c r="HB948"/>
      <c r="HC948"/>
      <c r="HD948"/>
      <c r="HE948"/>
      <c r="HF948"/>
      <c r="HG948"/>
      <c r="HH948"/>
      <c r="HI948"/>
      <c r="HJ948"/>
      <c r="HK948"/>
      <c r="HL948"/>
      <c r="HM948"/>
      <c r="HN948"/>
      <c r="HO948"/>
      <c r="HP948"/>
      <c r="HQ948"/>
      <c r="HR948"/>
      <c r="HS948"/>
      <c r="HT948"/>
      <c r="HU948"/>
      <c r="HV948"/>
      <c r="HW948"/>
      <c r="HX948"/>
      <c r="HY948"/>
      <c r="HZ948"/>
      <c r="IA948"/>
      <c r="IB948"/>
      <c r="IC948"/>
      <c r="ID948"/>
      <c r="IE948"/>
      <c r="IF948"/>
      <c r="IG948"/>
      <c r="IH948"/>
      <c r="II948"/>
      <c r="IJ948"/>
      <c r="IK948"/>
      <c r="IL948"/>
      <c r="IM948"/>
      <c r="IN948"/>
      <c r="IO948"/>
      <c r="IP948"/>
      <c r="IQ948"/>
    </row>
    <row r="949" spans="1:251" ht="27" customHeight="1" x14ac:dyDescent="0.2">
      <c r="A949" s="739"/>
      <c r="B949" s="979" t="s">
        <v>1455</v>
      </c>
      <c r="C949" s="983">
        <v>0</v>
      </c>
      <c r="D949" s="983">
        <v>0</v>
      </c>
      <c r="E949" s="707"/>
      <c r="F949" s="707"/>
      <c r="G949" s="1243"/>
      <c r="H949" s="1248"/>
      <c r="I949" s="1258"/>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c r="DT949"/>
      <c r="DU949"/>
      <c r="DV949"/>
      <c r="DW949"/>
      <c r="DX949"/>
      <c r="DY949"/>
      <c r="DZ949"/>
      <c r="EA949"/>
      <c r="EB949"/>
      <c r="EC949"/>
      <c r="ED949"/>
      <c r="EE949"/>
      <c r="EF949"/>
      <c r="EG949"/>
      <c r="EH949"/>
      <c r="EI949"/>
      <c r="EJ949"/>
      <c r="EK949"/>
      <c r="EL949"/>
      <c r="EM949"/>
      <c r="EN949"/>
      <c r="EO949"/>
      <c r="EP949"/>
      <c r="EQ949"/>
      <c r="ER949"/>
      <c r="ES949"/>
      <c r="ET949"/>
      <c r="EU949"/>
      <c r="EV949"/>
      <c r="EW949"/>
      <c r="EX949"/>
      <c r="EY949"/>
      <c r="EZ949"/>
      <c r="FA949"/>
      <c r="FB949"/>
      <c r="FC949"/>
      <c r="FD949"/>
      <c r="FE949"/>
      <c r="FF949"/>
      <c r="FG949"/>
      <c r="FH949"/>
      <c r="FI949"/>
      <c r="FJ949"/>
      <c r="FK949"/>
      <c r="FL949"/>
      <c r="FM949"/>
      <c r="FN949"/>
      <c r="FO949"/>
      <c r="FP949"/>
      <c r="FQ949"/>
      <c r="FR949"/>
      <c r="FS949"/>
      <c r="FT949"/>
      <c r="FU949"/>
      <c r="FV949"/>
      <c r="FW949"/>
      <c r="FX949"/>
      <c r="FY949"/>
      <c r="FZ949"/>
      <c r="GA949"/>
      <c r="GB949"/>
      <c r="GC949"/>
      <c r="GD949"/>
      <c r="GE949"/>
      <c r="GF949"/>
      <c r="GG949"/>
      <c r="GH949"/>
      <c r="GI949"/>
      <c r="GJ949"/>
      <c r="GK949"/>
      <c r="GL949"/>
      <c r="GM949"/>
      <c r="GN949"/>
      <c r="GO949"/>
      <c r="GP949"/>
      <c r="GQ949"/>
      <c r="GR949"/>
      <c r="GS949"/>
      <c r="GT949"/>
      <c r="GU949"/>
      <c r="GV949"/>
      <c r="GW949"/>
      <c r="GX949"/>
      <c r="GY949"/>
      <c r="GZ949"/>
      <c r="HA949"/>
      <c r="HB949"/>
      <c r="HC949"/>
      <c r="HD949"/>
      <c r="HE949"/>
      <c r="HF949"/>
      <c r="HG949"/>
      <c r="HH949"/>
      <c r="HI949"/>
      <c r="HJ949"/>
      <c r="HK949"/>
      <c r="HL949"/>
      <c r="HM949"/>
      <c r="HN949"/>
      <c r="HO949"/>
      <c r="HP949"/>
      <c r="HQ949"/>
      <c r="HR949"/>
      <c r="HS949"/>
      <c r="HT949"/>
      <c r="HU949"/>
      <c r="HV949"/>
      <c r="HW949"/>
      <c r="HX949"/>
      <c r="HY949"/>
      <c r="HZ949"/>
      <c r="IA949"/>
      <c r="IB949"/>
      <c r="IC949"/>
      <c r="ID949"/>
      <c r="IE949"/>
      <c r="IF949"/>
      <c r="IG949"/>
      <c r="IH949"/>
      <c r="II949"/>
      <c r="IJ949"/>
      <c r="IK949"/>
      <c r="IL949"/>
      <c r="IM949"/>
      <c r="IN949"/>
      <c r="IO949"/>
      <c r="IP949"/>
      <c r="IQ949"/>
    </row>
    <row r="950" spans="1:251" ht="27" customHeight="1" x14ac:dyDescent="0.2">
      <c r="A950" s="742"/>
      <c r="B950" s="1175" t="s">
        <v>1132</v>
      </c>
      <c r="C950" s="1093">
        <f t="shared" ref="C950:D950" si="113">SUM(C951:C952)</f>
        <v>1350000</v>
      </c>
      <c r="D950" s="1093">
        <f t="shared" si="113"/>
        <v>1350000</v>
      </c>
      <c r="E950" s="707"/>
      <c r="F950" s="707"/>
      <c r="G950" s="1243"/>
      <c r="H950" s="1248"/>
      <c r="I950" s="1258"/>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c r="DT950"/>
      <c r="DU950"/>
      <c r="DV950"/>
      <c r="DW950"/>
      <c r="DX950"/>
      <c r="DY950"/>
      <c r="DZ950"/>
      <c r="EA950"/>
      <c r="EB950"/>
      <c r="EC950"/>
      <c r="ED950"/>
      <c r="EE950"/>
      <c r="EF950"/>
      <c r="EG950"/>
      <c r="EH950"/>
      <c r="EI950"/>
      <c r="EJ950"/>
      <c r="EK950"/>
      <c r="EL950"/>
      <c r="EM950"/>
      <c r="EN950"/>
      <c r="EO950"/>
      <c r="EP950"/>
      <c r="EQ950"/>
      <c r="ER950"/>
      <c r="ES950"/>
      <c r="ET950"/>
      <c r="EU950"/>
      <c r="EV950"/>
      <c r="EW950"/>
      <c r="EX950"/>
      <c r="EY950"/>
      <c r="EZ950"/>
      <c r="FA950"/>
      <c r="FB950"/>
      <c r="FC950"/>
      <c r="FD950"/>
      <c r="FE950"/>
      <c r="FF950"/>
      <c r="FG950"/>
      <c r="FH950"/>
      <c r="FI950"/>
      <c r="FJ950"/>
      <c r="FK950"/>
      <c r="FL950"/>
      <c r="FM950"/>
      <c r="FN950"/>
      <c r="FO950"/>
      <c r="FP950"/>
      <c r="FQ950"/>
      <c r="FR950"/>
      <c r="FS950"/>
      <c r="FT950"/>
      <c r="FU950"/>
      <c r="FV950"/>
      <c r="FW950"/>
      <c r="FX950"/>
      <c r="FY950"/>
      <c r="FZ950"/>
      <c r="GA950"/>
      <c r="GB950"/>
      <c r="GC950"/>
      <c r="GD950"/>
      <c r="GE950"/>
      <c r="GF950"/>
      <c r="GG950"/>
      <c r="GH950"/>
      <c r="GI950"/>
      <c r="GJ950"/>
      <c r="GK950"/>
      <c r="GL950"/>
      <c r="GM950"/>
      <c r="GN950"/>
      <c r="GO950"/>
      <c r="GP950"/>
      <c r="GQ950"/>
      <c r="GR950"/>
      <c r="GS950"/>
      <c r="GT950"/>
      <c r="GU950"/>
      <c r="GV950"/>
      <c r="GW950"/>
      <c r="GX950"/>
      <c r="GY950"/>
      <c r="GZ950"/>
      <c r="HA950"/>
      <c r="HB950"/>
      <c r="HC950"/>
      <c r="HD950"/>
      <c r="HE950"/>
      <c r="HF950"/>
      <c r="HG950"/>
      <c r="HH950"/>
      <c r="HI950"/>
      <c r="HJ950"/>
      <c r="HK950"/>
      <c r="HL950"/>
      <c r="HM950"/>
      <c r="HN950"/>
      <c r="HO950"/>
      <c r="HP950"/>
      <c r="HQ950"/>
      <c r="HR950"/>
      <c r="HS950"/>
      <c r="HT950"/>
      <c r="HU950"/>
      <c r="HV950"/>
      <c r="HW950"/>
      <c r="HX950"/>
      <c r="HY950"/>
      <c r="HZ950"/>
      <c r="IA950"/>
      <c r="IB950"/>
      <c r="IC950"/>
      <c r="ID950"/>
      <c r="IE950"/>
      <c r="IF950"/>
      <c r="IG950"/>
      <c r="IH950"/>
      <c r="II950"/>
      <c r="IJ950"/>
      <c r="IK950"/>
      <c r="IL950"/>
      <c r="IM950"/>
      <c r="IN950"/>
      <c r="IO950"/>
      <c r="IP950"/>
      <c r="IQ950"/>
    </row>
    <row r="951" spans="1:251" ht="27" customHeight="1" x14ac:dyDescent="0.2">
      <c r="A951" s="742"/>
      <c r="B951" s="1109" t="s">
        <v>927</v>
      </c>
      <c r="C951" s="983">
        <v>0</v>
      </c>
      <c r="D951" s="983">
        <v>0</v>
      </c>
      <c r="E951" s="707"/>
      <c r="F951" s="707"/>
      <c r="G951" s="1243"/>
      <c r="H951" s="1248"/>
      <c r="I951" s="1258"/>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c r="DT951"/>
      <c r="DU951"/>
      <c r="DV951"/>
      <c r="DW951"/>
      <c r="DX951"/>
      <c r="DY951"/>
      <c r="DZ951"/>
      <c r="EA951"/>
      <c r="EB951"/>
      <c r="EC951"/>
      <c r="ED951"/>
      <c r="EE951"/>
      <c r="EF951"/>
      <c r="EG951"/>
      <c r="EH951"/>
      <c r="EI951"/>
      <c r="EJ951"/>
      <c r="EK951"/>
      <c r="EL951"/>
      <c r="EM951"/>
      <c r="EN951"/>
      <c r="EO951"/>
      <c r="EP951"/>
      <c r="EQ951"/>
      <c r="ER951"/>
      <c r="ES951"/>
      <c r="ET951"/>
      <c r="EU951"/>
      <c r="EV951"/>
      <c r="EW951"/>
      <c r="EX951"/>
      <c r="EY951"/>
      <c r="EZ951"/>
      <c r="FA951"/>
      <c r="FB951"/>
      <c r="FC951"/>
      <c r="FD951"/>
      <c r="FE951"/>
      <c r="FF951"/>
      <c r="FG951"/>
      <c r="FH951"/>
      <c r="FI951"/>
      <c r="FJ951"/>
      <c r="FK951"/>
      <c r="FL951"/>
      <c r="FM951"/>
      <c r="FN951"/>
      <c r="FO951"/>
      <c r="FP951"/>
      <c r="FQ951"/>
      <c r="FR951"/>
      <c r="FS951"/>
      <c r="FT951"/>
      <c r="FU951"/>
      <c r="FV951"/>
      <c r="FW951"/>
      <c r="FX951"/>
      <c r="FY951"/>
      <c r="FZ951"/>
      <c r="GA951"/>
      <c r="GB951"/>
      <c r="GC951"/>
      <c r="GD951"/>
      <c r="GE951"/>
      <c r="GF951"/>
      <c r="GG951"/>
      <c r="GH951"/>
      <c r="GI951"/>
      <c r="GJ951"/>
      <c r="GK951"/>
      <c r="GL951"/>
      <c r="GM951"/>
      <c r="GN951"/>
      <c r="GO951"/>
      <c r="GP951"/>
      <c r="GQ951"/>
      <c r="GR951"/>
      <c r="GS951"/>
      <c r="GT951"/>
      <c r="GU951"/>
      <c r="GV951"/>
      <c r="GW951"/>
      <c r="GX951"/>
      <c r="GY951"/>
      <c r="GZ951"/>
      <c r="HA951"/>
      <c r="HB951"/>
      <c r="HC951"/>
      <c r="HD951"/>
      <c r="HE951"/>
      <c r="HF951"/>
      <c r="HG951"/>
      <c r="HH951"/>
      <c r="HI951"/>
      <c r="HJ951"/>
      <c r="HK951"/>
      <c r="HL951"/>
      <c r="HM951"/>
      <c r="HN951"/>
      <c r="HO951"/>
      <c r="HP951"/>
      <c r="HQ951"/>
      <c r="HR951"/>
      <c r="HS951"/>
      <c r="HT951"/>
      <c r="HU951"/>
      <c r="HV951"/>
      <c r="HW951"/>
      <c r="HX951"/>
      <c r="HY951"/>
      <c r="HZ951"/>
      <c r="IA951"/>
      <c r="IB951"/>
      <c r="IC951"/>
      <c r="ID951"/>
      <c r="IE951"/>
      <c r="IF951"/>
      <c r="IG951"/>
      <c r="IH951"/>
      <c r="II951"/>
      <c r="IJ951"/>
      <c r="IK951"/>
      <c r="IL951"/>
      <c r="IM951"/>
      <c r="IN951"/>
      <c r="IO951"/>
      <c r="IP951"/>
      <c r="IQ951"/>
    </row>
    <row r="952" spans="1:251" ht="27" customHeight="1" x14ac:dyDescent="0.2">
      <c r="A952" s="742"/>
      <c r="B952" s="1109" t="s">
        <v>1215</v>
      </c>
      <c r="C952" s="983">
        <f t="shared" ref="C952:D952" si="114">SUM(C953:C958)</f>
        <v>1350000</v>
      </c>
      <c r="D952" s="983">
        <f t="shared" si="114"/>
        <v>1350000</v>
      </c>
      <c r="E952" s="707"/>
      <c r="F952" s="707"/>
      <c r="G952" s="1243"/>
      <c r="H952" s="1248"/>
      <c r="I952" s="1258"/>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c r="DT952"/>
      <c r="DU952"/>
      <c r="DV952"/>
      <c r="DW952"/>
      <c r="DX952"/>
      <c r="DY952"/>
      <c r="DZ952"/>
      <c r="EA952"/>
      <c r="EB952"/>
      <c r="EC952"/>
      <c r="ED952"/>
      <c r="EE952"/>
      <c r="EF952"/>
      <c r="EG952"/>
      <c r="EH952"/>
      <c r="EI952"/>
      <c r="EJ952"/>
      <c r="EK952"/>
      <c r="EL952"/>
      <c r="EM952"/>
      <c r="EN952"/>
      <c r="EO952"/>
      <c r="EP952"/>
      <c r="EQ952"/>
      <c r="ER952"/>
      <c r="ES952"/>
      <c r="ET952"/>
      <c r="EU952"/>
      <c r="EV952"/>
      <c r="EW952"/>
      <c r="EX952"/>
      <c r="EY952"/>
      <c r="EZ952"/>
      <c r="FA952"/>
      <c r="FB952"/>
      <c r="FC952"/>
      <c r="FD952"/>
      <c r="FE952"/>
      <c r="FF952"/>
      <c r="FG952"/>
      <c r="FH952"/>
      <c r="FI952"/>
      <c r="FJ952"/>
      <c r="FK952"/>
      <c r="FL952"/>
      <c r="FM952"/>
      <c r="FN952"/>
      <c r="FO952"/>
      <c r="FP952"/>
      <c r="FQ952"/>
      <c r="FR952"/>
      <c r="FS952"/>
      <c r="FT952"/>
      <c r="FU952"/>
      <c r="FV952"/>
      <c r="FW952"/>
      <c r="FX952"/>
      <c r="FY952"/>
      <c r="FZ952"/>
      <c r="GA952"/>
      <c r="GB952"/>
      <c r="GC952"/>
      <c r="GD952"/>
      <c r="GE952"/>
      <c r="GF952"/>
      <c r="GG952"/>
      <c r="GH952"/>
      <c r="GI952"/>
      <c r="GJ952"/>
      <c r="GK952"/>
      <c r="GL952"/>
      <c r="GM952"/>
      <c r="GN952"/>
      <c r="GO952"/>
      <c r="GP952"/>
      <c r="GQ952"/>
      <c r="GR952"/>
      <c r="GS952"/>
      <c r="GT952"/>
      <c r="GU952"/>
      <c r="GV952"/>
      <c r="GW952"/>
      <c r="GX952"/>
      <c r="GY952"/>
      <c r="GZ952"/>
      <c r="HA952"/>
      <c r="HB952"/>
      <c r="HC952"/>
      <c r="HD952"/>
      <c r="HE952"/>
      <c r="HF952"/>
      <c r="HG952"/>
      <c r="HH952"/>
      <c r="HI952"/>
      <c r="HJ952"/>
      <c r="HK952"/>
      <c r="HL952"/>
      <c r="HM952"/>
      <c r="HN952"/>
      <c r="HO952"/>
      <c r="HP952"/>
      <c r="HQ952"/>
      <c r="HR952"/>
      <c r="HS952"/>
      <c r="HT952"/>
      <c r="HU952"/>
      <c r="HV952"/>
      <c r="HW952"/>
      <c r="HX952"/>
      <c r="HY952"/>
      <c r="HZ952"/>
      <c r="IA952"/>
      <c r="IB952"/>
      <c r="IC952"/>
      <c r="ID952"/>
      <c r="IE952"/>
      <c r="IF952"/>
      <c r="IG952"/>
      <c r="IH952"/>
      <c r="II952"/>
      <c r="IJ952"/>
      <c r="IK952"/>
      <c r="IL952"/>
      <c r="IM952"/>
      <c r="IN952"/>
      <c r="IO952"/>
      <c r="IP952"/>
      <c r="IQ952"/>
    </row>
    <row r="953" spans="1:251" ht="27" customHeight="1" x14ac:dyDescent="0.2">
      <c r="A953" s="739"/>
      <c r="B953" s="979" t="s">
        <v>932</v>
      </c>
      <c r="C953" s="983">
        <v>100000</v>
      </c>
      <c r="D953" s="983">
        <v>100000</v>
      </c>
      <c r="E953" s="707"/>
      <c r="F953" s="707"/>
      <c r="G953" s="1243"/>
      <c r="H953" s="1248"/>
      <c r="I953" s="1258"/>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c r="DT953"/>
      <c r="DU953"/>
      <c r="DV953"/>
      <c r="DW953"/>
      <c r="DX953"/>
      <c r="DY953"/>
      <c r="DZ953"/>
      <c r="EA953"/>
      <c r="EB953"/>
      <c r="EC953"/>
      <c r="ED953"/>
      <c r="EE953"/>
      <c r="EF953"/>
      <c r="EG953"/>
      <c r="EH953"/>
      <c r="EI953"/>
      <c r="EJ953"/>
      <c r="EK953"/>
      <c r="EL953"/>
      <c r="EM953"/>
      <c r="EN953"/>
      <c r="EO953"/>
      <c r="EP953"/>
      <c r="EQ953"/>
      <c r="ER953"/>
      <c r="ES953"/>
      <c r="ET953"/>
      <c r="EU953"/>
      <c r="EV953"/>
      <c r="EW953"/>
      <c r="EX953"/>
      <c r="EY953"/>
      <c r="EZ953"/>
      <c r="FA953"/>
      <c r="FB953"/>
      <c r="FC953"/>
      <c r="FD953"/>
      <c r="FE953"/>
      <c r="FF953"/>
      <c r="FG953"/>
      <c r="FH953"/>
      <c r="FI953"/>
      <c r="FJ953"/>
      <c r="FK953"/>
      <c r="FL953"/>
      <c r="FM953"/>
      <c r="FN953"/>
      <c r="FO953"/>
      <c r="FP953"/>
      <c r="FQ953"/>
      <c r="FR953"/>
      <c r="FS953"/>
      <c r="FT953"/>
      <c r="FU953"/>
      <c r="FV953"/>
      <c r="FW953"/>
      <c r="FX953"/>
      <c r="FY953"/>
      <c r="FZ953"/>
      <c r="GA953"/>
      <c r="GB953"/>
      <c r="GC953"/>
      <c r="GD953"/>
      <c r="GE953"/>
      <c r="GF953"/>
      <c r="GG953"/>
      <c r="GH953"/>
      <c r="GI953"/>
      <c r="GJ953"/>
      <c r="GK953"/>
      <c r="GL953"/>
      <c r="GM953"/>
      <c r="GN953"/>
      <c r="GO953"/>
      <c r="GP953"/>
      <c r="GQ953"/>
      <c r="GR953"/>
      <c r="GS953"/>
      <c r="GT953"/>
      <c r="GU953"/>
      <c r="GV953"/>
      <c r="GW953"/>
      <c r="GX953"/>
      <c r="GY953"/>
      <c r="GZ953"/>
      <c r="HA953"/>
      <c r="HB953"/>
      <c r="HC953"/>
      <c r="HD953"/>
      <c r="HE953"/>
      <c r="HF953"/>
      <c r="HG953"/>
      <c r="HH953"/>
      <c r="HI953"/>
      <c r="HJ953"/>
      <c r="HK953"/>
      <c r="HL953"/>
      <c r="HM953"/>
      <c r="HN953"/>
      <c r="HO953"/>
      <c r="HP953"/>
      <c r="HQ953"/>
      <c r="HR953"/>
      <c r="HS953"/>
      <c r="HT953"/>
      <c r="HU953"/>
      <c r="HV953"/>
      <c r="HW953"/>
      <c r="HX953"/>
      <c r="HY953"/>
      <c r="HZ953"/>
      <c r="IA953"/>
      <c r="IB953"/>
      <c r="IC953"/>
      <c r="ID953"/>
      <c r="IE953"/>
      <c r="IF953"/>
      <c r="IG953"/>
      <c r="IH953"/>
      <c r="II953"/>
      <c r="IJ953"/>
      <c r="IK953"/>
      <c r="IL953"/>
      <c r="IM953"/>
      <c r="IN953"/>
      <c r="IO953"/>
      <c r="IP953"/>
      <c r="IQ953"/>
    </row>
    <row r="954" spans="1:251" ht="27" customHeight="1" x14ac:dyDescent="0.2">
      <c r="A954" s="739"/>
      <c r="B954" s="979" t="s">
        <v>1133</v>
      </c>
      <c r="C954" s="983">
        <v>0</v>
      </c>
      <c r="D954" s="983">
        <v>0</v>
      </c>
      <c r="E954" s="740"/>
      <c r="F954" s="740"/>
      <c r="G954" s="1364"/>
      <c r="H954" s="1365"/>
      <c r="I954" s="136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c r="DT954"/>
      <c r="DU954"/>
      <c r="DV954"/>
      <c r="DW954"/>
      <c r="DX954"/>
      <c r="DY954"/>
      <c r="DZ954"/>
      <c r="EA954"/>
      <c r="EB954"/>
      <c r="EC954"/>
      <c r="ED954"/>
      <c r="EE954"/>
      <c r="EF954"/>
      <c r="EG954"/>
      <c r="EH954"/>
      <c r="EI954"/>
      <c r="EJ954"/>
      <c r="EK954"/>
      <c r="EL954"/>
      <c r="EM954"/>
      <c r="EN954"/>
      <c r="EO954"/>
      <c r="EP954"/>
      <c r="EQ954"/>
      <c r="ER954"/>
      <c r="ES954"/>
      <c r="ET954"/>
      <c r="EU954"/>
      <c r="EV954"/>
      <c r="EW954"/>
      <c r="EX954"/>
      <c r="EY954"/>
      <c r="EZ954"/>
      <c r="FA954"/>
      <c r="FB954"/>
      <c r="FC954"/>
      <c r="FD954"/>
      <c r="FE954"/>
      <c r="FF954"/>
      <c r="FG954"/>
      <c r="FH954"/>
      <c r="FI954"/>
      <c r="FJ954"/>
      <c r="FK954"/>
      <c r="FL954"/>
      <c r="FM954"/>
      <c r="FN954"/>
      <c r="FO954"/>
      <c r="FP954"/>
      <c r="FQ954"/>
      <c r="FR954"/>
      <c r="FS954"/>
      <c r="FT954"/>
      <c r="FU954"/>
      <c r="FV954"/>
      <c r="FW954"/>
      <c r="FX954"/>
      <c r="FY954"/>
      <c r="FZ954"/>
      <c r="GA954"/>
      <c r="GB954"/>
      <c r="GC954"/>
      <c r="GD954"/>
      <c r="GE954"/>
      <c r="GF954"/>
      <c r="GG954"/>
      <c r="GH954"/>
      <c r="GI954"/>
      <c r="GJ954"/>
      <c r="GK954"/>
      <c r="GL954"/>
      <c r="GM954"/>
      <c r="GN954"/>
      <c r="GO954"/>
      <c r="GP954"/>
      <c r="GQ954"/>
      <c r="GR954"/>
      <c r="GS954"/>
      <c r="GT954"/>
      <c r="GU954"/>
      <c r="GV954"/>
      <c r="GW954"/>
      <c r="GX954"/>
      <c r="GY954"/>
      <c r="GZ954"/>
      <c r="HA954"/>
      <c r="HB954"/>
      <c r="HC954"/>
      <c r="HD954"/>
      <c r="HE954"/>
      <c r="HF954"/>
      <c r="HG954"/>
      <c r="HH954"/>
      <c r="HI954"/>
      <c r="HJ954"/>
      <c r="HK954"/>
      <c r="HL954"/>
      <c r="HM954"/>
      <c r="HN954"/>
      <c r="HO954"/>
      <c r="HP954"/>
      <c r="HQ954"/>
      <c r="HR954"/>
      <c r="HS954"/>
      <c r="HT954"/>
      <c r="HU954"/>
      <c r="HV954"/>
      <c r="HW954"/>
      <c r="HX954"/>
      <c r="HY954"/>
      <c r="HZ954"/>
      <c r="IA954"/>
      <c r="IB954"/>
      <c r="IC954"/>
      <c r="ID954"/>
      <c r="IE954"/>
      <c r="IF954"/>
      <c r="IG954"/>
      <c r="IH954"/>
      <c r="II954"/>
      <c r="IJ954"/>
      <c r="IK954"/>
      <c r="IL954"/>
      <c r="IM954"/>
      <c r="IN954"/>
      <c r="IO954"/>
      <c r="IP954"/>
      <c r="IQ954"/>
    </row>
    <row r="955" spans="1:251" ht="27" customHeight="1" x14ac:dyDescent="0.2">
      <c r="A955" s="742"/>
      <c r="B955" s="1101" t="s">
        <v>1663</v>
      </c>
      <c r="C955" s="983">
        <v>650000</v>
      </c>
      <c r="D955" s="983">
        <v>650000</v>
      </c>
      <c r="E955" s="1163"/>
      <c r="F955" s="1163"/>
      <c r="G955" s="1243"/>
      <c r="H955" s="1248"/>
      <c r="I955" s="1258"/>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c r="DT955"/>
      <c r="DU955"/>
      <c r="DV955"/>
      <c r="DW955"/>
      <c r="DX955"/>
      <c r="DY955"/>
      <c r="DZ955"/>
      <c r="EA955"/>
      <c r="EB955"/>
      <c r="EC955"/>
      <c r="ED955"/>
      <c r="EE955"/>
      <c r="EF955"/>
      <c r="EG955"/>
      <c r="EH955"/>
      <c r="EI955"/>
      <c r="EJ955"/>
      <c r="EK955"/>
      <c r="EL955"/>
      <c r="EM955"/>
      <c r="EN955"/>
      <c r="EO955"/>
      <c r="EP955"/>
      <c r="EQ955"/>
      <c r="ER955"/>
      <c r="ES955"/>
      <c r="ET955"/>
      <c r="EU955"/>
      <c r="EV955"/>
      <c r="EW955"/>
      <c r="EX955"/>
      <c r="EY955"/>
      <c r="EZ955"/>
      <c r="FA955"/>
      <c r="FB955"/>
      <c r="FC955"/>
      <c r="FD955"/>
      <c r="FE955"/>
      <c r="FF955"/>
      <c r="FG955"/>
      <c r="FH955"/>
      <c r="FI955"/>
      <c r="FJ955"/>
      <c r="FK955"/>
      <c r="FL955"/>
      <c r="FM955"/>
      <c r="FN955"/>
      <c r="FO955"/>
      <c r="FP955"/>
      <c r="FQ955"/>
      <c r="FR955"/>
      <c r="FS955"/>
      <c r="FT955"/>
      <c r="FU955"/>
      <c r="FV955"/>
      <c r="FW955"/>
      <c r="FX955"/>
      <c r="FY955"/>
      <c r="FZ955"/>
      <c r="GA955"/>
      <c r="GB955"/>
      <c r="GC955"/>
      <c r="GD955"/>
      <c r="GE955"/>
      <c r="GF955"/>
      <c r="GG955"/>
      <c r="GH955"/>
      <c r="GI955"/>
      <c r="GJ955"/>
      <c r="GK955"/>
      <c r="GL955"/>
      <c r="GM955"/>
      <c r="GN955"/>
      <c r="GO955"/>
      <c r="GP955"/>
      <c r="GQ955"/>
      <c r="GR955"/>
      <c r="GS955"/>
      <c r="GT955"/>
      <c r="GU955"/>
      <c r="GV955"/>
      <c r="GW955"/>
      <c r="GX955"/>
      <c r="GY955"/>
      <c r="GZ955"/>
      <c r="HA955"/>
      <c r="HB955"/>
      <c r="HC955"/>
      <c r="HD955"/>
      <c r="HE955"/>
      <c r="HF955"/>
      <c r="HG955"/>
      <c r="HH955"/>
      <c r="HI955"/>
      <c r="HJ955"/>
      <c r="HK955"/>
      <c r="HL955"/>
      <c r="HM955"/>
      <c r="HN955"/>
      <c r="HO955"/>
      <c r="HP955"/>
      <c r="HQ955"/>
      <c r="HR955"/>
      <c r="HS955"/>
      <c r="HT955"/>
      <c r="HU955"/>
      <c r="HV955"/>
      <c r="HW955"/>
      <c r="HX955"/>
      <c r="HY955"/>
      <c r="HZ955"/>
      <c r="IA955"/>
      <c r="IB955"/>
      <c r="IC955"/>
      <c r="ID955"/>
      <c r="IE955"/>
      <c r="IF955"/>
      <c r="IG955"/>
      <c r="IH955"/>
      <c r="II955"/>
      <c r="IJ955"/>
      <c r="IK955"/>
      <c r="IL955"/>
      <c r="IM955"/>
      <c r="IN955"/>
      <c r="IO955"/>
      <c r="IP955"/>
      <c r="IQ955"/>
    </row>
    <row r="956" spans="1:251" ht="27" customHeight="1" x14ac:dyDescent="0.2">
      <c r="A956" s="742"/>
      <c r="B956" s="1101" t="s">
        <v>1083</v>
      </c>
      <c r="C956" s="983">
        <v>500000</v>
      </c>
      <c r="D956" s="983">
        <v>500000</v>
      </c>
      <c r="E956" s="707"/>
      <c r="F956" s="707"/>
      <c r="G956" s="1243"/>
      <c r="H956" s="1248"/>
      <c r="I956" s="1258"/>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c r="DT956"/>
      <c r="DU956"/>
      <c r="DV956"/>
      <c r="DW956"/>
      <c r="DX956"/>
      <c r="DY956"/>
      <c r="DZ956"/>
      <c r="EA956"/>
      <c r="EB956"/>
      <c r="EC956"/>
      <c r="ED956"/>
      <c r="EE956"/>
      <c r="EF956"/>
      <c r="EG956"/>
      <c r="EH956"/>
      <c r="EI956"/>
      <c r="EJ956"/>
      <c r="EK956"/>
      <c r="EL956"/>
      <c r="EM956"/>
      <c r="EN956"/>
      <c r="EO956"/>
      <c r="EP956"/>
      <c r="EQ956"/>
      <c r="ER956"/>
      <c r="ES956"/>
      <c r="ET956"/>
      <c r="EU956"/>
      <c r="EV956"/>
      <c r="EW956"/>
      <c r="EX956"/>
      <c r="EY956"/>
      <c r="EZ956"/>
      <c r="FA956"/>
      <c r="FB956"/>
      <c r="FC956"/>
      <c r="FD956"/>
      <c r="FE956"/>
      <c r="FF956"/>
      <c r="FG956"/>
      <c r="FH956"/>
      <c r="FI956"/>
      <c r="FJ956"/>
      <c r="FK956"/>
      <c r="FL956"/>
      <c r="FM956"/>
      <c r="FN956"/>
      <c r="FO956"/>
      <c r="FP956"/>
      <c r="FQ956"/>
      <c r="FR956"/>
      <c r="FS956"/>
      <c r="FT956"/>
      <c r="FU956"/>
      <c r="FV956"/>
      <c r="FW956"/>
      <c r="FX956"/>
      <c r="FY956"/>
      <c r="FZ956"/>
      <c r="GA956"/>
      <c r="GB956"/>
      <c r="GC956"/>
      <c r="GD956"/>
      <c r="GE956"/>
      <c r="GF956"/>
      <c r="GG956"/>
      <c r="GH956"/>
      <c r="GI956"/>
      <c r="GJ956"/>
      <c r="GK956"/>
      <c r="GL956"/>
      <c r="GM956"/>
      <c r="GN956"/>
      <c r="GO956"/>
      <c r="GP956"/>
      <c r="GQ956"/>
      <c r="GR956"/>
      <c r="GS956"/>
      <c r="GT956"/>
      <c r="GU956"/>
      <c r="GV956"/>
      <c r="GW956"/>
      <c r="GX956"/>
      <c r="GY956"/>
      <c r="GZ956"/>
      <c r="HA956"/>
      <c r="HB956"/>
      <c r="HC956"/>
      <c r="HD956"/>
      <c r="HE956"/>
      <c r="HF956"/>
      <c r="HG956"/>
      <c r="HH956"/>
      <c r="HI956"/>
      <c r="HJ956"/>
      <c r="HK956"/>
      <c r="HL956"/>
      <c r="HM956"/>
      <c r="HN956"/>
      <c r="HO956"/>
      <c r="HP956"/>
      <c r="HQ956"/>
      <c r="HR956"/>
      <c r="HS956"/>
      <c r="HT956"/>
      <c r="HU956"/>
      <c r="HV956"/>
      <c r="HW956"/>
      <c r="HX956"/>
      <c r="HY956"/>
      <c r="HZ956"/>
      <c r="IA956"/>
      <c r="IB956"/>
      <c r="IC956"/>
      <c r="ID956"/>
      <c r="IE956"/>
      <c r="IF956"/>
      <c r="IG956"/>
      <c r="IH956"/>
      <c r="II956"/>
      <c r="IJ956"/>
      <c r="IK956"/>
      <c r="IL956"/>
      <c r="IM956"/>
      <c r="IN956"/>
      <c r="IO956"/>
      <c r="IP956"/>
      <c r="IQ956"/>
    </row>
    <row r="957" spans="1:251" ht="27" customHeight="1" x14ac:dyDescent="0.2">
      <c r="A957" s="742"/>
      <c r="B957" s="1101" t="s">
        <v>1664</v>
      </c>
      <c r="C957" s="983">
        <v>100000</v>
      </c>
      <c r="D957" s="983">
        <v>100000</v>
      </c>
      <c r="E957" s="1163"/>
      <c r="F957" s="1163"/>
      <c r="G957" s="1243"/>
      <c r="H957" s="1248"/>
      <c r="I957" s="1258"/>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c r="DT957"/>
      <c r="DU957"/>
      <c r="DV957"/>
      <c r="DW957"/>
      <c r="DX957"/>
      <c r="DY957"/>
      <c r="DZ957"/>
      <c r="EA957"/>
      <c r="EB957"/>
      <c r="EC957"/>
      <c r="ED957"/>
      <c r="EE957"/>
      <c r="EF957"/>
      <c r="EG957"/>
      <c r="EH957"/>
      <c r="EI957"/>
      <c r="EJ957"/>
      <c r="EK957"/>
      <c r="EL957"/>
      <c r="EM957"/>
      <c r="EN957"/>
      <c r="EO957"/>
      <c r="EP957"/>
      <c r="EQ957"/>
      <c r="ER957"/>
      <c r="ES957"/>
      <c r="ET957"/>
      <c r="EU957"/>
      <c r="EV957"/>
      <c r="EW957"/>
      <c r="EX957"/>
      <c r="EY957"/>
      <c r="EZ957"/>
      <c r="FA957"/>
      <c r="FB957"/>
      <c r="FC957"/>
      <c r="FD957"/>
      <c r="FE957"/>
      <c r="FF957"/>
      <c r="FG957"/>
      <c r="FH957"/>
      <c r="FI957"/>
      <c r="FJ957"/>
      <c r="FK957"/>
      <c r="FL957"/>
      <c r="FM957"/>
      <c r="FN957"/>
      <c r="FO957"/>
      <c r="FP957"/>
      <c r="FQ957"/>
      <c r="FR957"/>
      <c r="FS957"/>
      <c r="FT957"/>
      <c r="FU957"/>
      <c r="FV957"/>
      <c r="FW957"/>
      <c r="FX957"/>
      <c r="FY957"/>
      <c r="FZ957"/>
      <c r="GA957"/>
      <c r="GB957"/>
      <c r="GC957"/>
      <c r="GD957"/>
      <c r="GE957"/>
      <c r="GF957"/>
      <c r="GG957"/>
      <c r="GH957"/>
      <c r="GI957"/>
      <c r="GJ957"/>
      <c r="GK957"/>
      <c r="GL957"/>
      <c r="GM957"/>
      <c r="GN957"/>
      <c r="GO957"/>
      <c r="GP957"/>
      <c r="GQ957"/>
      <c r="GR957"/>
      <c r="GS957"/>
      <c r="GT957"/>
      <c r="GU957"/>
      <c r="GV957"/>
      <c r="GW957"/>
      <c r="GX957"/>
      <c r="GY957"/>
      <c r="GZ957"/>
      <c r="HA957"/>
      <c r="HB957"/>
      <c r="HC957"/>
      <c r="HD957"/>
      <c r="HE957"/>
      <c r="HF957"/>
      <c r="HG957"/>
      <c r="HH957"/>
      <c r="HI957"/>
      <c r="HJ957"/>
      <c r="HK957"/>
      <c r="HL957"/>
      <c r="HM957"/>
      <c r="HN957"/>
      <c r="HO957"/>
      <c r="HP957"/>
      <c r="HQ957"/>
      <c r="HR957"/>
      <c r="HS957"/>
      <c r="HT957"/>
      <c r="HU957"/>
      <c r="HV957"/>
      <c r="HW957"/>
      <c r="HX957"/>
      <c r="HY957"/>
      <c r="HZ957"/>
      <c r="IA957"/>
      <c r="IB957"/>
      <c r="IC957"/>
      <c r="ID957"/>
      <c r="IE957"/>
      <c r="IF957"/>
      <c r="IG957"/>
      <c r="IH957"/>
      <c r="II957"/>
      <c r="IJ957"/>
      <c r="IK957"/>
      <c r="IL957"/>
      <c r="IM957"/>
      <c r="IN957"/>
      <c r="IO957"/>
      <c r="IP957"/>
      <c r="IQ957"/>
    </row>
    <row r="958" spans="1:251" ht="27" customHeight="1" x14ac:dyDescent="0.2">
      <c r="A958" s="742"/>
      <c r="B958" s="970" t="s">
        <v>1084</v>
      </c>
      <c r="C958" s="983">
        <v>0</v>
      </c>
      <c r="D958" s="983">
        <v>0</v>
      </c>
      <c r="E958" s="782"/>
      <c r="F958" s="782"/>
      <c r="G958" s="1243"/>
      <c r="H958" s="1248"/>
      <c r="I958" s="12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c r="DL958"/>
      <c r="DM958"/>
      <c r="DN958"/>
      <c r="DO958"/>
      <c r="DP958"/>
      <c r="DQ958"/>
      <c r="DR958"/>
      <c r="DS958"/>
      <c r="DT958"/>
      <c r="DU958"/>
      <c r="DV958"/>
      <c r="DW958"/>
      <c r="DX958"/>
      <c r="DY958"/>
      <c r="DZ958"/>
      <c r="EA958"/>
      <c r="EB958"/>
      <c r="EC958"/>
      <c r="ED958"/>
      <c r="EE958"/>
      <c r="EF958"/>
      <c r="EG958"/>
      <c r="EH958"/>
      <c r="EI958"/>
      <c r="EJ958"/>
      <c r="EK958"/>
      <c r="EL958"/>
      <c r="EM958"/>
      <c r="EN958"/>
      <c r="EO958"/>
      <c r="EP958"/>
      <c r="EQ958"/>
      <c r="ER958"/>
      <c r="ES958"/>
      <c r="ET958"/>
      <c r="EU958"/>
      <c r="EV958"/>
      <c r="EW958"/>
      <c r="EX958"/>
      <c r="EY958"/>
      <c r="EZ958"/>
      <c r="FA958"/>
      <c r="FB958"/>
      <c r="FC958"/>
      <c r="FD958"/>
      <c r="FE958"/>
      <c r="FF958"/>
      <c r="FG958"/>
      <c r="FH958"/>
      <c r="FI958"/>
      <c r="FJ958"/>
      <c r="FK958"/>
      <c r="FL958"/>
      <c r="FM958"/>
      <c r="FN958"/>
      <c r="FO958"/>
      <c r="FP958"/>
      <c r="FQ958"/>
      <c r="FR958"/>
      <c r="FS958"/>
      <c r="FT958"/>
      <c r="FU958"/>
      <c r="FV958"/>
      <c r="FW958"/>
      <c r="FX958"/>
      <c r="FY958"/>
      <c r="FZ958"/>
      <c r="GA958"/>
      <c r="GB958"/>
      <c r="GC958"/>
      <c r="GD958"/>
      <c r="GE958"/>
      <c r="GF958"/>
      <c r="GG958"/>
      <c r="GH958"/>
      <c r="GI958"/>
      <c r="GJ958"/>
      <c r="GK958"/>
      <c r="GL958"/>
      <c r="GM958"/>
      <c r="GN958"/>
      <c r="GO958"/>
      <c r="GP958"/>
      <c r="GQ958"/>
      <c r="GR958"/>
      <c r="GS958"/>
      <c r="GT958"/>
      <c r="GU958"/>
      <c r="GV958"/>
      <c r="GW958"/>
      <c r="GX958"/>
      <c r="GY958"/>
      <c r="GZ958"/>
      <c r="HA958"/>
      <c r="HB958"/>
      <c r="HC958"/>
      <c r="HD958"/>
      <c r="HE958"/>
      <c r="HF958"/>
      <c r="HG958"/>
      <c r="HH958"/>
      <c r="HI958"/>
      <c r="HJ958"/>
      <c r="HK958"/>
      <c r="HL958"/>
      <c r="HM958"/>
      <c r="HN958"/>
      <c r="HO958"/>
      <c r="HP958"/>
      <c r="HQ958"/>
      <c r="HR958"/>
      <c r="HS958"/>
      <c r="HT958"/>
      <c r="HU958"/>
      <c r="HV958"/>
      <c r="HW958"/>
      <c r="HX958"/>
      <c r="HY958"/>
      <c r="HZ958"/>
      <c r="IA958"/>
      <c r="IB958"/>
      <c r="IC958"/>
      <c r="ID958"/>
      <c r="IE958"/>
      <c r="IF958"/>
      <c r="IG958"/>
      <c r="IH958"/>
      <c r="II958"/>
      <c r="IJ958"/>
      <c r="IK958"/>
      <c r="IL958"/>
      <c r="IM958"/>
      <c r="IN958"/>
      <c r="IO958"/>
      <c r="IP958"/>
      <c r="IQ958"/>
    </row>
    <row r="959" spans="1:251" ht="27" customHeight="1" x14ac:dyDescent="0.2">
      <c r="A959" s="742"/>
      <c r="B959" s="1110" t="s">
        <v>1134</v>
      </c>
      <c r="C959" s="1083">
        <f t="shared" ref="C959:D959" si="115">SUM(C961:C965)</f>
        <v>1750000</v>
      </c>
      <c r="D959" s="1083">
        <f t="shared" si="115"/>
        <v>1750000</v>
      </c>
      <c r="E959" s="1163"/>
      <c r="F959" s="1163"/>
      <c r="G959" s="1243"/>
      <c r="H959" s="1248"/>
      <c r="I959" s="1258"/>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c r="DL959"/>
      <c r="DM959"/>
      <c r="DN959"/>
      <c r="DO959"/>
      <c r="DP959"/>
      <c r="DQ959"/>
      <c r="DR959"/>
      <c r="DS959"/>
      <c r="DT959"/>
      <c r="DU959"/>
      <c r="DV959"/>
      <c r="DW959"/>
      <c r="DX959"/>
      <c r="DY959"/>
      <c r="DZ959"/>
      <c r="EA959"/>
      <c r="EB959"/>
      <c r="EC959"/>
      <c r="ED959"/>
      <c r="EE959"/>
      <c r="EF959"/>
      <c r="EG959"/>
      <c r="EH959"/>
      <c r="EI959"/>
      <c r="EJ959"/>
      <c r="EK959"/>
      <c r="EL959"/>
      <c r="EM959"/>
      <c r="EN959"/>
      <c r="EO959"/>
      <c r="EP959"/>
      <c r="EQ959"/>
      <c r="ER959"/>
      <c r="ES959"/>
      <c r="ET959"/>
      <c r="EU959"/>
      <c r="EV959"/>
      <c r="EW959"/>
      <c r="EX959"/>
      <c r="EY959"/>
      <c r="EZ959"/>
      <c r="FA959"/>
      <c r="FB959"/>
      <c r="FC959"/>
      <c r="FD959"/>
      <c r="FE959"/>
      <c r="FF959"/>
      <c r="FG959"/>
      <c r="FH959"/>
      <c r="FI959"/>
      <c r="FJ959"/>
      <c r="FK959"/>
      <c r="FL959"/>
      <c r="FM959"/>
      <c r="FN959"/>
      <c r="FO959"/>
      <c r="FP959"/>
      <c r="FQ959"/>
      <c r="FR959"/>
      <c r="FS959"/>
      <c r="FT959"/>
      <c r="FU959"/>
      <c r="FV959"/>
      <c r="FW959"/>
      <c r="FX959"/>
      <c r="FY959"/>
      <c r="FZ959"/>
      <c r="GA959"/>
      <c r="GB959"/>
      <c r="GC959"/>
      <c r="GD959"/>
      <c r="GE959"/>
      <c r="GF959"/>
      <c r="GG959"/>
      <c r="GH959"/>
      <c r="GI959"/>
      <c r="GJ959"/>
      <c r="GK959"/>
      <c r="GL959"/>
      <c r="GM959"/>
      <c r="GN959"/>
      <c r="GO959"/>
      <c r="GP959"/>
      <c r="GQ959"/>
      <c r="GR959"/>
      <c r="GS959"/>
      <c r="GT959"/>
      <c r="GU959"/>
      <c r="GV959"/>
      <c r="GW959"/>
      <c r="GX959"/>
      <c r="GY959"/>
      <c r="GZ959"/>
      <c r="HA959"/>
      <c r="HB959"/>
      <c r="HC959"/>
      <c r="HD959"/>
      <c r="HE959"/>
      <c r="HF959"/>
      <c r="HG959"/>
      <c r="HH959"/>
      <c r="HI959"/>
      <c r="HJ959"/>
      <c r="HK959"/>
      <c r="HL959"/>
      <c r="HM959"/>
      <c r="HN959"/>
      <c r="HO959"/>
      <c r="HP959"/>
      <c r="HQ959"/>
      <c r="HR959"/>
      <c r="HS959"/>
      <c r="HT959"/>
      <c r="HU959"/>
      <c r="HV959"/>
      <c r="HW959"/>
      <c r="HX959"/>
      <c r="HY959"/>
      <c r="HZ959"/>
      <c r="IA959"/>
      <c r="IB959"/>
      <c r="IC959"/>
      <c r="ID959"/>
      <c r="IE959"/>
      <c r="IF959"/>
      <c r="IG959"/>
      <c r="IH959"/>
      <c r="II959"/>
      <c r="IJ959"/>
      <c r="IK959"/>
      <c r="IL959"/>
      <c r="IM959"/>
      <c r="IN959"/>
      <c r="IO959"/>
      <c r="IP959"/>
      <c r="IQ959"/>
    </row>
    <row r="960" spans="1:251" ht="27" customHeight="1" x14ac:dyDescent="0.2">
      <c r="A960" s="742"/>
      <c r="B960" s="1101" t="s">
        <v>1456</v>
      </c>
      <c r="C960" s="874">
        <v>100000</v>
      </c>
      <c r="D960" s="874">
        <v>100000</v>
      </c>
      <c r="E960" s="1218"/>
      <c r="F960" s="1163"/>
      <c r="G960" s="825"/>
      <c r="H960" s="1244"/>
      <c r="I960" s="1257"/>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c r="DK960"/>
      <c r="DL960"/>
      <c r="DM960"/>
      <c r="DN960"/>
      <c r="DO960"/>
      <c r="DP960"/>
      <c r="DQ960"/>
      <c r="DR960"/>
      <c r="DS960"/>
      <c r="DT960"/>
      <c r="DU960"/>
      <c r="DV960"/>
      <c r="DW960"/>
      <c r="DX960"/>
      <c r="DY960"/>
      <c r="DZ960"/>
      <c r="EA960"/>
      <c r="EB960"/>
      <c r="EC960"/>
      <c r="ED960"/>
      <c r="EE960"/>
      <c r="EF960"/>
      <c r="EG960"/>
      <c r="EH960"/>
      <c r="EI960"/>
      <c r="EJ960"/>
      <c r="EK960"/>
      <c r="EL960"/>
      <c r="EM960"/>
      <c r="EN960"/>
      <c r="EO960"/>
      <c r="EP960"/>
      <c r="EQ960"/>
      <c r="ER960"/>
      <c r="ES960"/>
      <c r="ET960"/>
      <c r="EU960"/>
      <c r="EV960"/>
      <c r="EW960"/>
      <c r="EX960"/>
      <c r="EY960"/>
      <c r="EZ960"/>
      <c r="FA960"/>
      <c r="FB960"/>
      <c r="FC960"/>
      <c r="FD960"/>
      <c r="FE960"/>
      <c r="FF960"/>
      <c r="FG960"/>
      <c r="FH960"/>
      <c r="FI960"/>
      <c r="FJ960"/>
      <c r="FK960"/>
      <c r="FL960"/>
      <c r="FM960"/>
      <c r="FN960"/>
      <c r="FO960"/>
      <c r="FP960"/>
      <c r="FQ960"/>
      <c r="FR960"/>
      <c r="FS960"/>
      <c r="FT960"/>
      <c r="FU960"/>
      <c r="FV960"/>
      <c r="FW960"/>
      <c r="FX960"/>
      <c r="FY960"/>
      <c r="FZ960"/>
      <c r="GA960"/>
      <c r="GB960"/>
      <c r="GC960"/>
      <c r="GD960"/>
      <c r="GE960"/>
      <c r="GF960"/>
      <c r="GG960"/>
      <c r="GH960"/>
      <c r="GI960"/>
      <c r="GJ960"/>
      <c r="GK960"/>
      <c r="GL960"/>
      <c r="GM960"/>
      <c r="GN960"/>
      <c r="GO960"/>
      <c r="GP960"/>
      <c r="GQ960"/>
      <c r="GR960"/>
      <c r="GS960"/>
      <c r="GT960"/>
      <c r="GU960"/>
      <c r="GV960"/>
      <c r="GW960"/>
      <c r="GX960"/>
      <c r="GY960"/>
      <c r="GZ960"/>
      <c r="HA960"/>
      <c r="HB960"/>
      <c r="HC960"/>
      <c r="HD960"/>
      <c r="HE960"/>
      <c r="HF960"/>
      <c r="HG960"/>
      <c r="HH960"/>
      <c r="HI960"/>
      <c r="HJ960"/>
      <c r="HK960"/>
      <c r="HL960"/>
      <c r="HM960"/>
      <c r="HN960"/>
      <c r="HO960"/>
      <c r="HP960"/>
      <c r="HQ960"/>
      <c r="HR960"/>
      <c r="HS960"/>
      <c r="HT960"/>
      <c r="HU960"/>
      <c r="HV960"/>
      <c r="HW960"/>
      <c r="HX960"/>
      <c r="HY960"/>
      <c r="HZ960"/>
      <c r="IA960"/>
      <c r="IB960"/>
      <c r="IC960"/>
      <c r="ID960"/>
      <c r="IE960"/>
      <c r="IF960"/>
      <c r="IG960"/>
      <c r="IH960"/>
      <c r="II960"/>
      <c r="IJ960"/>
      <c r="IK960"/>
      <c r="IL960"/>
      <c r="IM960"/>
      <c r="IN960"/>
      <c r="IO960"/>
      <c r="IP960"/>
      <c r="IQ960"/>
    </row>
    <row r="961" spans="1:251" ht="27" customHeight="1" x14ac:dyDescent="0.2">
      <c r="A961" s="742"/>
      <c r="B961" s="1101" t="s">
        <v>1457</v>
      </c>
      <c r="C961" s="874">
        <v>200000</v>
      </c>
      <c r="D961" s="874">
        <v>200000</v>
      </c>
      <c r="E961" s="1163"/>
      <c r="F961" s="1163"/>
      <c r="G961" s="1243"/>
      <c r="H961" s="1248"/>
      <c r="I961" s="1258"/>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c r="DL961"/>
      <c r="DM961"/>
      <c r="DN961"/>
      <c r="DO961"/>
      <c r="DP961"/>
      <c r="DQ961"/>
      <c r="DR961"/>
      <c r="DS961"/>
      <c r="DT961"/>
      <c r="DU961"/>
      <c r="DV961"/>
      <c r="DW961"/>
      <c r="DX961"/>
      <c r="DY961"/>
      <c r="DZ961"/>
      <c r="EA961"/>
      <c r="EB961"/>
      <c r="EC961"/>
      <c r="ED961"/>
      <c r="EE961"/>
      <c r="EF961"/>
      <c r="EG961"/>
      <c r="EH961"/>
      <c r="EI961"/>
      <c r="EJ961"/>
      <c r="EK961"/>
      <c r="EL961"/>
      <c r="EM961"/>
      <c r="EN961"/>
      <c r="EO961"/>
      <c r="EP961"/>
      <c r="EQ961"/>
      <c r="ER961"/>
      <c r="ES961"/>
      <c r="ET961"/>
      <c r="EU961"/>
      <c r="EV961"/>
      <c r="EW961"/>
      <c r="EX961"/>
      <c r="EY961"/>
      <c r="EZ961"/>
      <c r="FA961"/>
      <c r="FB961"/>
      <c r="FC961"/>
      <c r="FD961"/>
      <c r="FE961"/>
      <c r="FF961"/>
      <c r="FG961"/>
      <c r="FH961"/>
      <c r="FI961"/>
      <c r="FJ961"/>
      <c r="FK961"/>
      <c r="FL961"/>
      <c r="FM961"/>
      <c r="FN961"/>
      <c r="FO961"/>
      <c r="FP961"/>
      <c r="FQ961"/>
      <c r="FR961"/>
      <c r="FS961"/>
      <c r="FT961"/>
      <c r="FU961"/>
      <c r="FV961"/>
      <c r="FW961"/>
      <c r="FX961"/>
      <c r="FY961"/>
      <c r="FZ961"/>
      <c r="GA961"/>
      <c r="GB961"/>
      <c r="GC961"/>
      <c r="GD961"/>
      <c r="GE961"/>
      <c r="GF961"/>
      <c r="GG961"/>
      <c r="GH961"/>
      <c r="GI961"/>
      <c r="GJ961"/>
      <c r="GK961"/>
      <c r="GL961"/>
      <c r="GM961"/>
      <c r="GN961"/>
      <c r="GO961"/>
      <c r="GP961"/>
      <c r="GQ961"/>
      <c r="GR961"/>
      <c r="GS961"/>
      <c r="GT961"/>
      <c r="GU961"/>
      <c r="GV961"/>
      <c r="GW961"/>
      <c r="GX961"/>
      <c r="GY961"/>
      <c r="GZ961"/>
      <c r="HA961"/>
      <c r="HB961"/>
      <c r="HC961"/>
      <c r="HD961"/>
      <c r="HE961"/>
      <c r="HF961"/>
      <c r="HG961"/>
      <c r="HH961"/>
      <c r="HI961"/>
      <c r="HJ961"/>
      <c r="HK961"/>
      <c r="HL961"/>
      <c r="HM961"/>
      <c r="HN961"/>
      <c r="HO961"/>
      <c r="HP961"/>
      <c r="HQ961"/>
      <c r="HR961"/>
      <c r="HS961"/>
      <c r="HT961"/>
      <c r="HU961"/>
      <c r="HV961"/>
      <c r="HW961"/>
      <c r="HX961"/>
      <c r="HY961"/>
      <c r="HZ961"/>
      <c r="IA961"/>
      <c r="IB961"/>
      <c r="IC961"/>
      <c r="ID961"/>
      <c r="IE961"/>
      <c r="IF961"/>
      <c r="IG961"/>
      <c r="IH961"/>
      <c r="II961"/>
      <c r="IJ961"/>
      <c r="IK961"/>
      <c r="IL961"/>
      <c r="IM961"/>
      <c r="IN961"/>
      <c r="IO961"/>
      <c r="IP961"/>
      <c r="IQ961"/>
    </row>
    <row r="962" spans="1:251" ht="27" customHeight="1" x14ac:dyDescent="0.2">
      <c r="A962" s="742"/>
      <c r="B962" s="1101" t="s">
        <v>1458</v>
      </c>
      <c r="C962" s="983">
        <v>450000</v>
      </c>
      <c r="D962" s="983">
        <v>450000</v>
      </c>
      <c r="E962" s="1163"/>
      <c r="F962" s="1163"/>
      <c r="G962" s="1243"/>
      <c r="H962" s="1248"/>
      <c r="I962" s="1258"/>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c r="DE962"/>
      <c r="DF962"/>
      <c r="DG962"/>
      <c r="DH962"/>
      <c r="DI962"/>
      <c r="DJ962"/>
      <c r="DK962"/>
      <c r="DL962"/>
      <c r="DM962"/>
      <c r="DN962"/>
      <c r="DO962"/>
      <c r="DP962"/>
      <c r="DQ962"/>
      <c r="DR962"/>
      <c r="DS962"/>
      <c r="DT962"/>
      <c r="DU962"/>
      <c r="DV962"/>
      <c r="DW962"/>
      <c r="DX962"/>
      <c r="DY962"/>
      <c r="DZ962"/>
      <c r="EA962"/>
      <c r="EB962"/>
      <c r="EC962"/>
      <c r="ED962"/>
      <c r="EE962"/>
      <c r="EF962"/>
      <c r="EG962"/>
      <c r="EH962"/>
      <c r="EI962"/>
      <c r="EJ962"/>
      <c r="EK962"/>
      <c r="EL962"/>
      <c r="EM962"/>
      <c r="EN962"/>
      <c r="EO962"/>
      <c r="EP962"/>
      <c r="EQ962"/>
      <c r="ER962"/>
      <c r="ES962"/>
      <c r="ET962"/>
      <c r="EU962"/>
      <c r="EV962"/>
      <c r="EW962"/>
      <c r="EX962"/>
      <c r="EY962"/>
      <c r="EZ962"/>
      <c r="FA962"/>
      <c r="FB962"/>
      <c r="FC962"/>
      <c r="FD962"/>
      <c r="FE962"/>
      <c r="FF962"/>
      <c r="FG962"/>
      <c r="FH962"/>
      <c r="FI962"/>
      <c r="FJ962"/>
      <c r="FK962"/>
      <c r="FL962"/>
      <c r="FM962"/>
      <c r="FN962"/>
      <c r="FO962"/>
      <c r="FP962"/>
      <c r="FQ962"/>
      <c r="FR962"/>
      <c r="FS962"/>
      <c r="FT962"/>
      <c r="FU962"/>
      <c r="FV962"/>
      <c r="FW962"/>
      <c r="FX962"/>
      <c r="FY962"/>
      <c r="FZ962"/>
      <c r="GA962"/>
      <c r="GB962"/>
      <c r="GC962"/>
      <c r="GD962"/>
      <c r="GE962"/>
      <c r="GF962"/>
      <c r="GG962"/>
      <c r="GH962"/>
      <c r="GI962"/>
      <c r="GJ962"/>
      <c r="GK962"/>
      <c r="GL962"/>
      <c r="GM962"/>
      <c r="GN962"/>
      <c r="GO962"/>
      <c r="GP962"/>
      <c r="GQ962"/>
      <c r="GR962"/>
      <c r="GS962"/>
      <c r="GT962"/>
      <c r="GU962"/>
      <c r="GV962"/>
      <c r="GW962"/>
      <c r="GX962"/>
      <c r="GY962"/>
      <c r="GZ962"/>
      <c r="HA962"/>
      <c r="HB962"/>
      <c r="HC962"/>
      <c r="HD962"/>
      <c r="HE962"/>
      <c r="HF962"/>
      <c r="HG962"/>
      <c r="HH962"/>
      <c r="HI962"/>
      <c r="HJ962"/>
      <c r="HK962"/>
      <c r="HL962"/>
      <c r="HM962"/>
      <c r="HN962"/>
      <c r="HO962"/>
      <c r="HP962"/>
      <c r="HQ962"/>
      <c r="HR962"/>
      <c r="HS962"/>
      <c r="HT962"/>
      <c r="HU962"/>
      <c r="HV962"/>
      <c r="HW962"/>
      <c r="HX962"/>
      <c r="HY962"/>
      <c r="HZ962"/>
      <c r="IA962"/>
      <c r="IB962"/>
      <c r="IC962"/>
      <c r="ID962"/>
      <c r="IE962"/>
      <c r="IF962"/>
      <c r="IG962"/>
      <c r="IH962"/>
      <c r="II962"/>
      <c r="IJ962"/>
      <c r="IK962"/>
      <c r="IL962"/>
      <c r="IM962"/>
      <c r="IN962"/>
      <c r="IO962"/>
      <c r="IP962"/>
      <c r="IQ962"/>
    </row>
    <row r="963" spans="1:251" ht="27" customHeight="1" x14ac:dyDescent="0.2">
      <c r="A963" s="742"/>
      <c r="B963" s="1100" t="s">
        <v>1459</v>
      </c>
      <c r="C963" s="874">
        <v>200000</v>
      </c>
      <c r="D963" s="874">
        <v>200000</v>
      </c>
      <c r="E963" s="735"/>
      <c r="F963" s="735"/>
      <c r="G963" s="1243"/>
      <c r="H963" s="1248"/>
      <c r="I963" s="1258"/>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c r="DC963"/>
      <c r="DD963"/>
      <c r="DE963"/>
      <c r="DF963"/>
      <c r="DG963"/>
      <c r="DH963"/>
      <c r="DI963"/>
      <c r="DJ963"/>
      <c r="DK963"/>
      <c r="DL963"/>
      <c r="DM963"/>
      <c r="DN963"/>
      <c r="DO963"/>
      <c r="DP963"/>
      <c r="DQ963"/>
      <c r="DR963"/>
      <c r="DS963"/>
      <c r="DT963"/>
      <c r="DU963"/>
      <c r="DV963"/>
      <c r="DW963"/>
      <c r="DX963"/>
      <c r="DY963"/>
      <c r="DZ963"/>
      <c r="EA963"/>
      <c r="EB963"/>
      <c r="EC963"/>
      <c r="ED963"/>
      <c r="EE963"/>
      <c r="EF963"/>
      <c r="EG963"/>
      <c r="EH963"/>
      <c r="EI963"/>
      <c r="EJ963"/>
      <c r="EK963"/>
      <c r="EL963"/>
      <c r="EM963"/>
      <c r="EN963"/>
      <c r="EO963"/>
      <c r="EP963"/>
      <c r="EQ963"/>
      <c r="ER963"/>
      <c r="ES963"/>
      <c r="ET963"/>
      <c r="EU963"/>
      <c r="EV963"/>
      <c r="EW963"/>
      <c r="EX963"/>
      <c r="EY963"/>
      <c r="EZ963"/>
      <c r="FA963"/>
      <c r="FB963"/>
      <c r="FC963"/>
      <c r="FD963"/>
      <c r="FE963"/>
      <c r="FF963"/>
      <c r="FG963"/>
      <c r="FH963"/>
      <c r="FI963"/>
      <c r="FJ963"/>
      <c r="FK963"/>
      <c r="FL963"/>
      <c r="FM963"/>
      <c r="FN963"/>
      <c r="FO963"/>
      <c r="FP963"/>
      <c r="FQ963"/>
      <c r="FR963"/>
      <c r="FS963"/>
      <c r="FT963"/>
      <c r="FU963"/>
      <c r="FV963"/>
      <c r="FW963"/>
      <c r="FX963"/>
      <c r="FY963"/>
      <c r="FZ963"/>
      <c r="GA963"/>
      <c r="GB963"/>
      <c r="GC963"/>
      <c r="GD963"/>
      <c r="GE963"/>
      <c r="GF963"/>
      <c r="GG963"/>
      <c r="GH963"/>
      <c r="GI963"/>
      <c r="GJ963"/>
      <c r="GK963"/>
      <c r="GL963"/>
      <c r="GM963"/>
      <c r="GN963"/>
      <c r="GO963"/>
      <c r="GP963"/>
      <c r="GQ963"/>
      <c r="GR963"/>
      <c r="GS963"/>
      <c r="GT963"/>
      <c r="GU963"/>
      <c r="GV963"/>
      <c r="GW963"/>
      <c r="GX963"/>
      <c r="GY963"/>
      <c r="GZ963"/>
      <c r="HA963"/>
      <c r="HB963"/>
      <c r="HC963"/>
      <c r="HD963"/>
      <c r="HE963"/>
      <c r="HF963"/>
      <c r="HG963"/>
      <c r="HH963"/>
      <c r="HI963"/>
      <c r="HJ963"/>
      <c r="HK963"/>
      <c r="HL963"/>
      <c r="HM963"/>
      <c r="HN963"/>
      <c r="HO963"/>
      <c r="HP963"/>
      <c r="HQ963"/>
      <c r="HR963"/>
      <c r="HS963"/>
      <c r="HT963"/>
      <c r="HU963"/>
      <c r="HV963"/>
      <c r="HW963"/>
      <c r="HX963"/>
      <c r="HY963"/>
      <c r="HZ963"/>
      <c r="IA963"/>
      <c r="IB963"/>
      <c r="IC963"/>
      <c r="ID963"/>
      <c r="IE963"/>
      <c r="IF963"/>
      <c r="IG963"/>
      <c r="IH963"/>
      <c r="II963"/>
      <c r="IJ963"/>
      <c r="IK963"/>
      <c r="IL963"/>
      <c r="IM963"/>
      <c r="IN963"/>
      <c r="IO963"/>
      <c r="IP963"/>
      <c r="IQ963"/>
    </row>
    <row r="964" spans="1:251" ht="27" customHeight="1" x14ac:dyDescent="0.2">
      <c r="A964" s="742"/>
      <c r="B964" s="1107" t="s">
        <v>1863</v>
      </c>
      <c r="C964" s="1097">
        <v>400000</v>
      </c>
      <c r="D964" s="1097">
        <v>400000</v>
      </c>
      <c r="E964" s="1176"/>
      <c r="F964" s="1176"/>
      <c r="G964" s="1243"/>
      <c r="H964" s="1248"/>
      <c r="I964" s="1258"/>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c r="DC964"/>
      <c r="DD964"/>
      <c r="DE964"/>
      <c r="DF96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c r="FD964"/>
      <c r="FE964"/>
      <c r="FF964"/>
      <c r="FG964"/>
      <c r="FH964"/>
      <c r="FI964"/>
      <c r="FJ964"/>
      <c r="FK964"/>
      <c r="FL964"/>
      <c r="FM964"/>
      <c r="FN964"/>
      <c r="FO964"/>
      <c r="FP964"/>
      <c r="FQ964"/>
      <c r="FR964"/>
      <c r="FS964"/>
      <c r="FT964"/>
      <c r="FU964"/>
      <c r="FV964"/>
      <c r="FW964"/>
      <c r="FX964"/>
      <c r="FY964"/>
      <c r="FZ964"/>
      <c r="GA964"/>
      <c r="GB964"/>
      <c r="GC964"/>
      <c r="GD964"/>
      <c r="GE964"/>
      <c r="GF964"/>
      <c r="GG964"/>
      <c r="GH964"/>
      <c r="GI964"/>
      <c r="GJ964"/>
      <c r="GK964"/>
      <c r="GL964"/>
      <c r="GM964"/>
      <c r="GN964"/>
      <c r="GO964"/>
      <c r="GP964"/>
      <c r="GQ964"/>
      <c r="GR964"/>
      <c r="GS964"/>
      <c r="GT964"/>
      <c r="GU964"/>
      <c r="GV964"/>
      <c r="GW964"/>
      <c r="GX964"/>
      <c r="GY964"/>
      <c r="GZ964"/>
      <c r="HA964"/>
      <c r="HB964"/>
      <c r="HC964"/>
      <c r="HD964"/>
      <c r="HE964"/>
      <c r="HF964"/>
      <c r="HG964"/>
      <c r="HH964"/>
      <c r="HI964"/>
      <c r="HJ964"/>
      <c r="HK964"/>
      <c r="HL964"/>
      <c r="HM964"/>
      <c r="HN964"/>
      <c r="HO964"/>
      <c r="HP964"/>
      <c r="HQ964"/>
      <c r="HR964"/>
      <c r="HS964"/>
      <c r="HT964"/>
      <c r="HU964"/>
      <c r="HV964"/>
      <c r="HW964"/>
      <c r="HX964"/>
      <c r="HY964"/>
      <c r="HZ964"/>
      <c r="IA964"/>
      <c r="IB964"/>
      <c r="IC964"/>
      <c r="ID964"/>
      <c r="IE964"/>
      <c r="IF964"/>
      <c r="IG964"/>
      <c r="IH964"/>
      <c r="II964"/>
      <c r="IJ964"/>
      <c r="IK964"/>
      <c r="IL964"/>
      <c r="IM964"/>
      <c r="IN964"/>
      <c r="IO964"/>
      <c r="IP964"/>
      <c r="IQ964"/>
    </row>
    <row r="965" spans="1:251" ht="27" customHeight="1" x14ac:dyDescent="0.2">
      <c r="A965" s="739"/>
      <c r="B965" s="1100" t="s">
        <v>1460</v>
      </c>
      <c r="C965" s="874">
        <v>500000</v>
      </c>
      <c r="D965" s="874">
        <v>500000</v>
      </c>
      <c r="E965" s="1367"/>
      <c r="F965" s="1367"/>
      <c r="G965" s="1364"/>
      <c r="H965" s="1365"/>
      <c r="I965" s="136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c r="DC965"/>
      <c r="DD965"/>
      <c r="DE965"/>
      <c r="DF965"/>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c r="FD965"/>
      <c r="FE965"/>
      <c r="FF965"/>
      <c r="FG965"/>
      <c r="FH965"/>
      <c r="FI965"/>
      <c r="FJ965"/>
      <c r="FK965"/>
      <c r="FL965"/>
      <c r="FM965"/>
      <c r="FN965"/>
      <c r="FO965"/>
      <c r="FP965"/>
      <c r="FQ965"/>
      <c r="FR965"/>
      <c r="FS965"/>
      <c r="FT965"/>
      <c r="FU965"/>
      <c r="FV965"/>
      <c r="FW965"/>
      <c r="FX965"/>
      <c r="FY965"/>
      <c r="FZ965"/>
      <c r="GA965"/>
      <c r="GB965"/>
      <c r="GC965"/>
      <c r="GD965"/>
      <c r="GE965"/>
      <c r="GF965"/>
      <c r="GG965"/>
      <c r="GH965"/>
      <c r="GI965"/>
      <c r="GJ965"/>
      <c r="GK965"/>
      <c r="GL965"/>
      <c r="GM965"/>
      <c r="GN965"/>
      <c r="GO965"/>
      <c r="GP965"/>
      <c r="GQ965"/>
      <c r="GR965"/>
      <c r="GS965"/>
      <c r="GT965"/>
      <c r="GU965"/>
      <c r="GV965"/>
      <c r="GW965"/>
      <c r="GX965"/>
      <c r="GY965"/>
      <c r="GZ965"/>
      <c r="HA965"/>
      <c r="HB965"/>
      <c r="HC965"/>
      <c r="HD965"/>
      <c r="HE965"/>
      <c r="HF965"/>
      <c r="HG965"/>
      <c r="HH965"/>
      <c r="HI965"/>
      <c r="HJ965"/>
      <c r="HK965"/>
      <c r="HL965"/>
      <c r="HM965"/>
      <c r="HN965"/>
      <c r="HO965"/>
      <c r="HP965"/>
      <c r="HQ965"/>
      <c r="HR965"/>
      <c r="HS965"/>
      <c r="HT965"/>
      <c r="HU965"/>
      <c r="HV965"/>
      <c r="HW965"/>
      <c r="HX965"/>
      <c r="HY965"/>
      <c r="HZ965"/>
      <c r="IA965"/>
      <c r="IB965"/>
      <c r="IC965"/>
      <c r="ID965"/>
      <c r="IE965"/>
      <c r="IF965"/>
      <c r="IG965"/>
      <c r="IH965"/>
      <c r="II965"/>
      <c r="IJ965"/>
      <c r="IK965"/>
      <c r="IL965"/>
      <c r="IM965"/>
      <c r="IN965"/>
      <c r="IO965"/>
      <c r="IP965"/>
      <c r="IQ965"/>
    </row>
    <row r="966" spans="1:251" ht="27" customHeight="1" x14ac:dyDescent="0.2">
      <c r="A966" s="739">
        <v>3634</v>
      </c>
      <c r="B966" s="1111" t="s">
        <v>1085</v>
      </c>
      <c r="C966" s="940">
        <f t="shared" ref="C966:D966" si="116">SUM(C967:C971)</f>
        <v>4050000</v>
      </c>
      <c r="D966" s="940">
        <f t="shared" si="116"/>
        <v>4050000</v>
      </c>
      <c r="E966" s="707"/>
      <c r="F966" s="707"/>
      <c r="G966" s="1243"/>
      <c r="H966" s="1248"/>
      <c r="I966" s="1258"/>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c r="DC966"/>
      <c r="DD966"/>
      <c r="DE966"/>
      <c r="DF966"/>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c r="FD966"/>
      <c r="FE966"/>
      <c r="FF966"/>
      <c r="FG966"/>
      <c r="FH966"/>
      <c r="FI966"/>
      <c r="FJ966"/>
      <c r="FK966"/>
      <c r="FL966"/>
      <c r="FM966"/>
      <c r="FN966"/>
      <c r="FO966"/>
      <c r="FP966"/>
      <c r="FQ966"/>
      <c r="FR966"/>
      <c r="FS966"/>
      <c r="FT966"/>
      <c r="FU966"/>
      <c r="FV966"/>
      <c r="FW966"/>
      <c r="FX966"/>
      <c r="FY966"/>
      <c r="FZ966"/>
      <c r="GA966"/>
      <c r="GB966"/>
      <c r="GC966"/>
      <c r="GD966"/>
      <c r="GE966"/>
      <c r="GF966"/>
      <c r="GG966"/>
      <c r="GH966"/>
      <c r="GI966"/>
      <c r="GJ966"/>
      <c r="GK966"/>
      <c r="GL966"/>
      <c r="GM966"/>
      <c r="GN966"/>
      <c r="GO966"/>
      <c r="GP966"/>
      <c r="GQ966"/>
      <c r="GR966"/>
      <c r="GS966"/>
      <c r="GT966"/>
      <c r="GU966"/>
      <c r="GV966"/>
      <c r="GW966"/>
      <c r="GX966"/>
      <c r="GY966"/>
      <c r="GZ966"/>
      <c r="HA966"/>
      <c r="HB966"/>
      <c r="HC966"/>
      <c r="HD966"/>
      <c r="HE966"/>
      <c r="HF966"/>
      <c r="HG966"/>
      <c r="HH966"/>
      <c r="HI966"/>
      <c r="HJ966"/>
      <c r="HK966"/>
      <c r="HL966"/>
      <c r="HM966"/>
      <c r="HN966"/>
      <c r="HO966"/>
      <c r="HP966"/>
      <c r="HQ966"/>
      <c r="HR966"/>
      <c r="HS966"/>
      <c r="HT966"/>
      <c r="HU966"/>
      <c r="HV966"/>
      <c r="HW966"/>
      <c r="HX966"/>
      <c r="HY966"/>
      <c r="HZ966"/>
      <c r="IA966"/>
      <c r="IB966"/>
      <c r="IC966"/>
      <c r="ID966"/>
      <c r="IE966"/>
      <c r="IF966"/>
      <c r="IG966"/>
      <c r="IH966"/>
      <c r="II966"/>
      <c r="IJ966"/>
      <c r="IK966"/>
      <c r="IL966"/>
      <c r="IM966"/>
      <c r="IN966"/>
      <c r="IO966"/>
      <c r="IP966"/>
      <c r="IQ966"/>
    </row>
    <row r="967" spans="1:251" ht="27" customHeight="1" x14ac:dyDescent="0.2">
      <c r="A967" s="739"/>
      <c r="B967" s="1101" t="s">
        <v>1135</v>
      </c>
      <c r="C967" s="874">
        <v>350000</v>
      </c>
      <c r="D967" s="874">
        <v>350000</v>
      </c>
      <c r="E967" s="1163"/>
      <c r="F967" s="1163"/>
      <c r="G967" s="1243"/>
      <c r="H967" s="1248"/>
      <c r="I967" s="1258"/>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c r="DC967"/>
      <c r="DD967"/>
      <c r="DE967"/>
      <c r="DF967"/>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c r="FD967"/>
      <c r="FE967"/>
      <c r="FF967"/>
      <c r="FG967"/>
      <c r="FH967"/>
      <c r="FI967"/>
      <c r="FJ967"/>
      <c r="FK967"/>
      <c r="FL967"/>
      <c r="FM967"/>
      <c r="FN967"/>
      <c r="FO967"/>
      <c r="FP967"/>
      <c r="FQ967"/>
      <c r="FR967"/>
      <c r="FS967"/>
      <c r="FT967"/>
      <c r="FU967"/>
      <c r="FV967"/>
      <c r="FW967"/>
      <c r="FX967"/>
      <c r="FY967"/>
      <c r="FZ967"/>
      <c r="GA967"/>
      <c r="GB967"/>
      <c r="GC967"/>
      <c r="GD967"/>
      <c r="GE967"/>
      <c r="GF967"/>
      <c r="GG967"/>
      <c r="GH967"/>
      <c r="GI967"/>
      <c r="GJ967"/>
      <c r="GK967"/>
      <c r="GL967"/>
      <c r="GM967"/>
      <c r="GN967"/>
      <c r="GO967"/>
      <c r="GP967"/>
      <c r="GQ967"/>
      <c r="GR967"/>
      <c r="GS967"/>
      <c r="GT967"/>
      <c r="GU967"/>
      <c r="GV967"/>
      <c r="GW967"/>
      <c r="GX967"/>
      <c r="GY967"/>
      <c r="GZ967"/>
      <c r="HA967"/>
      <c r="HB967"/>
      <c r="HC967"/>
      <c r="HD967"/>
      <c r="HE967"/>
      <c r="HF967"/>
      <c r="HG967"/>
      <c r="HH967"/>
      <c r="HI967"/>
      <c r="HJ967"/>
      <c r="HK967"/>
      <c r="HL967"/>
      <c r="HM967"/>
      <c r="HN967"/>
      <c r="HO967"/>
      <c r="HP967"/>
      <c r="HQ967"/>
      <c r="HR967"/>
      <c r="HS967"/>
      <c r="HT967"/>
      <c r="HU967"/>
      <c r="HV967"/>
      <c r="HW967"/>
      <c r="HX967"/>
      <c r="HY967"/>
      <c r="HZ967"/>
      <c r="IA967"/>
      <c r="IB967"/>
      <c r="IC967"/>
      <c r="ID967"/>
      <c r="IE967"/>
      <c r="IF967"/>
      <c r="IG967"/>
      <c r="IH967"/>
      <c r="II967"/>
      <c r="IJ967"/>
      <c r="IK967"/>
      <c r="IL967"/>
      <c r="IM967"/>
      <c r="IN967"/>
      <c r="IO967"/>
      <c r="IP967"/>
      <c r="IQ967"/>
    </row>
    <row r="968" spans="1:251" ht="27" customHeight="1" x14ac:dyDescent="0.2">
      <c r="A968" s="739"/>
      <c r="B968" s="1101" t="s">
        <v>1461</v>
      </c>
      <c r="C968" s="874">
        <v>300000</v>
      </c>
      <c r="D968" s="874">
        <v>300000</v>
      </c>
      <c r="E968" s="701"/>
      <c r="F968" s="707"/>
      <c r="G968" s="825"/>
      <c r="H968" s="1244"/>
      <c r="I968" s="1257"/>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c r="DC968"/>
      <c r="DD968"/>
      <c r="DE968"/>
      <c r="DF968"/>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c r="FD968"/>
      <c r="FE968"/>
      <c r="FF968"/>
      <c r="FG968"/>
      <c r="FH968"/>
      <c r="FI968"/>
      <c r="FJ968"/>
      <c r="FK968"/>
      <c r="FL968"/>
      <c r="FM968"/>
      <c r="FN968"/>
      <c r="FO968"/>
      <c r="FP968"/>
      <c r="FQ968"/>
      <c r="FR968"/>
      <c r="FS968"/>
      <c r="FT968"/>
      <c r="FU968"/>
      <c r="FV968"/>
      <c r="FW968"/>
      <c r="FX968"/>
      <c r="FY968"/>
      <c r="FZ968"/>
      <c r="GA968"/>
      <c r="GB968"/>
      <c r="GC968"/>
      <c r="GD968"/>
      <c r="GE968"/>
      <c r="GF968"/>
      <c r="GG968"/>
      <c r="GH968"/>
      <c r="GI968"/>
      <c r="GJ968"/>
      <c r="GK968"/>
      <c r="GL968"/>
      <c r="GM968"/>
      <c r="GN968"/>
      <c r="GO968"/>
      <c r="GP968"/>
      <c r="GQ968"/>
      <c r="GR968"/>
      <c r="GS968"/>
      <c r="GT968"/>
      <c r="GU968"/>
      <c r="GV968"/>
      <c r="GW968"/>
      <c r="GX968"/>
      <c r="GY968"/>
      <c r="GZ968"/>
      <c r="HA968"/>
      <c r="HB968"/>
      <c r="HC968"/>
      <c r="HD968"/>
      <c r="HE968"/>
      <c r="HF968"/>
      <c r="HG968"/>
      <c r="HH968"/>
      <c r="HI968"/>
      <c r="HJ968"/>
      <c r="HK968"/>
      <c r="HL968"/>
      <c r="HM968"/>
      <c r="HN968"/>
      <c r="HO968"/>
      <c r="HP968"/>
      <c r="HQ968"/>
      <c r="HR968"/>
      <c r="HS968"/>
      <c r="HT968"/>
      <c r="HU968"/>
      <c r="HV968"/>
      <c r="HW968"/>
      <c r="HX968"/>
      <c r="HY968"/>
      <c r="HZ968"/>
      <c r="IA968"/>
      <c r="IB968"/>
      <c r="IC968"/>
      <c r="ID968"/>
      <c r="IE968"/>
      <c r="IF968"/>
      <c r="IG968"/>
      <c r="IH968"/>
      <c r="II968"/>
      <c r="IJ968"/>
      <c r="IK968"/>
      <c r="IL968"/>
      <c r="IM968"/>
      <c r="IN968"/>
      <c r="IO968"/>
      <c r="IP968"/>
      <c r="IQ968"/>
    </row>
    <row r="969" spans="1:251" ht="27" customHeight="1" x14ac:dyDescent="0.2">
      <c r="A969" s="879"/>
      <c r="B969" s="1112" t="s">
        <v>1462</v>
      </c>
      <c r="C969" s="960">
        <v>900000</v>
      </c>
      <c r="D969" s="960">
        <v>900000</v>
      </c>
      <c r="E969" s="701"/>
      <c r="F969" s="707"/>
      <c r="G969" s="825"/>
      <c r="H969" s="1244"/>
      <c r="I969" s="1257"/>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c r="DC969"/>
      <c r="DD969"/>
      <c r="DE969"/>
      <c r="DF969"/>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c r="FD969"/>
      <c r="FE969"/>
      <c r="FF969"/>
      <c r="FG969"/>
      <c r="FH969"/>
      <c r="FI969"/>
      <c r="FJ969"/>
      <c r="FK969"/>
      <c r="FL969"/>
      <c r="FM969"/>
      <c r="FN969"/>
      <c r="FO969"/>
      <c r="FP969"/>
      <c r="FQ969"/>
      <c r="FR969"/>
      <c r="FS969"/>
      <c r="FT969"/>
      <c r="FU969"/>
      <c r="FV969"/>
      <c r="FW969"/>
      <c r="FX969"/>
      <c r="FY969"/>
      <c r="FZ969"/>
      <c r="GA969"/>
      <c r="GB969"/>
      <c r="GC969"/>
      <c r="GD969"/>
      <c r="GE969"/>
      <c r="GF969"/>
      <c r="GG969"/>
      <c r="GH969"/>
      <c r="GI969"/>
      <c r="GJ969"/>
      <c r="GK969"/>
      <c r="GL969"/>
      <c r="GM969"/>
      <c r="GN969"/>
      <c r="GO969"/>
      <c r="GP969"/>
      <c r="GQ969"/>
      <c r="GR969"/>
      <c r="GS969"/>
      <c r="GT969"/>
      <c r="GU969"/>
      <c r="GV969"/>
      <c r="GW969"/>
      <c r="GX969"/>
      <c r="GY969"/>
      <c r="GZ969"/>
      <c r="HA969"/>
      <c r="HB969"/>
      <c r="HC969"/>
      <c r="HD969"/>
      <c r="HE969"/>
      <c r="HF969"/>
      <c r="HG969"/>
      <c r="HH969"/>
      <c r="HI969"/>
      <c r="HJ969"/>
      <c r="HK969"/>
      <c r="HL969"/>
      <c r="HM969"/>
      <c r="HN969"/>
      <c r="HO969"/>
      <c r="HP969"/>
      <c r="HQ969"/>
      <c r="HR969"/>
      <c r="HS969"/>
      <c r="HT969"/>
      <c r="HU969"/>
      <c r="HV969"/>
      <c r="HW969"/>
      <c r="HX969"/>
      <c r="HY969"/>
      <c r="HZ969"/>
      <c r="IA969"/>
      <c r="IB969"/>
      <c r="IC969"/>
      <c r="ID969"/>
      <c r="IE969"/>
      <c r="IF969"/>
      <c r="IG969"/>
      <c r="IH969"/>
      <c r="II969"/>
      <c r="IJ969"/>
      <c r="IK969"/>
      <c r="IL969"/>
      <c r="IM969"/>
      <c r="IN969"/>
      <c r="IO969"/>
      <c r="IP969"/>
      <c r="IQ969"/>
    </row>
    <row r="970" spans="1:251" ht="63.75" x14ac:dyDescent="0.2">
      <c r="A970" s="880"/>
      <c r="B970" s="1113" t="s">
        <v>1739</v>
      </c>
      <c r="C970" s="959">
        <v>2200000</v>
      </c>
      <c r="D970" s="959">
        <v>2200000</v>
      </c>
      <c r="E970" s="707"/>
      <c r="F970" s="707"/>
      <c r="G970" s="1243"/>
      <c r="H970" s="1248"/>
      <c r="I970" s="1258"/>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c r="DC970"/>
      <c r="DD970"/>
      <c r="DE970"/>
      <c r="DF970"/>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c r="FD970"/>
      <c r="FE970"/>
      <c r="FF970"/>
      <c r="FG970"/>
      <c r="FH970"/>
      <c r="FI970"/>
      <c r="FJ970"/>
      <c r="FK970"/>
      <c r="FL970"/>
      <c r="FM970"/>
      <c r="FN970"/>
      <c r="FO970"/>
      <c r="FP970"/>
      <c r="FQ970"/>
      <c r="FR970"/>
      <c r="FS970"/>
      <c r="FT970"/>
      <c r="FU970"/>
      <c r="FV970"/>
      <c r="FW970"/>
      <c r="FX970"/>
      <c r="FY970"/>
      <c r="FZ970"/>
      <c r="GA970"/>
      <c r="GB970"/>
      <c r="GC970"/>
      <c r="GD970"/>
      <c r="GE970"/>
      <c r="GF970"/>
      <c r="GG970"/>
      <c r="GH970"/>
      <c r="GI970"/>
      <c r="GJ970"/>
      <c r="GK970"/>
      <c r="GL970"/>
      <c r="GM970"/>
      <c r="GN970"/>
      <c r="GO970"/>
      <c r="GP970"/>
      <c r="GQ970"/>
      <c r="GR970"/>
      <c r="GS970"/>
      <c r="GT970"/>
      <c r="GU970"/>
      <c r="GV970"/>
      <c r="GW970"/>
      <c r="GX970"/>
      <c r="GY970"/>
      <c r="GZ970"/>
      <c r="HA970"/>
      <c r="HB970"/>
      <c r="HC970"/>
      <c r="HD970"/>
      <c r="HE970"/>
      <c r="HF970"/>
      <c r="HG970"/>
      <c r="HH970"/>
      <c r="HI970"/>
      <c r="HJ970"/>
      <c r="HK970"/>
      <c r="HL970"/>
      <c r="HM970"/>
      <c r="HN970"/>
      <c r="HO970"/>
      <c r="HP970"/>
      <c r="HQ970"/>
      <c r="HR970"/>
      <c r="HS970"/>
      <c r="HT970"/>
      <c r="HU970"/>
      <c r="HV970"/>
      <c r="HW970"/>
      <c r="HX970"/>
      <c r="HY970"/>
      <c r="HZ970"/>
      <c r="IA970"/>
      <c r="IB970"/>
      <c r="IC970"/>
      <c r="ID970"/>
      <c r="IE970"/>
      <c r="IF970"/>
      <c r="IG970"/>
      <c r="IH970"/>
      <c r="II970"/>
      <c r="IJ970"/>
      <c r="IK970"/>
      <c r="IL970"/>
      <c r="IM970"/>
      <c r="IN970"/>
      <c r="IO970"/>
      <c r="IP970"/>
      <c r="IQ970"/>
    </row>
    <row r="971" spans="1:251" ht="27" customHeight="1" x14ac:dyDescent="0.2">
      <c r="A971" s="878"/>
      <c r="B971" s="1094" t="s">
        <v>951</v>
      </c>
      <c r="C971" s="874">
        <f>SUM(C972:C973)</f>
        <v>300000</v>
      </c>
      <c r="D971" s="874">
        <f>SUM(D972:D973)</f>
        <v>300000</v>
      </c>
      <c r="E971" s="1163"/>
      <c r="F971" s="1163"/>
      <c r="G971" s="1243"/>
      <c r="H971" s="1248"/>
      <c r="I971" s="1258"/>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c r="DE971"/>
      <c r="DF971"/>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c r="FD971"/>
      <c r="FE971"/>
      <c r="FF971"/>
      <c r="FG971"/>
      <c r="FH971"/>
      <c r="FI971"/>
      <c r="FJ971"/>
      <c r="FK971"/>
      <c r="FL971"/>
      <c r="FM971"/>
      <c r="FN971"/>
      <c r="FO971"/>
      <c r="FP971"/>
      <c r="FQ971"/>
      <c r="FR971"/>
      <c r="FS971"/>
      <c r="FT971"/>
      <c r="FU971"/>
      <c r="FV971"/>
      <c r="FW971"/>
      <c r="FX971"/>
      <c r="FY971"/>
      <c r="FZ971"/>
      <c r="GA971"/>
      <c r="GB971"/>
      <c r="GC971"/>
      <c r="GD971"/>
      <c r="GE971"/>
      <c r="GF971"/>
      <c r="GG971"/>
      <c r="GH971"/>
      <c r="GI971"/>
      <c r="GJ971"/>
      <c r="GK971"/>
      <c r="GL971"/>
      <c r="GM971"/>
      <c r="GN971"/>
      <c r="GO971"/>
      <c r="GP971"/>
      <c r="GQ971"/>
      <c r="GR971"/>
      <c r="GS971"/>
      <c r="GT971"/>
      <c r="GU971"/>
      <c r="GV971"/>
      <c r="GW971"/>
      <c r="GX971"/>
      <c r="GY971"/>
      <c r="GZ971"/>
      <c r="HA971"/>
      <c r="HB971"/>
      <c r="HC971"/>
      <c r="HD971"/>
      <c r="HE971"/>
      <c r="HF971"/>
      <c r="HG971"/>
      <c r="HH971"/>
      <c r="HI971"/>
      <c r="HJ971"/>
      <c r="HK971"/>
      <c r="HL971"/>
      <c r="HM971"/>
      <c r="HN971"/>
      <c r="HO971"/>
      <c r="HP971"/>
      <c r="HQ971"/>
      <c r="HR971"/>
      <c r="HS971"/>
      <c r="HT971"/>
      <c r="HU971"/>
      <c r="HV971"/>
      <c r="HW971"/>
      <c r="HX971"/>
      <c r="HY971"/>
      <c r="HZ971"/>
      <c r="IA971"/>
      <c r="IB971"/>
      <c r="IC971"/>
      <c r="ID971"/>
      <c r="IE971"/>
      <c r="IF971"/>
      <c r="IG971"/>
      <c r="IH971"/>
      <c r="II971"/>
      <c r="IJ971"/>
      <c r="IK971"/>
      <c r="IL971"/>
      <c r="IM971"/>
      <c r="IN971"/>
      <c r="IO971"/>
      <c r="IP971"/>
      <c r="IQ971"/>
    </row>
    <row r="972" spans="1:251" ht="27" customHeight="1" x14ac:dyDescent="0.2">
      <c r="A972" s="726"/>
      <c r="B972" s="1114" t="s">
        <v>1740</v>
      </c>
      <c r="C972" s="983">
        <v>300000</v>
      </c>
      <c r="D972" s="983">
        <v>300000</v>
      </c>
      <c r="E972" s="707"/>
      <c r="F972" s="707"/>
      <c r="G972" s="1243"/>
      <c r="H972" s="1248"/>
      <c r="I972" s="1258"/>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c r="DE972"/>
      <c r="DF97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c r="FD972"/>
      <c r="FE972"/>
      <c r="FF972"/>
      <c r="FG972"/>
      <c r="FH972"/>
      <c r="FI972"/>
      <c r="FJ972"/>
      <c r="FK972"/>
      <c r="FL972"/>
      <c r="FM972"/>
      <c r="FN972"/>
      <c r="FO972"/>
      <c r="FP972"/>
      <c r="FQ972"/>
      <c r="FR972"/>
      <c r="FS972"/>
      <c r="FT972"/>
      <c r="FU972"/>
      <c r="FV972"/>
      <c r="FW972"/>
      <c r="FX972"/>
      <c r="FY972"/>
      <c r="FZ972"/>
      <c r="GA972"/>
      <c r="GB972"/>
      <c r="GC972"/>
      <c r="GD972"/>
      <c r="GE972"/>
      <c r="GF972"/>
      <c r="GG972"/>
      <c r="GH972"/>
      <c r="GI972"/>
      <c r="GJ972"/>
      <c r="GK972"/>
      <c r="GL972"/>
      <c r="GM972"/>
      <c r="GN972"/>
      <c r="GO972"/>
      <c r="GP972"/>
      <c r="GQ972"/>
      <c r="GR972"/>
      <c r="GS972"/>
      <c r="GT972"/>
      <c r="GU972"/>
      <c r="GV972"/>
      <c r="GW972"/>
      <c r="GX972"/>
      <c r="GY972"/>
      <c r="GZ972"/>
      <c r="HA972"/>
      <c r="HB972"/>
      <c r="HC972"/>
      <c r="HD972"/>
      <c r="HE972"/>
      <c r="HF972"/>
      <c r="HG972"/>
      <c r="HH972"/>
      <c r="HI972"/>
      <c r="HJ972"/>
      <c r="HK972"/>
      <c r="HL972"/>
      <c r="HM972"/>
      <c r="HN972"/>
      <c r="HO972"/>
      <c r="HP972"/>
      <c r="HQ972"/>
      <c r="HR972"/>
      <c r="HS972"/>
      <c r="HT972"/>
      <c r="HU972"/>
      <c r="HV972"/>
      <c r="HW972"/>
      <c r="HX972"/>
      <c r="HY972"/>
      <c r="HZ972"/>
      <c r="IA972"/>
      <c r="IB972"/>
      <c r="IC972"/>
      <c r="ID972"/>
      <c r="IE972"/>
      <c r="IF972"/>
      <c r="IG972"/>
      <c r="IH972"/>
      <c r="II972"/>
      <c r="IJ972"/>
      <c r="IK972"/>
      <c r="IL972"/>
      <c r="IM972"/>
      <c r="IN972"/>
      <c r="IO972"/>
      <c r="IP972"/>
      <c r="IQ972"/>
    </row>
    <row r="973" spans="1:251" s="607" customFormat="1" ht="27" customHeight="1" x14ac:dyDescent="0.2">
      <c r="A973" s="726"/>
      <c r="B973" s="1114" t="s">
        <v>1463</v>
      </c>
      <c r="C973" s="874">
        <v>0</v>
      </c>
      <c r="D973" s="874">
        <v>0</v>
      </c>
      <c r="E973" s="1218"/>
      <c r="F973" s="1163"/>
      <c r="G973" s="825"/>
      <c r="H973" s="1244"/>
      <c r="I973" s="1257"/>
    </row>
    <row r="974" spans="1:251" s="607" customFormat="1" ht="27" customHeight="1" x14ac:dyDescent="0.2">
      <c r="A974" s="739">
        <v>4351</v>
      </c>
      <c r="B974" s="1115" t="s">
        <v>1086</v>
      </c>
      <c r="C974" s="862">
        <v>15000</v>
      </c>
      <c r="D974" s="862">
        <v>15000</v>
      </c>
      <c r="E974" s="707"/>
      <c r="F974" s="707"/>
      <c r="G974" s="1243"/>
      <c r="H974" s="1248"/>
      <c r="I974" s="1258"/>
    </row>
    <row r="975" spans="1:251" s="607" customFormat="1" ht="27" customHeight="1" x14ac:dyDescent="0.2">
      <c r="A975" s="739">
        <v>4374</v>
      </c>
      <c r="B975" s="1115" t="s">
        <v>759</v>
      </c>
      <c r="C975" s="862">
        <f t="shared" ref="C975:D975" si="117">C976</f>
        <v>940000</v>
      </c>
      <c r="D975" s="862">
        <f t="shared" si="117"/>
        <v>940000</v>
      </c>
      <c r="E975" s="707"/>
      <c r="F975" s="707"/>
      <c r="G975" s="1243"/>
      <c r="H975" s="1248"/>
      <c r="I975" s="1258"/>
    </row>
    <row r="976" spans="1:251" s="607" customFormat="1" ht="27" customHeight="1" x14ac:dyDescent="0.2">
      <c r="A976" s="726"/>
      <c r="B976" s="1114" t="s">
        <v>1087</v>
      </c>
      <c r="C976" s="983">
        <f t="shared" ref="C976:D976" si="118">C977+C978</f>
        <v>940000</v>
      </c>
      <c r="D976" s="983">
        <f t="shared" si="118"/>
        <v>940000</v>
      </c>
      <c r="E976" s="707"/>
      <c r="F976" s="707"/>
      <c r="G976" s="1243"/>
      <c r="H976" s="1248"/>
      <c r="I976" s="1258"/>
    </row>
    <row r="977" spans="1:251" s="607" customFormat="1" ht="27" customHeight="1" x14ac:dyDescent="0.2">
      <c r="A977" s="726">
        <v>800</v>
      </c>
      <c r="B977" s="1114" t="s">
        <v>1464</v>
      </c>
      <c r="C977" s="874">
        <v>800000</v>
      </c>
      <c r="D977" s="874">
        <v>800000</v>
      </c>
      <c r="E977" s="707"/>
      <c r="F977" s="707"/>
      <c r="G977" s="1243"/>
      <c r="H977" s="1248"/>
      <c r="I977" s="1258"/>
    </row>
    <row r="978" spans="1:251" ht="27" customHeight="1" x14ac:dyDescent="0.2">
      <c r="A978" s="739"/>
      <c r="B978" s="1057" t="s">
        <v>1136</v>
      </c>
      <c r="C978" s="983">
        <v>140000</v>
      </c>
      <c r="D978" s="983">
        <v>140000</v>
      </c>
      <c r="E978" s="735"/>
      <c r="F978" s="735"/>
      <c r="G978" s="1243"/>
      <c r="H978" s="1248"/>
      <c r="I978" s="125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c r="DC978"/>
      <c r="DD978"/>
      <c r="DE978"/>
      <c r="DF978"/>
      <c r="DG978"/>
      <c r="DH978"/>
      <c r="DI978"/>
      <c r="DJ978"/>
      <c r="DK978"/>
      <c r="DL978"/>
      <c r="DM978"/>
      <c r="DN978"/>
      <c r="DO978"/>
      <c r="DP978"/>
      <c r="DQ978"/>
      <c r="DR978"/>
      <c r="DS978"/>
      <c r="DT978"/>
      <c r="DU978"/>
      <c r="DV978"/>
      <c r="DW978"/>
      <c r="DX978"/>
      <c r="DY978"/>
      <c r="DZ978"/>
      <c r="EA978"/>
      <c r="EB978"/>
      <c r="EC978"/>
      <c r="ED978"/>
      <c r="EE978"/>
      <c r="EF978"/>
      <c r="EG978"/>
      <c r="EH978"/>
      <c r="EI978"/>
      <c r="EJ978"/>
      <c r="EK978"/>
      <c r="EL978"/>
      <c r="EM978"/>
      <c r="EN978"/>
      <c r="EO978"/>
      <c r="EP978"/>
      <c r="EQ978"/>
      <c r="ER978"/>
      <c r="ES978"/>
      <c r="ET978"/>
      <c r="EU978"/>
      <c r="EV978"/>
      <c r="EW978"/>
      <c r="EX978"/>
      <c r="EY978"/>
      <c r="EZ978"/>
      <c r="FA978"/>
      <c r="FB978"/>
      <c r="FC978"/>
      <c r="FD978"/>
      <c r="FE978"/>
      <c r="FF978"/>
      <c r="FG978"/>
      <c r="FH978"/>
      <c r="FI978"/>
      <c r="FJ978"/>
      <c r="FK978"/>
      <c r="FL978"/>
      <c r="FM978"/>
      <c r="FN978"/>
      <c r="FO978"/>
      <c r="FP978"/>
      <c r="FQ978"/>
      <c r="FR978"/>
      <c r="FS978"/>
      <c r="FT978"/>
      <c r="FU978"/>
      <c r="FV978"/>
      <c r="FW978"/>
      <c r="FX978"/>
      <c r="FY978"/>
      <c r="FZ978"/>
      <c r="GA978"/>
      <c r="GB978"/>
      <c r="GC978"/>
      <c r="GD978"/>
      <c r="GE978"/>
      <c r="GF978"/>
      <c r="GG978"/>
      <c r="GH978"/>
      <c r="GI978"/>
      <c r="GJ978"/>
      <c r="GK978"/>
      <c r="GL978"/>
      <c r="GM978"/>
      <c r="GN978"/>
      <c r="GO978"/>
      <c r="GP978"/>
      <c r="GQ978"/>
      <c r="GR978"/>
      <c r="GS978"/>
      <c r="GT978"/>
      <c r="GU978"/>
      <c r="GV978"/>
      <c r="GW978"/>
      <c r="GX978"/>
      <c r="GY978"/>
      <c r="GZ978"/>
      <c r="HA978"/>
      <c r="HB978"/>
      <c r="HC978"/>
      <c r="HD978"/>
      <c r="HE978"/>
      <c r="HF978"/>
      <c r="HG978"/>
      <c r="HH978"/>
      <c r="HI978"/>
      <c r="HJ978"/>
      <c r="HK978"/>
      <c r="HL978"/>
      <c r="HM978"/>
      <c r="HN978"/>
      <c r="HO978"/>
      <c r="HP978"/>
      <c r="HQ978"/>
      <c r="HR978"/>
      <c r="HS978"/>
      <c r="HT978"/>
      <c r="HU978"/>
      <c r="HV978"/>
      <c r="HW978"/>
      <c r="HX978"/>
      <c r="HY978"/>
      <c r="HZ978"/>
      <c r="IA978"/>
      <c r="IB978"/>
      <c r="IC978"/>
      <c r="ID978"/>
      <c r="IE978"/>
      <c r="IF978"/>
      <c r="IG978"/>
      <c r="IH978"/>
      <c r="II978"/>
      <c r="IJ978"/>
      <c r="IK978"/>
      <c r="IL978"/>
      <c r="IM978"/>
      <c r="IN978"/>
      <c r="IO978"/>
      <c r="IP978"/>
      <c r="IQ978"/>
    </row>
    <row r="979" spans="1:251" ht="27" customHeight="1" x14ac:dyDescent="0.2">
      <c r="A979" s="739">
        <v>6171</v>
      </c>
      <c r="B979" s="1116" t="s">
        <v>975</v>
      </c>
      <c r="C979" s="940">
        <f t="shared" ref="C979:D979" si="119">SUM(C980:C985)</f>
        <v>1530000</v>
      </c>
      <c r="D979" s="940">
        <f t="shared" si="119"/>
        <v>1530000</v>
      </c>
      <c r="E979" s="707"/>
      <c r="F979" s="707"/>
      <c r="G979" s="1243"/>
      <c r="H979" s="1248"/>
      <c r="I979" s="1258"/>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c r="CU979"/>
      <c r="CV979"/>
      <c r="CW979"/>
      <c r="CX979"/>
      <c r="CY979"/>
      <c r="CZ979"/>
      <c r="DA979"/>
      <c r="DB979"/>
      <c r="DC979"/>
      <c r="DD979"/>
      <c r="DE979"/>
      <c r="DF979"/>
      <c r="DG979"/>
      <c r="DH979"/>
      <c r="DI979"/>
      <c r="DJ979"/>
      <c r="DK979"/>
      <c r="DL979"/>
      <c r="DM979"/>
      <c r="DN979"/>
      <c r="DO979"/>
      <c r="DP979"/>
      <c r="DQ979"/>
      <c r="DR979"/>
      <c r="DS979"/>
      <c r="DT979"/>
      <c r="DU979"/>
      <c r="DV979"/>
      <c r="DW979"/>
      <c r="DX979"/>
      <c r="DY979"/>
      <c r="DZ979"/>
      <c r="EA979"/>
      <c r="EB979"/>
      <c r="EC979"/>
      <c r="ED979"/>
      <c r="EE979"/>
      <c r="EF979"/>
      <c r="EG979"/>
      <c r="EH979"/>
      <c r="EI979"/>
      <c r="EJ979"/>
      <c r="EK979"/>
      <c r="EL979"/>
      <c r="EM979"/>
      <c r="EN979"/>
      <c r="EO979"/>
      <c r="EP979"/>
      <c r="EQ979"/>
      <c r="ER979"/>
      <c r="ES979"/>
      <c r="ET979"/>
      <c r="EU979"/>
      <c r="EV979"/>
      <c r="EW979"/>
      <c r="EX979"/>
      <c r="EY979"/>
      <c r="EZ979"/>
      <c r="FA979"/>
      <c r="FB979"/>
      <c r="FC979"/>
      <c r="FD979"/>
      <c r="FE979"/>
      <c r="FF979"/>
      <c r="FG979"/>
      <c r="FH979"/>
      <c r="FI979"/>
      <c r="FJ979"/>
      <c r="FK979"/>
      <c r="FL979"/>
      <c r="FM979"/>
      <c r="FN979"/>
      <c r="FO979"/>
      <c r="FP979"/>
      <c r="FQ979"/>
      <c r="FR979"/>
      <c r="FS979"/>
      <c r="FT979"/>
      <c r="FU979"/>
      <c r="FV979"/>
      <c r="FW979"/>
      <c r="FX979"/>
      <c r="FY979"/>
      <c r="FZ979"/>
      <c r="GA979"/>
      <c r="GB979"/>
      <c r="GC979"/>
      <c r="GD979"/>
      <c r="GE979"/>
      <c r="GF979"/>
      <c r="GG979"/>
      <c r="GH979"/>
      <c r="GI979"/>
      <c r="GJ979"/>
      <c r="GK979"/>
      <c r="GL979"/>
      <c r="GM979"/>
      <c r="GN979"/>
      <c r="GO979"/>
      <c r="GP979"/>
      <c r="GQ979"/>
      <c r="GR979"/>
      <c r="GS979"/>
      <c r="GT979"/>
      <c r="GU979"/>
      <c r="GV979"/>
      <c r="GW979"/>
      <c r="GX979"/>
      <c r="GY979"/>
      <c r="GZ979"/>
      <c r="HA979"/>
      <c r="HB979"/>
      <c r="HC979"/>
      <c r="HD979"/>
      <c r="HE979"/>
      <c r="HF979"/>
      <c r="HG979"/>
      <c r="HH979"/>
      <c r="HI979"/>
      <c r="HJ979"/>
      <c r="HK979"/>
      <c r="HL979"/>
      <c r="HM979"/>
      <c r="HN979"/>
      <c r="HO979"/>
      <c r="HP979"/>
      <c r="HQ979"/>
      <c r="HR979"/>
      <c r="HS979"/>
      <c r="HT979"/>
      <c r="HU979"/>
      <c r="HV979"/>
      <c r="HW979"/>
      <c r="HX979"/>
      <c r="HY979"/>
      <c r="HZ979"/>
      <c r="IA979"/>
      <c r="IB979"/>
      <c r="IC979"/>
      <c r="ID979"/>
      <c r="IE979"/>
      <c r="IF979"/>
      <c r="IG979"/>
      <c r="IH979"/>
      <c r="II979"/>
      <c r="IJ979"/>
      <c r="IK979"/>
      <c r="IL979"/>
      <c r="IM979"/>
      <c r="IN979"/>
      <c r="IO979"/>
      <c r="IP979"/>
      <c r="IQ979"/>
    </row>
    <row r="980" spans="1:251" s="607" customFormat="1" ht="27" customHeight="1" x14ac:dyDescent="0.2">
      <c r="A980" s="739"/>
      <c r="B980" s="1057" t="s">
        <v>976</v>
      </c>
      <c r="C980" s="983">
        <v>0</v>
      </c>
      <c r="D980" s="983">
        <v>0</v>
      </c>
      <c r="E980" s="1218"/>
      <c r="F980" s="1163"/>
      <c r="G980" s="825"/>
      <c r="H980" s="1244"/>
      <c r="I980" s="1257"/>
    </row>
    <row r="981" spans="1:251" s="607" customFormat="1" ht="27" customHeight="1" x14ac:dyDescent="0.2">
      <c r="A981" s="881"/>
      <c r="B981" s="1109" t="s">
        <v>1465</v>
      </c>
      <c r="C981" s="1117">
        <v>300000</v>
      </c>
      <c r="D981" s="1117">
        <v>300000</v>
      </c>
      <c r="E981" s="707"/>
      <c r="F981" s="707"/>
      <c r="G981" s="1243"/>
      <c r="H981" s="1248"/>
      <c r="I981" s="1258"/>
    </row>
    <row r="982" spans="1:251" s="607" customFormat="1" ht="27" customHeight="1" x14ac:dyDescent="0.2">
      <c r="A982" s="743"/>
      <c r="B982" s="1118" t="s">
        <v>1714</v>
      </c>
      <c r="C982" s="983">
        <v>180000</v>
      </c>
      <c r="D982" s="983">
        <v>180000</v>
      </c>
      <c r="E982" s="707"/>
      <c r="F982" s="707"/>
      <c r="G982" s="1243"/>
      <c r="H982" s="1248"/>
      <c r="I982" s="1258"/>
    </row>
    <row r="983" spans="1:251" s="607" customFormat="1" ht="27" customHeight="1" x14ac:dyDescent="0.2">
      <c r="A983" s="726"/>
      <c r="B983" s="1057" t="s">
        <v>1088</v>
      </c>
      <c r="C983" s="983">
        <v>500000</v>
      </c>
      <c r="D983" s="983">
        <v>500000</v>
      </c>
      <c r="E983" s="707"/>
      <c r="F983" s="707"/>
      <c r="G983" s="1243"/>
      <c r="H983" s="1248"/>
      <c r="I983" s="1258"/>
    </row>
    <row r="984" spans="1:251" s="607" customFormat="1" ht="27" customHeight="1" x14ac:dyDescent="0.2">
      <c r="A984" s="743"/>
      <c r="B984" s="1119" t="s">
        <v>1466</v>
      </c>
      <c r="C984" s="999">
        <v>300000</v>
      </c>
      <c r="D984" s="999">
        <v>300000</v>
      </c>
      <c r="E984" s="707"/>
      <c r="F984" s="707"/>
      <c r="G984" s="1243"/>
      <c r="H984" s="1248"/>
      <c r="I984" s="1258"/>
    </row>
    <row r="985" spans="1:251" s="607" customFormat="1" ht="27" customHeight="1" x14ac:dyDescent="0.2">
      <c r="A985" s="882"/>
      <c r="B985" s="1120" t="s">
        <v>1715</v>
      </c>
      <c r="C985" s="960">
        <v>250000</v>
      </c>
      <c r="D985" s="960">
        <v>250000</v>
      </c>
      <c r="E985" s="735"/>
      <c r="F985" s="735"/>
      <c r="G985" s="1243"/>
      <c r="H985" s="1248"/>
      <c r="I985" s="1258"/>
    </row>
    <row r="986" spans="1:251" s="607" customFormat="1" ht="27" customHeight="1" thickBot="1" x14ac:dyDescent="0.25">
      <c r="A986" s="1177"/>
      <c r="B986" s="1121"/>
      <c r="C986" s="1178"/>
      <c r="D986" s="1178"/>
      <c r="E986" s="1142"/>
      <c r="F986" s="1142"/>
      <c r="G986" s="1142"/>
      <c r="H986" s="1142"/>
      <c r="I986" s="1371"/>
    </row>
    <row r="987" spans="1:251" s="664" customFormat="1" ht="27" customHeight="1" thickBot="1" x14ac:dyDescent="0.35">
      <c r="A987" s="772"/>
      <c r="B987" s="814" t="s">
        <v>52</v>
      </c>
      <c r="C987" s="945">
        <f t="shared" ref="C987:D987" si="120">SUM(C988+C993+C995)</f>
        <v>350000</v>
      </c>
      <c r="D987" s="945">
        <f t="shared" si="120"/>
        <v>350000</v>
      </c>
      <c r="E987" s="1372"/>
      <c r="F987" s="1373"/>
      <c r="G987" s="1284"/>
      <c r="H987" s="1284"/>
      <c r="I987" s="1285"/>
      <c r="IJ987" s="116"/>
      <c r="IK987" s="116"/>
      <c r="IL987" s="116"/>
      <c r="IM987" s="116"/>
      <c r="IN987" s="116"/>
      <c r="IO987" s="116"/>
      <c r="IP987" s="116"/>
    </row>
    <row r="988" spans="1:251" s="664" customFormat="1" ht="27" customHeight="1" x14ac:dyDescent="0.2">
      <c r="A988" s="773">
        <v>2169</v>
      </c>
      <c r="B988" s="785" t="s">
        <v>1393</v>
      </c>
      <c r="C988" s="870">
        <f t="shared" ref="C988:D988" si="121">SUM(C989:C992)</f>
        <v>250000</v>
      </c>
      <c r="D988" s="870">
        <f t="shared" si="121"/>
        <v>205000</v>
      </c>
      <c r="E988" s="1218"/>
      <c r="F988" s="1163"/>
      <c r="G988" s="825"/>
      <c r="H988" s="1244"/>
      <c r="I988" s="1257"/>
      <c r="IJ988" s="116"/>
      <c r="IK988" s="116"/>
      <c r="IL988" s="116"/>
      <c r="IM988" s="116"/>
      <c r="IN988" s="116"/>
      <c r="IO988" s="116"/>
      <c r="IP988" s="116"/>
    </row>
    <row r="989" spans="1:251" s="664" customFormat="1" ht="27" customHeight="1" x14ac:dyDescent="0.2">
      <c r="A989" s="773"/>
      <c r="B989" s="788" t="s">
        <v>982</v>
      </c>
      <c r="C989" s="871">
        <v>47000</v>
      </c>
      <c r="D989" s="871">
        <v>47000</v>
      </c>
      <c r="E989" s="1163"/>
      <c r="F989" s="1163"/>
      <c r="G989" s="1243"/>
      <c r="H989" s="1248"/>
      <c r="I989" s="1258"/>
      <c r="IJ989" s="116"/>
      <c r="IK989" s="116"/>
      <c r="IL989" s="116"/>
      <c r="IM989" s="116"/>
      <c r="IN989" s="116"/>
      <c r="IO989" s="116"/>
      <c r="IP989" s="116"/>
    </row>
    <row r="990" spans="1:251" s="664" customFormat="1" ht="27" customHeight="1" x14ac:dyDescent="0.2">
      <c r="A990" s="773"/>
      <c r="B990" s="788" t="s">
        <v>983</v>
      </c>
      <c r="C990" s="871">
        <v>200000</v>
      </c>
      <c r="D990" s="871">
        <f>200000-45000</f>
        <v>155000</v>
      </c>
      <c r="E990" s="1163"/>
      <c r="F990" s="1163"/>
      <c r="G990" s="1243"/>
      <c r="H990" s="1248"/>
      <c r="I990" s="1258"/>
      <c r="IJ990" s="116"/>
      <c r="IK990" s="116"/>
      <c r="IL990" s="116"/>
      <c r="IM990" s="116"/>
      <c r="IN990" s="116"/>
      <c r="IO990" s="116"/>
      <c r="IP990" s="116"/>
    </row>
    <row r="991" spans="1:251" s="664" customFormat="1" ht="27" customHeight="1" x14ac:dyDescent="0.2">
      <c r="A991" s="773"/>
      <c r="B991" s="788" t="s">
        <v>1411</v>
      </c>
      <c r="C991" s="871">
        <v>0</v>
      </c>
      <c r="D991" s="871">
        <v>0</v>
      </c>
      <c r="E991" s="1163"/>
      <c r="F991" s="1163"/>
      <c r="G991" s="1243"/>
      <c r="H991" s="1248"/>
      <c r="I991" s="1258"/>
      <c r="IJ991" s="116"/>
      <c r="IK991" s="116"/>
      <c r="IL991" s="116"/>
      <c r="IM991" s="116"/>
      <c r="IN991" s="116"/>
      <c r="IO991" s="116"/>
      <c r="IP991" s="116"/>
    </row>
    <row r="992" spans="1:251" s="664" customFormat="1" ht="27" customHeight="1" x14ac:dyDescent="0.2">
      <c r="A992" s="773"/>
      <c r="B992" s="788" t="s">
        <v>984</v>
      </c>
      <c r="C992" s="871">
        <v>3000</v>
      </c>
      <c r="D992" s="871">
        <v>3000</v>
      </c>
      <c r="E992" s="1163"/>
      <c r="F992" s="1163"/>
      <c r="G992" s="1243"/>
      <c r="H992" s="1248"/>
      <c r="I992" s="1258"/>
      <c r="IJ992" s="116"/>
      <c r="IK992" s="116"/>
      <c r="IL992" s="116"/>
      <c r="IM992" s="116"/>
      <c r="IN992" s="116"/>
      <c r="IO992" s="116"/>
      <c r="IP992" s="116"/>
    </row>
    <row r="993" spans="1:250" s="664" customFormat="1" ht="27" customHeight="1" x14ac:dyDescent="0.2">
      <c r="A993" s="713">
        <v>3635</v>
      </c>
      <c r="B993" s="760" t="s">
        <v>986</v>
      </c>
      <c r="C993" s="701">
        <f t="shared" ref="C993:D993" si="122">SUM(C994:C994)</f>
        <v>100000</v>
      </c>
      <c r="D993" s="701">
        <f t="shared" si="122"/>
        <v>145000</v>
      </c>
      <c r="E993" s="701"/>
      <c r="F993" s="707"/>
      <c r="G993" s="825"/>
      <c r="H993" s="1244"/>
      <c r="I993" s="1257"/>
      <c r="IJ993" s="116"/>
      <c r="IK993" s="116"/>
      <c r="IL993" s="116"/>
      <c r="IM993" s="116"/>
      <c r="IN993" s="116"/>
      <c r="IO993" s="116"/>
      <c r="IP993" s="116"/>
    </row>
    <row r="994" spans="1:250" s="664" customFormat="1" ht="27" customHeight="1" thickBot="1" x14ac:dyDescent="0.25">
      <c r="A994" s="728"/>
      <c r="B994" s="761" t="s">
        <v>1706</v>
      </c>
      <c r="C994" s="871">
        <v>100000</v>
      </c>
      <c r="D994" s="871">
        <f>100000+45000</f>
        <v>145000</v>
      </c>
      <c r="E994" s="1163"/>
      <c r="F994" s="1163"/>
      <c r="G994" s="1243"/>
      <c r="H994" s="1248"/>
      <c r="I994" s="1258"/>
      <c r="IJ994" s="116"/>
      <c r="IK994" s="116"/>
      <c r="IL994" s="116"/>
      <c r="IM994" s="116"/>
      <c r="IN994" s="116"/>
      <c r="IO994" s="116"/>
      <c r="IP994" s="116"/>
    </row>
    <row r="995" spans="1:250" s="664" customFormat="1" ht="27" customHeight="1" thickBot="1" x14ac:dyDescent="0.3">
      <c r="A995" s="775"/>
      <c r="B995" s="787" t="s">
        <v>991</v>
      </c>
      <c r="C995" s="1455">
        <f t="shared" ref="C995:D995" si="123">C996</f>
        <v>0</v>
      </c>
      <c r="D995" s="1455">
        <f t="shared" si="123"/>
        <v>0</v>
      </c>
      <c r="E995" s="1374"/>
      <c r="F995" s="1375"/>
      <c r="G995" s="1237"/>
      <c r="H995" s="1237"/>
      <c r="I995" s="1253"/>
      <c r="IJ995" s="116"/>
      <c r="IK995" s="116"/>
      <c r="IL995" s="116"/>
      <c r="IM995" s="116"/>
      <c r="IN995" s="116"/>
      <c r="IO995" s="116"/>
      <c r="IP995" s="116"/>
    </row>
    <row r="996" spans="1:250" s="664" customFormat="1" ht="27" customHeight="1" x14ac:dyDescent="0.2">
      <c r="A996" s="732">
        <v>3699</v>
      </c>
      <c r="B996" s="785" t="s">
        <v>1394</v>
      </c>
      <c r="C996" s="870">
        <v>0</v>
      </c>
      <c r="D996" s="870">
        <v>0</v>
      </c>
      <c r="E996" s="1218"/>
      <c r="F996" s="1163"/>
      <c r="G996" s="825"/>
      <c r="H996" s="1244"/>
      <c r="I996" s="1257"/>
      <c r="IJ996" s="116"/>
      <c r="IK996" s="116"/>
      <c r="IL996" s="116"/>
      <c r="IM996" s="116"/>
      <c r="IN996" s="116"/>
      <c r="IO996" s="116"/>
      <c r="IP996" s="116"/>
    </row>
    <row r="997" spans="1:250" s="674" customFormat="1" ht="27" customHeight="1" thickBot="1" x14ac:dyDescent="0.25">
      <c r="A997" s="733"/>
      <c r="B997" s="815"/>
      <c r="C997" s="708"/>
      <c r="D997" s="708"/>
      <c r="E997" s="708"/>
      <c r="F997" s="708"/>
      <c r="G997" s="708"/>
      <c r="H997" s="708"/>
      <c r="I997" s="1376"/>
      <c r="IJ997" s="1"/>
      <c r="IK997" s="1"/>
      <c r="IL997" s="1"/>
      <c r="IM997" s="1"/>
      <c r="IN997" s="1"/>
      <c r="IO997" s="1"/>
      <c r="IP997" s="1"/>
    </row>
    <row r="998" spans="1:250" s="289" customFormat="1" ht="27" customHeight="1" thickBot="1" x14ac:dyDescent="0.35">
      <c r="A998" s="776"/>
      <c r="B998" s="816" t="s">
        <v>54</v>
      </c>
      <c r="C998" s="1456">
        <f t="shared" ref="C998:D998" si="124">C999+C1000+C1003+C1004+C1005+C1006+C1007+C1008+C1011+C1020</f>
        <v>36990000</v>
      </c>
      <c r="D998" s="1456">
        <f t="shared" si="124"/>
        <v>81810309.319999993</v>
      </c>
      <c r="E998" s="1344"/>
      <c r="F998" s="1267"/>
      <c r="G998" s="1284"/>
      <c r="H998" s="1284"/>
      <c r="I998" s="1297"/>
    </row>
    <row r="999" spans="1:250" s="682" customFormat="1" ht="27" customHeight="1" x14ac:dyDescent="0.2">
      <c r="A999" s="777" t="s">
        <v>1409</v>
      </c>
      <c r="B999" s="721" t="s">
        <v>1405</v>
      </c>
      <c r="C999" s="706">
        <v>0</v>
      </c>
      <c r="D999" s="706">
        <v>0</v>
      </c>
      <c r="E999" s="1218"/>
      <c r="F999" s="1163"/>
      <c r="G999" s="825"/>
      <c r="H999" s="1244"/>
      <c r="I999" s="1257"/>
    </row>
    <row r="1000" spans="1:250" s="116" customFormat="1" ht="27" customHeight="1" x14ac:dyDescent="0.2">
      <c r="A1000" s="725">
        <v>3113</v>
      </c>
      <c r="B1000" s="760" t="s">
        <v>1160</v>
      </c>
      <c r="C1000" s="1218">
        <f>C1001+C1002</f>
        <v>0</v>
      </c>
      <c r="D1000" s="1218">
        <f>D1001+D1002</f>
        <v>770594.41</v>
      </c>
      <c r="E1000" s="1218"/>
      <c r="F1000" s="1163"/>
      <c r="G1000" s="825"/>
      <c r="H1000" s="1244"/>
      <c r="I1000" s="1257"/>
    </row>
    <row r="1001" spans="1:250" s="116" customFormat="1" ht="27" customHeight="1" x14ac:dyDescent="0.2">
      <c r="A1001" s="713"/>
      <c r="B1001" s="790" t="s">
        <v>2034</v>
      </c>
      <c r="C1001" s="871">
        <v>0</v>
      </c>
      <c r="D1001" s="871">
        <f>(237967.57+45260.34+71092.03+416274.47)</f>
        <v>770594.41</v>
      </c>
      <c r="E1001" s="1163"/>
      <c r="F1001" s="1163"/>
      <c r="G1001" s="1243"/>
      <c r="H1001" s="1248"/>
      <c r="I1001" s="1258"/>
    </row>
    <row r="1002" spans="1:250" s="116" customFormat="1" ht="27" customHeight="1" x14ac:dyDescent="0.2">
      <c r="A1002" s="713"/>
      <c r="B1002" s="790" t="s">
        <v>1948</v>
      </c>
      <c r="C1002" s="1163">
        <v>0</v>
      </c>
      <c r="D1002" s="1163">
        <v>0</v>
      </c>
      <c r="E1002" s="1218"/>
      <c r="F1002" s="1163"/>
      <c r="G1002" s="825"/>
      <c r="H1002" s="1244"/>
      <c r="I1002" s="1257"/>
    </row>
    <row r="1003" spans="1:250" s="116" customFormat="1" ht="27" customHeight="1" x14ac:dyDescent="0.2">
      <c r="A1003" s="713">
        <v>3612</v>
      </c>
      <c r="B1003" s="762" t="s">
        <v>1408</v>
      </c>
      <c r="C1003" s="870">
        <v>800000</v>
      </c>
      <c r="D1003" s="870">
        <v>800000</v>
      </c>
      <c r="E1003" s="1218"/>
      <c r="F1003" s="1163"/>
      <c r="G1003" s="825"/>
      <c r="H1003" s="1244"/>
      <c r="I1003" s="1257"/>
    </row>
    <row r="1004" spans="1:250" s="116" customFormat="1" ht="27" customHeight="1" x14ac:dyDescent="0.2">
      <c r="A1004" s="713">
        <v>3634</v>
      </c>
      <c r="B1004" s="760" t="s">
        <v>1406</v>
      </c>
      <c r="C1004" s="870">
        <v>0</v>
      </c>
      <c r="D1004" s="870">
        <v>0</v>
      </c>
      <c r="E1004" s="1218"/>
      <c r="F1004" s="1163"/>
      <c r="G1004" s="825"/>
      <c r="H1004" s="1244"/>
      <c r="I1004" s="1257"/>
    </row>
    <row r="1005" spans="1:250" s="682" customFormat="1" ht="27" customHeight="1" x14ac:dyDescent="0.2">
      <c r="A1005" s="842" t="s">
        <v>1711</v>
      </c>
      <c r="B1005" s="785" t="s">
        <v>1395</v>
      </c>
      <c r="C1005" s="870">
        <v>250000</v>
      </c>
      <c r="D1005" s="870">
        <v>250000</v>
      </c>
      <c r="E1005" s="1218"/>
      <c r="F1005" s="1163"/>
      <c r="G1005" s="825"/>
      <c r="H1005" s="1244"/>
      <c r="I1005" s="1257"/>
    </row>
    <row r="1006" spans="1:250" ht="27" customHeight="1" x14ac:dyDescent="0.2">
      <c r="A1006" s="713">
        <v>6171</v>
      </c>
      <c r="B1006" s="817" t="s">
        <v>1396</v>
      </c>
      <c r="C1006" s="870">
        <v>100000</v>
      </c>
      <c r="D1006" s="870">
        <v>100000</v>
      </c>
      <c r="E1006" s="1218"/>
      <c r="F1006" s="1163"/>
      <c r="G1006" s="825"/>
      <c r="H1006" s="1244"/>
      <c r="I1006" s="1257"/>
    </row>
    <row r="1007" spans="1:250" ht="27" customHeight="1" x14ac:dyDescent="0.2">
      <c r="A1007" s="713">
        <v>6310</v>
      </c>
      <c r="B1007" s="760" t="s">
        <v>1397</v>
      </c>
      <c r="C1007" s="870">
        <v>400000</v>
      </c>
      <c r="D1007" s="870">
        <v>400000</v>
      </c>
      <c r="E1007" s="701"/>
      <c r="F1007" s="707"/>
      <c r="G1007" s="825"/>
      <c r="H1007" s="1244"/>
      <c r="I1007" s="1257"/>
    </row>
    <row r="1008" spans="1:250" ht="27" customHeight="1" x14ac:dyDescent="0.2">
      <c r="A1008" s="713">
        <v>6399</v>
      </c>
      <c r="B1008" s="760" t="s">
        <v>1005</v>
      </c>
      <c r="C1008" s="701">
        <f t="shared" ref="C1008:D1008" si="125">SUM(C1009:C1010)</f>
        <v>32000000</v>
      </c>
      <c r="D1008" s="701">
        <f t="shared" si="125"/>
        <v>48435050</v>
      </c>
      <c r="E1008" s="699"/>
      <c r="F1008" s="699"/>
      <c r="G1008" s="1243"/>
      <c r="H1008" s="1248"/>
      <c r="I1008" s="1258"/>
    </row>
    <row r="1009" spans="1:9" ht="27" customHeight="1" x14ac:dyDescent="0.2">
      <c r="A1009" s="728"/>
      <c r="B1009" s="761" t="s">
        <v>1398</v>
      </c>
      <c r="C1009" s="699">
        <v>30000000</v>
      </c>
      <c r="D1009" s="699">
        <f>30000000+16435050</f>
        <v>46435050</v>
      </c>
      <c r="E1009" s="1163"/>
      <c r="F1009" s="1163"/>
      <c r="G1009" s="1243"/>
      <c r="H1009" s="1248"/>
      <c r="I1009" s="1258"/>
    </row>
    <row r="1010" spans="1:9" ht="27" customHeight="1" x14ac:dyDescent="0.2">
      <c r="A1010" s="728"/>
      <c r="B1010" s="761" t="s">
        <v>1702</v>
      </c>
      <c r="C1010" s="871">
        <v>2000000</v>
      </c>
      <c r="D1010" s="871">
        <v>2000000</v>
      </c>
      <c r="E1010" s="701"/>
      <c r="F1010" s="707"/>
      <c r="G1010" s="825"/>
      <c r="H1010" s="1244"/>
      <c r="I1010" s="1257"/>
    </row>
    <row r="1011" spans="1:9" s="116" customFormat="1" ht="27" customHeight="1" x14ac:dyDescent="0.2">
      <c r="A1011" s="713">
        <v>6402</v>
      </c>
      <c r="B1011" s="760" t="s">
        <v>1008</v>
      </c>
      <c r="C1011" s="701">
        <f t="shared" ref="C1011:D1011" si="126">SUM(C1012:C1019)</f>
        <v>0</v>
      </c>
      <c r="D1011" s="701">
        <f t="shared" si="126"/>
        <v>109928</v>
      </c>
      <c r="E1011" s="1163"/>
      <c r="F1011" s="1163"/>
      <c r="G1011" s="1243"/>
      <c r="H1011" s="1248"/>
      <c r="I1011" s="1258"/>
    </row>
    <row r="1012" spans="1:9" s="2" customFormat="1" ht="27" customHeight="1" x14ac:dyDescent="0.2">
      <c r="A1012" s="712"/>
      <c r="B1012" s="762" t="s">
        <v>1707</v>
      </c>
      <c r="C1012" s="871">
        <v>0</v>
      </c>
      <c r="D1012" s="871">
        <v>0</v>
      </c>
      <c r="E1012" s="1163"/>
      <c r="F1012" s="1163"/>
      <c r="G1012" s="1243"/>
      <c r="H1012" s="1248"/>
      <c r="I1012" s="1258"/>
    </row>
    <row r="1013" spans="1:9" s="2" customFormat="1" ht="27" customHeight="1" x14ac:dyDescent="0.2">
      <c r="A1013" s="712"/>
      <c r="B1013" s="762" t="s">
        <v>1708</v>
      </c>
      <c r="C1013" s="871">
        <v>0</v>
      </c>
      <c r="D1013" s="871">
        <v>0</v>
      </c>
      <c r="E1013" s="1163"/>
      <c r="F1013" s="1163"/>
      <c r="G1013" s="1243"/>
      <c r="H1013" s="1248"/>
      <c r="I1013" s="1258"/>
    </row>
    <row r="1014" spans="1:9" s="2" customFormat="1" ht="27" customHeight="1" x14ac:dyDescent="0.2">
      <c r="A1014" s="712"/>
      <c r="B1014" s="762" t="s">
        <v>2051</v>
      </c>
      <c r="C1014" s="871">
        <v>0</v>
      </c>
      <c r="D1014" s="871">
        <f>(5068.4+45615.6)</f>
        <v>50684</v>
      </c>
      <c r="E1014" s="1163"/>
      <c r="F1014" s="1163"/>
      <c r="G1014" s="1243"/>
      <c r="H1014" s="1248"/>
      <c r="I1014" s="1258"/>
    </row>
    <row r="1015" spans="1:9" s="2" customFormat="1" ht="27" customHeight="1" x14ac:dyDescent="0.2">
      <c r="A1015" s="712"/>
      <c r="B1015" s="762" t="s">
        <v>2054</v>
      </c>
      <c r="C1015" s="871">
        <v>0</v>
      </c>
      <c r="D1015" s="871">
        <f>(4089+36801)</f>
        <v>40890</v>
      </c>
      <c r="E1015" s="1163"/>
      <c r="F1015" s="1163"/>
      <c r="G1015" s="1243"/>
      <c r="H1015" s="1248"/>
      <c r="I1015" s="1258"/>
    </row>
    <row r="1016" spans="1:9" s="2" customFormat="1" ht="27" customHeight="1" x14ac:dyDescent="0.2">
      <c r="A1016" s="712"/>
      <c r="B1016" s="762" t="s">
        <v>2038</v>
      </c>
      <c r="C1016" s="871">
        <v>0</v>
      </c>
      <c r="D1016" s="871">
        <f>(1835.4+16518.6)</f>
        <v>18354</v>
      </c>
      <c r="E1016" s="1163"/>
      <c r="F1016" s="1163"/>
      <c r="G1016" s="1243"/>
      <c r="H1016" s="1248"/>
      <c r="I1016" s="1258"/>
    </row>
    <row r="1017" spans="1:9" s="2" customFormat="1" ht="27" customHeight="1" x14ac:dyDescent="0.2">
      <c r="A1017" s="712"/>
      <c r="B1017" s="818" t="s">
        <v>2037</v>
      </c>
      <c r="C1017" s="871">
        <v>0</v>
      </c>
      <c r="D1017" s="871">
        <v>0</v>
      </c>
      <c r="E1017" s="1163"/>
      <c r="F1017" s="1163"/>
      <c r="G1017" s="1243"/>
      <c r="H1017" s="1248"/>
      <c r="I1017" s="1258"/>
    </row>
    <row r="1018" spans="1:9" s="2" customFormat="1" ht="27" customHeight="1" x14ac:dyDescent="0.2">
      <c r="A1018" s="712"/>
      <c r="B1018" s="762" t="s">
        <v>1709</v>
      </c>
      <c r="C1018" s="871">
        <v>0</v>
      </c>
      <c r="D1018" s="871">
        <v>0</v>
      </c>
      <c r="E1018" s="701"/>
      <c r="F1018" s="707"/>
      <c r="G1018" s="825"/>
      <c r="H1018" s="1244"/>
      <c r="I1018" s="1257"/>
    </row>
    <row r="1019" spans="1:9" s="2" customFormat="1" ht="27" customHeight="1" x14ac:dyDescent="0.2">
      <c r="A1019" s="712"/>
      <c r="B1019" s="762" t="s">
        <v>1879</v>
      </c>
      <c r="C1019" s="871">
        <v>0</v>
      </c>
      <c r="D1019" s="871">
        <v>0</v>
      </c>
      <c r="E1019" s="709"/>
      <c r="F1019" s="709"/>
      <c r="G1019" s="1243"/>
      <c r="H1019" s="1248"/>
      <c r="I1019" s="1258"/>
    </row>
    <row r="1020" spans="1:9" s="289" customFormat="1" ht="27" customHeight="1" x14ac:dyDescent="0.25">
      <c r="A1020" s="713">
        <v>6409</v>
      </c>
      <c r="B1020" s="760" t="s">
        <v>1014</v>
      </c>
      <c r="C1020" s="701">
        <f t="shared" ref="C1020:D1020" si="127">SUM(C1021:C1023)</f>
        <v>3440000</v>
      </c>
      <c r="D1020" s="701">
        <f t="shared" si="127"/>
        <v>30944736.91</v>
      </c>
      <c r="E1020" s="744"/>
      <c r="F1020" s="744"/>
      <c r="G1020" s="1243"/>
      <c r="H1020" s="1248"/>
      <c r="I1020" s="1258"/>
    </row>
    <row r="1021" spans="1:9" s="116" customFormat="1" ht="27" customHeight="1" x14ac:dyDescent="0.2">
      <c r="A1021" s="745"/>
      <c r="B1021" s="764" t="s">
        <v>1877</v>
      </c>
      <c r="C1021" s="709">
        <f>3000000+361000-361000</f>
        <v>3000000</v>
      </c>
      <c r="D1021" s="709">
        <f>(3000000+361000-361000)-10000-15000-272932-3337434-192228+192228+319987.99-90488+289333-266805-96558+400000-348800+3226272.84-70000-59000+5514060+1548+5904137.5+1844214.7+1284-231352.61+21989-80000-134310+8862-313948-10000-150000+(-36900-30000)-5000-40000+(-1002336.01+943202.2)+16164266.27+13443.03-150000-250000-147000-75000</f>
        <v>30429736.91</v>
      </c>
      <c r="E1021" s="744"/>
      <c r="F1021" s="744"/>
      <c r="G1021" s="1243"/>
      <c r="H1021" s="1248"/>
      <c r="I1021" s="1258"/>
    </row>
    <row r="1022" spans="1:9" s="116" customFormat="1" ht="38.25" x14ac:dyDescent="0.2">
      <c r="A1022" s="753"/>
      <c r="B1022" s="819" t="s">
        <v>1399</v>
      </c>
      <c r="C1022" s="744">
        <v>440000</v>
      </c>
      <c r="D1022" s="744">
        <f>440000+75000</f>
        <v>515000</v>
      </c>
      <c r="E1022" s="744"/>
      <c r="F1022" s="744"/>
      <c r="G1022" s="1243"/>
      <c r="H1022" s="1248"/>
      <c r="I1022" s="1258"/>
    </row>
    <row r="1023" spans="1:9" s="116" customFormat="1" ht="27" customHeight="1" x14ac:dyDescent="0.2">
      <c r="A1023" s="1219" t="s">
        <v>1949</v>
      </c>
      <c r="B1023" s="766" t="s">
        <v>1710</v>
      </c>
      <c r="C1023" s="709">
        <v>0</v>
      </c>
      <c r="D1023" s="709">
        <v>0</v>
      </c>
      <c r="E1023" s="744"/>
      <c r="F1023" s="744"/>
      <c r="G1023" s="1243"/>
      <c r="H1023" s="1248"/>
      <c r="I1023" s="1258"/>
    </row>
    <row r="1024" spans="1:9" s="116" customFormat="1" ht="27" customHeight="1" thickBot="1" x14ac:dyDescent="0.25">
      <c r="A1024" s="746"/>
      <c r="B1024" s="867"/>
      <c r="C1024" s="866"/>
      <c r="D1024" s="866"/>
      <c r="E1024" s="711"/>
      <c r="F1024" s="711"/>
      <c r="G1024" s="711"/>
      <c r="H1024" s="711"/>
      <c r="I1024" s="1142"/>
    </row>
    <row r="1025" spans="1:9" s="116" customFormat="1" ht="27" customHeight="1" thickBot="1" x14ac:dyDescent="0.4">
      <c r="A1025" s="778"/>
      <c r="B1025" s="1217" t="s">
        <v>55</v>
      </c>
      <c r="C1025" s="747">
        <f>SUM(C281+C403+C635+C638+C644+C653+C657+C662+C747+C751+C770+C779+C812+C819+C844+C987+C998)</f>
        <v>1012540563</v>
      </c>
      <c r="D1025" s="747">
        <f>SUM(D281+D403+D635+D638+D644+D653+D657+D662+D747+D751+D770+D779+D812+D819+D844+D987+D998)</f>
        <v>1085138478.02</v>
      </c>
      <c r="E1025" s="747"/>
      <c r="F1025" s="1377"/>
      <c r="G1025" s="1284"/>
      <c r="H1025" s="1284"/>
      <c r="I1025" s="1285"/>
    </row>
    <row r="1026" spans="1:9" ht="12.75" customHeight="1" x14ac:dyDescent="0.2">
      <c r="B1026" s="1216"/>
      <c r="C1026" s="12"/>
      <c r="D1026" s="12"/>
      <c r="E1026" s="12"/>
      <c r="F1026" s="12"/>
      <c r="G1026" s="12"/>
      <c r="H1026" s="12"/>
    </row>
    <row r="1027" spans="1:9" ht="12.75" customHeight="1" x14ac:dyDescent="0.35">
      <c r="B1027" s="755"/>
      <c r="C1027" s="12"/>
      <c r="D1027" s="12"/>
      <c r="E1027" s="12"/>
      <c r="F1027" s="12"/>
      <c r="G1027" s="12"/>
      <c r="H1027" s="12"/>
    </row>
    <row r="1028" spans="1:9" s="116" customFormat="1" ht="12.75" customHeight="1" x14ac:dyDescent="0.35">
      <c r="A1028" s="1"/>
      <c r="B1028" s="755"/>
      <c r="C1028" s="1179">
        <f t="shared" ref="C1028:I1028" si="128">C9-C1025</f>
        <v>2.5000572204589844E-3</v>
      </c>
      <c r="D1028" s="1179">
        <f t="shared" si="128"/>
        <v>2.5000572204589844E-3</v>
      </c>
      <c r="E1028" s="1179">
        <f t="shared" si="128"/>
        <v>0</v>
      </c>
      <c r="F1028" s="1179">
        <f t="shared" si="128"/>
        <v>0</v>
      </c>
      <c r="G1028" s="1179">
        <f t="shared" si="128"/>
        <v>0</v>
      </c>
      <c r="H1028" s="1179">
        <f t="shared" si="128"/>
        <v>0</v>
      </c>
      <c r="I1028" s="1179">
        <f t="shared" si="128"/>
        <v>0</v>
      </c>
    </row>
    <row r="1029" spans="1:9" s="116" customFormat="1" x14ac:dyDescent="0.2">
      <c r="A1029" s="1"/>
      <c r="B1029" s="705"/>
      <c r="C1029" s="12"/>
      <c r="D1029" s="12"/>
      <c r="E1029" s="12"/>
      <c r="F1029" s="12"/>
      <c r="G1029" s="12"/>
      <c r="H1029" s="12"/>
      <c r="I1029" s="107"/>
    </row>
    <row r="1030" spans="1:9" x14ac:dyDescent="0.2">
      <c r="B1030" s="695"/>
      <c r="C1030" s="12"/>
      <c r="D1030" s="12"/>
      <c r="E1030" s="12"/>
      <c r="F1030" s="12"/>
      <c r="G1030" s="12"/>
      <c r="H1030" s="12"/>
    </row>
    <row r="1031" spans="1:9" x14ac:dyDescent="0.2">
      <c r="B1031" s="12"/>
    </row>
    <row r="1032" spans="1:9" x14ac:dyDescent="0.2">
      <c r="B1032" s="12"/>
    </row>
    <row r="1033" spans="1:9" x14ac:dyDescent="0.2">
      <c r="B1033" s="12"/>
    </row>
  </sheetData>
  <sheetProtection selectLockedCells="1" selectUnlockedCells="1"/>
  <printOptions horizontalCentered="1"/>
  <pageMargins left="3.937007874015748E-2" right="3.937007874015748E-2" top="0.55118110236220474" bottom="0.55118110236220474" header="0.31496062992125984" footer="0.31496062992125984"/>
  <pageSetup paperSize="9" scale="65" firstPageNumber="0" fitToHeight="0" orientation="landscape" r:id="rId1"/>
  <headerFooter alignWithMargins="0">
    <oddFooter>&amp;C&amp;P</oddFooter>
  </headerFooter>
  <rowBreaks count="2" manualBreakCount="2">
    <brk id="30" max="16383" man="1"/>
    <brk id="279"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topLeftCell="A16" zoomScaleNormal="100" workbookViewId="0">
      <selection activeCell="G62" sqref="G62:I62"/>
    </sheetView>
  </sheetViews>
  <sheetFormatPr defaultRowHeight="15" x14ac:dyDescent="0.2"/>
  <cols>
    <col min="2" max="3" width="8.28515625" customWidth="1"/>
    <col min="4" max="4" width="5" customWidth="1"/>
    <col min="5" max="5" width="8.28515625" customWidth="1"/>
    <col min="6" max="6" width="16.7109375" customWidth="1"/>
    <col min="7" max="7" width="18.85546875" style="1492" customWidth="1"/>
    <col min="8" max="8" width="4.7109375" style="1493" customWidth="1"/>
    <col min="9" max="9" width="16.85546875" customWidth="1"/>
    <col min="10" max="10" width="1.5703125" customWidth="1"/>
    <col min="11" max="11" width="14.5703125" customWidth="1"/>
    <col min="12" max="12" width="17.7109375" customWidth="1"/>
    <col min="258" max="259" width="8.28515625" customWidth="1"/>
    <col min="260" max="260" width="5" customWidth="1"/>
    <col min="261" max="261" width="8.28515625" customWidth="1"/>
    <col min="262" max="262" width="16.7109375" customWidth="1"/>
    <col min="263" max="263" width="17.7109375" customWidth="1"/>
    <col min="264" max="264" width="4.7109375" customWidth="1"/>
    <col min="265" max="265" width="16.85546875" customWidth="1"/>
    <col min="266" max="266" width="1.5703125" customWidth="1"/>
    <col min="267" max="267" width="14.5703125" customWidth="1"/>
    <col min="268" max="268" width="17.7109375" customWidth="1"/>
    <col min="514" max="515" width="8.28515625" customWidth="1"/>
    <col min="516" max="516" width="5" customWidth="1"/>
    <col min="517" max="517" width="8.28515625" customWidth="1"/>
    <col min="518" max="518" width="16.7109375" customWidth="1"/>
    <col min="519" max="519" width="17.7109375" customWidth="1"/>
    <col min="520" max="520" width="4.7109375" customWidth="1"/>
    <col min="521" max="521" width="16.85546875" customWidth="1"/>
    <col min="522" max="522" width="1.5703125" customWidth="1"/>
    <col min="523" max="523" width="14.5703125" customWidth="1"/>
    <col min="524" max="524" width="17.7109375" customWidth="1"/>
    <col min="770" max="771" width="8.28515625" customWidth="1"/>
    <col min="772" max="772" width="5" customWidth="1"/>
    <col min="773" max="773" width="8.28515625" customWidth="1"/>
    <col min="774" max="774" width="16.7109375" customWidth="1"/>
    <col min="775" max="775" width="17.7109375" customWidth="1"/>
    <col min="776" max="776" width="4.7109375" customWidth="1"/>
    <col min="777" max="777" width="16.85546875" customWidth="1"/>
    <col min="778" max="778" width="1.5703125" customWidth="1"/>
    <col min="779" max="779" width="14.5703125" customWidth="1"/>
    <col min="780" max="780" width="17.7109375" customWidth="1"/>
    <col min="1026" max="1027" width="8.28515625" customWidth="1"/>
    <col min="1028" max="1028" width="5" customWidth="1"/>
    <col min="1029" max="1029" width="8.28515625" customWidth="1"/>
    <col min="1030" max="1030" width="16.7109375" customWidth="1"/>
    <col min="1031" max="1031" width="17.7109375" customWidth="1"/>
    <col min="1032" max="1032" width="4.7109375" customWidth="1"/>
    <col min="1033" max="1033" width="16.85546875" customWidth="1"/>
    <col min="1034" max="1034" width="1.5703125" customWidth="1"/>
    <col min="1035" max="1035" width="14.5703125" customWidth="1"/>
    <col min="1036" max="1036" width="17.7109375" customWidth="1"/>
    <col min="1282" max="1283" width="8.28515625" customWidth="1"/>
    <col min="1284" max="1284" width="5" customWidth="1"/>
    <col min="1285" max="1285" width="8.28515625" customWidth="1"/>
    <col min="1286" max="1286" width="16.7109375" customWidth="1"/>
    <col min="1287" max="1287" width="17.7109375" customWidth="1"/>
    <col min="1288" max="1288" width="4.7109375" customWidth="1"/>
    <col min="1289" max="1289" width="16.85546875" customWidth="1"/>
    <col min="1290" max="1290" width="1.5703125" customWidth="1"/>
    <col min="1291" max="1291" width="14.5703125" customWidth="1"/>
    <col min="1292" max="1292" width="17.7109375" customWidth="1"/>
    <col min="1538" max="1539" width="8.28515625" customWidth="1"/>
    <col min="1540" max="1540" width="5" customWidth="1"/>
    <col min="1541" max="1541" width="8.28515625" customWidth="1"/>
    <col min="1542" max="1542" width="16.7109375" customWidth="1"/>
    <col min="1543" max="1543" width="17.7109375" customWidth="1"/>
    <col min="1544" max="1544" width="4.7109375" customWidth="1"/>
    <col min="1545" max="1545" width="16.85546875" customWidth="1"/>
    <col min="1546" max="1546" width="1.5703125" customWidth="1"/>
    <col min="1547" max="1547" width="14.5703125" customWidth="1"/>
    <col min="1548" max="1548" width="17.7109375" customWidth="1"/>
    <col min="1794" max="1795" width="8.28515625" customWidth="1"/>
    <col min="1796" max="1796" width="5" customWidth="1"/>
    <col min="1797" max="1797" width="8.28515625" customWidth="1"/>
    <col min="1798" max="1798" width="16.7109375" customWidth="1"/>
    <col min="1799" max="1799" width="17.7109375" customWidth="1"/>
    <col min="1800" max="1800" width="4.7109375" customWidth="1"/>
    <col min="1801" max="1801" width="16.85546875" customWidth="1"/>
    <col min="1802" max="1802" width="1.5703125" customWidth="1"/>
    <col min="1803" max="1803" width="14.5703125" customWidth="1"/>
    <col min="1804" max="1804" width="17.7109375" customWidth="1"/>
    <col min="2050" max="2051" width="8.28515625" customWidth="1"/>
    <col min="2052" max="2052" width="5" customWidth="1"/>
    <col min="2053" max="2053" width="8.28515625" customWidth="1"/>
    <col min="2054" max="2054" width="16.7109375" customWidth="1"/>
    <col min="2055" max="2055" width="17.7109375" customWidth="1"/>
    <col min="2056" max="2056" width="4.7109375" customWidth="1"/>
    <col min="2057" max="2057" width="16.85546875" customWidth="1"/>
    <col min="2058" max="2058" width="1.5703125" customWidth="1"/>
    <col min="2059" max="2059" width="14.5703125" customWidth="1"/>
    <col min="2060" max="2060" width="17.7109375" customWidth="1"/>
    <col min="2306" max="2307" width="8.28515625" customWidth="1"/>
    <col min="2308" max="2308" width="5" customWidth="1"/>
    <col min="2309" max="2309" width="8.28515625" customWidth="1"/>
    <col min="2310" max="2310" width="16.7109375" customWidth="1"/>
    <col min="2311" max="2311" width="17.7109375" customWidth="1"/>
    <col min="2312" max="2312" width="4.7109375" customWidth="1"/>
    <col min="2313" max="2313" width="16.85546875" customWidth="1"/>
    <col min="2314" max="2314" width="1.5703125" customWidth="1"/>
    <col min="2315" max="2315" width="14.5703125" customWidth="1"/>
    <col min="2316" max="2316" width="17.7109375" customWidth="1"/>
    <col min="2562" max="2563" width="8.28515625" customWidth="1"/>
    <col min="2564" max="2564" width="5" customWidth="1"/>
    <col min="2565" max="2565" width="8.28515625" customWidth="1"/>
    <col min="2566" max="2566" width="16.7109375" customWidth="1"/>
    <col min="2567" max="2567" width="17.7109375" customWidth="1"/>
    <col min="2568" max="2568" width="4.7109375" customWidth="1"/>
    <col min="2569" max="2569" width="16.85546875" customWidth="1"/>
    <col min="2570" max="2570" width="1.5703125" customWidth="1"/>
    <col min="2571" max="2571" width="14.5703125" customWidth="1"/>
    <col min="2572" max="2572" width="17.7109375" customWidth="1"/>
    <col min="2818" max="2819" width="8.28515625" customWidth="1"/>
    <col min="2820" max="2820" width="5" customWidth="1"/>
    <col min="2821" max="2821" width="8.28515625" customWidth="1"/>
    <col min="2822" max="2822" width="16.7109375" customWidth="1"/>
    <col min="2823" max="2823" width="17.7109375" customWidth="1"/>
    <col min="2824" max="2824" width="4.7109375" customWidth="1"/>
    <col min="2825" max="2825" width="16.85546875" customWidth="1"/>
    <col min="2826" max="2826" width="1.5703125" customWidth="1"/>
    <col min="2827" max="2827" width="14.5703125" customWidth="1"/>
    <col min="2828" max="2828" width="17.7109375" customWidth="1"/>
    <col min="3074" max="3075" width="8.28515625" customWidth="1"/>
    <col min="3076" max="3076" width="5" customWidth="1"/>
    <col min="3077" max="3077" width="8.28515625" customWidth="1"/>
    <col min="3078" max="3078" width="16.7109375" customWidth="1"/>
    <col min="3079" max="3079" width="17.7109375" customWidth="1"/>
    <col min="3080" max="3080" width="4.7109375" customWidth="1"/>
    <col min="3081" max="3081" width="16.85546875" customWidth="1"/>
    <col min="3082" max="3082" width="1.5703125" customWidth="1"/>
    <col min="3083" max="3083" width="14.5703125" customWidth="1"/>
    <col min="3084" max="3084" width="17.7109375" customWidth="1"/>
    <col min="3330" max="3331" width="8.28515625" customWidth="1"/>
    <col min="3332" max="3332" width="5" customWidth="1"/>
    <col min="3333" max="3333" width="8.28515625" customWidth="1"/>
    <col min="3334" max="3334" width="16.7109375" customWidth="1"/>
    <col min="3335" max="3335" width="17.7109375" customWidth="1"/>
    <col min="3336" max="3336" width="4.7109375" customWidth="1"/>
    <col min="3337" max="3337" width="16.85546875" customWidth="1"/>
    <col min="3338" max="3338" width="1.5703125" customWidth="1"/>
    <col min="3339" max="3339" width="14.5703125" customWidth="1"/>
    <col min="3340" max="3340" width="17.7109375" customWidth="1"/>
    <col min="3586" max="3587" width="8.28515625" customWidth="1"/>
    <col min="3588" max="3588" width="5" customWidth="1"/>
    <col min="3589" max="3589" width="8.28515625" customWidth="1"/>
    <col min="3590" max="3590" width="16.7109375" customWidth="1"/>
    <col min="3591" max="3591" width="17.7109375" customWidth="1"/>
    <col min="3592" max="3592" width="4.7109375" customWidth="1"/>
    <col min="3593" max="3593" width="16.85546875" customWidth="1"/>
    <col min="3594" max="3594" width="1.5703125" customWidth="1"/>
    <col min="3595" max="3595" width="14.5703125" customWidth="1"/>
    <col min="3596" max="3596" width="17.7109375" customWidth="1"/>
    <col min="3842" max="3843" width="8.28515625" customWidth="1"/>
    <col min="3844" max="3844" width="5" customWidth="1"/>
    <col min="3845" max="3845" width="8.28515625" customWidth="1"/>
    <col min="3846" max="3846" width="16.7109375" customWidth="1"/>
    <col min="3847" max="3847" width="17.7109375" customWidth="1"/>
    <col min="3848" max="3848" width="4.7109375" customWidth="1"/>
    <col min="3849" max="3849" width="16.85546875" customWidth="1"/>
    <col min="3850" max="3850" width="1.5703125" customWidth="1"/>
    <col min="3851" max="3851" width="14.5703125" customWidth="1"/>
    <col min="3852" max="3852" width="17.7109375" customWidth="1"/>
    <col min="4098" max="4099" width="8.28515625" customWidth="1"/>
    <col min="4100" max="4100" width="5" customWidth="1"/>
    <col min="4101" max="4101" width="8.28515625" customWidth="1"/>
    <col min="4102" max="4102" width="16.7109375" customWidth="1"/>
    <col min="4103" max="4103" width="17.7109375" customWidth="1"/>
    <col min="4104" max="4104" width="4.7109375" customWidth="1"/>
    <col min="4105" max="4105" width="16.85546875" customWidth="1"/>
    <col min="4106" max="4106" width="1.5703125" customWidth="1"/>
    <col min="4107" max="4107" width="14.5703125" customWidth="1"/>
    <col min="4108" max="4108" width="17.7109375" customWidth="1"/>
    <col min="4354" max="4355" width="8.28515625" customWidth="1"/>
    <col min="4356" max="4356" width="5" customWidth="1"/>
    <col min="4357" max="4357" width="8.28515625" customWidth="1"/>
    <col min="4358" max="4358" width="16.7109375" customWidth="1"/>
    <col min="4359" max="4359" width="17.7109375" customWidth="1"/>
    <col min="4360" max="4360" width="4.7109375" customWidth="1"/>
    <col min="4361" max="4361" width="16.85546875" customWidth="1"/>
    <col min="4362" max="4362" width="1.5703125" customWidth="1"/>
    <col min="4363" max="4363" width="14.5703125" customWidth="1"/>
    <col min="4364" max="4364" width="17.7109375" customWidth="1"/>
    <col min="4610" max="4611" width="8.28515625" customWidth="1"/>
    <col min="4612" max="4612" width="5" customWidth="1"/>
    <col min="4613" max="4613" width="8.28515625" customWidth="1"/>
    <col min="4614" max="4614" width="16.7109375" customWidth="1"/>
    <col min="4615" max="4615" width="17.7109375" customWidth="1"/>
    <col min="4616" max="4616" width="4.7109375" customWidth="1"/>
    <col min="4617" max="4617" width="16.85546875" customWidth="1"/>
    <col min="4618" max="4618" width="1.5703125" customWidth="1"/>
    <col min="4619" max="4619" width="14.5703125" customWidth="1"/>
    <col min="4620" max="4620" width="17.7109375" customWidth="1"/>
    <col min="4866" max="4867" width="8.28515625" customWidth="1"/>
    <col min="4868" max="4868" width="5" customWidth="1"/>
    <col min="4869" max="4869" width="8.28515625" customWidth="1"/>
    <col min="4870" max="4870" width="16.7109375" customWidth="1"/>
    <col min="4871" max="4871" width="17.7109375" customWidth="1"/>
    <col min="4872" max="4872" width="4.7109375" customWidth="1"/>
    <col min="4873" max="4873" width="16.85546875" customWidth="1"/>
    <col min="4874" max="4874" width="1.5703125" customWidth="1"/>
    <col min="4875" max="4875" width="14.5703125" customWidth="1"/>
    <col min="4876" max="4876" width="17.7109375" customWidth="1"/>
    <col min="5122" max="5123" width="8.28515625" customWidth="1"/>
    <col min="5124" max="5124" width="5" customWidth="1"/>
    <col min="5125" max="5125" width="8.28515625" customWidth="1"/>
    <col min="5126" max="5126" width="16.7109375" customWidth="1"/>
    <col min="5127" max="5127" width="17.7109375" customWidth="1"/>
    <col min="5128" max="5128" width="4.7109375" customWidth="1"/>
    <col min="5129" max="5129" width="16.85546875" customWidth="1"/>
    <col min="5130" max="5130" width="1.5703125" customWidth="1"/>
    <col min="5131" max="5131" width="14.5703125" customWidth="1"/>
    <col min="5132" max="5132" width="17.7109375" customWidth="1"/>
    <col min="5378" max="5379" width="8.28515625" customWidth="1"/>
    <col min="5380" max="5380" width="5" customWidth="1"/>
    <col min="5381" max="5381" width="8.28515625" customWidth="1"/>
    <col min="5382" max="5382" width="16.7109375" customWidth="1"/>
    <col min="5383" max="5383" width="17.7109375" customWidth="1"/>
    <col min="5384" max="5384" width="4.7109375" customWidth="1"/>
    <col min="5385" max="5385" width="16.85546875" customWidth="1"/>
    <col min="5386" max="5386" width="1.5703125" customWidth="1"/>
    <col min="5387" max="5387" width="14.5703125" customWidth="1"/>
    <col min="5388" max="5388" width="17.7109375" customWidth="1"/>
    <col min="5634" max="5635" width="8.28515625" customWidth="1"/>
    <col min="5636" max="5636" width="5" customWidth="1"/>
    <col min="5637" max="5637" width="8.28515625" customWidth="1"/>
    <col min="5638" max="5638" width="16.7109375" customWidth="1"/>
    <col min="5639" max="5639" width="17.7109375" customWidth="1"/>
    <col min="5640" max="5640" width="4.7109375" customWidth="1"/>
    <col min="5641" max="5641" width="16.85546875" customWidth="1"/>
    <col min="5642" max="5642" width="1.5703125" customWidth="1"/>
    <col min="5643" max="5643" width="14.5703125" customWidth="1"/>
    <col min="5644" max="5644" width="17.7109375" customWidth="1"/>
    <col min="5890" max="5891" width="8.28515625" customWidth="1"/>
    <col min="5892" max="5892" width="5" customWidth="1"/>
    <col min="5893" max="5893" width="8.28515625" customWidth="1"/>
    <col min="5894" max="5894" width="16.7109375" customWidth="1"/>
    <col min="5895" max="5895" width="17.7109375" customWidth="1"/>
    <col min="5896" max="5896" width="4.7109375" customWidth="1"/>
    <col min="5897" max="5897" width="16.85546875" customWidth="1"/>
    <col min="5898" max="5898" width="1.5703125" customWidth="1"/>
    <col min="5899" max="5899" width="14.5703125" customWidth="1"/>
    <col min="5900" max="5900" width="17.7109375" customWidth="1"/>
    <col min="6146" max="6147" width="8.28515625" customWidth="1"/>
    <col min="6148" max="6148" width="5" customWidth="1"/>
    <col min="6149" max="6149" width="8.28515625" customWidth="1"/>
    <col min="6150" max="6150" width="16.7109375" customWidth="1"/>
    <col min="6151" max="6151" width="17.7109375" customWidth="1"/>
    <col min="6152" max="6152" width="4.7109375" customWidth="1"/>
    <col min="6153" max="6153" width="16.85546875" customWidth="1"/>
    <col min="6154" max="6154" width="1.5703125" customWidth="1"/>
    <col min="6155" max="6155" width="14.5703125" customWidth="1"/>
    <col min="6156" max="6156" width="17.7109375" customWidth="1"/>
    <col min="6402" max="6403" width="8.28515625" customWidth="1"/>
    <col min="6404" max="6404" width="5" customWidth="1"/>
    <col min="6405" max="6405" width="8.28515625" customWidth="1"/>
    <col min="6406" max="6406" width="16.7109375" customWidth="1"/>
    <col min="6407" max="6407" width="17.7109375" customWidth="1"/>
    <col min="6408" max="6408" width="4.7109375" customWidth="1"/>
    <col min="6409" max="6409" width="16.85546875" customWidth="1"/>
    <col min="6410" max="6410" width="1.5703125" customWidth="1"/>
    <col min="6411" max="6411" width="14.5703125" customWidth="1"/>
    <col min="6412" max="6412" width="17.7109375" customWidth="1"/>
    <col min="6658" max="6659" width="8.28515625" customWidth="1"/>
    <col min="6660" max="6660" width="5" customWidth="1"/>
    <col min="6661" max="6661" width="8.28515625" customWidth="1"/>
    <col min="6662" max="6662" width="16.7109375" customWidth="1"/>
    <col min="6663" max="6663" width="17.7109375" customWidth="1"/>
    <col min="6664" max="6664" width="4.7109375" customWidth="1"/>
    <col min="6665" max="6665" width="16.85546875" customWidth="1"/>
    <col min="6666" max="6666" width="1.5703125" customWidth="1"/>
    <col min="6667" max="6667" width="14.5703125" customWidth="1"/>
    <col min="6668" max="6668" width="17.7109375" customWidth="1"/>
    <col min="6914" max="6915" width="8.28515625" customWidth="1"/>
    <col min="6916" max="6916" width="5" customWidth="1"/>
    <col min="6917" max="6917" width="8.28515625" customWidth="1"/>
    <col min="6918" max="6918" width="16.7109375" customWidth="1"/>
    <col min="6919" max="6919" width="17.7109375" customWidth="1"/>
    <col min="6920" max="6920" width="4.7109375" customWidth="1"/>
    <col min="6921" max="6921" width="16.85546875" customWidth="1"/>
    <col min="6922" max="6922" width="1.5703125" customWidth="1"/>
    <col min="6923" max="6923" width="14.5703125" customWidth="1"/>
    <col min="6924" max="6924" width="17.7109375" customWidth="1"/>
    <col min="7170" max="7171" width="8.28515625" customWidth="1"/>
    <col min="7172" max="7172" width="5" customWidth="1"/>
    <col min="7173" max="7173" width="8.28515625" customWidth="1"/>
    <col min="7174" max="7174" width="16.7109375" customWidth="1"/>
    <col min="7175" max="7175" width="17.7109375" customWidth="1"/>
    <col min="7176" max="7176" width="4.7109375" customWidth="1"/>
    <col min="7177" max="7177" width="16.85546875" customWidth="1"/>
    <col min="7178" max="7178" width="1.5703125" customWidth="1"/>
    <col min="7179" max="7179" width="14.5703125" customWidth="1"/>
    <col min="7180" max="7180" width="17.7109375" customWidth="1"/>
    <col min="7426" max="7427" width="8.28515625" customWidth="1"/>
    <col min="7428" max="7428" width="5" customWidth="1"/>
    <col min="7429" max="7429" width="8.28515625" customWidth="1"/>
    <col min="7430" max="7430" width="16.7109375" customWidth="1"/>
    <col min="7431" max="7431" width="17.7109375" customWidth="1"/>
    <col min="7432" max="7432" width="4.7109375" customWidth="1"/>
    <col min="7433" max="7433" width="16.85546875" customWidth="1"/>
    <col min="7434" max="7434" width="1.5703125" customWidth="1"/>
    <col min="7435" max="7435" width="14.5703125" customWidth="1"/>
    <col min="7436" max="7436" width="17.7109375" customWidth="1"/>
    <col min="7682" max="7683" width="8.28515625" customWidth="1"/>
    <col min="7684" max="7684" width="5" customWidth="1"/>
    <col min="7685" max="7685" width="8.28515625" customWidth="1"/>
    <col min="7686" max="7686" width="16.7109375" customWidth="1"/>
    <col min="7687" max="7687" width="17.7109375" customWidth="1"/>
    <col min="7688" max="7688" width="4.7109375" customWidth="1"/>
    <col min="7689" max="7689" width="16.85546875" customWidth="1"/>
    <col min="7690" max="7690" width="1.5703125" customWidth="1"/>
    <col min="7691" max="7691" width="14.5703125" customWidth="1"/>
    <col min="7692" max="7692" width="17.7109375" customWidth="1"/>
    <col min="7938" max="7939" width="8.28515625" customWidth="1"/>
    <col min="7940" max="7940" width="5" customWidth="1"/>
    <col min="7941" max="7941" width="8.28515625" customWidth="1"/>
    <col min="7942" max="7942" width="16.7109375" customWidth="1"/>
    <col min="7943" max="7943" width="17.7109375" customWidth="1"/>
    <col min="7944" max="7944" width="4.7109375" customWidth="1"/>
    <col min="7945" max="7945" width="16.85546875" customWidth="1"/>
    <col min="7946" max="7946" width="1.5703125" customWidth="1"/>
    <col min="7947" max="7947" width="14.5703125" customWidth="1"/>
    <col min="7948" max="7948" width="17.7109375" customWidth="1"/>
    <col min="8194" max="8195" width="8.28515625" customWidth="1"/>
    <col min="8196" max="8196" width="5" customWidth="1"/>
    <col min="8197" max="8197" width="8.28515625" customWidth="1"/>
    <col min="8198" max="8198" width="16.7109375" customWidth="1"/>
    <col min="8199" max="8199" width="17.7109375" customWidth="1"/>
    <col min="8200" max="8200" width="4.7109375" customWidth="1"/>
    <col min="8201" max="8201" width="16.85546875" customWidth="1"/>
    <col min="8202" max="8202" width="1.5703125" customWidth="1"/>
    <col min="8203" max="8203" width="14.5703125" customWidth="1"/>
    <col min="8204" max="8204" width="17.7109375" customWidth="1"/>
    <col min="8450" max="8451" width="8.28515625" customWidth="1"/>
    <col min="8452" max="8452" width="5" customWidth="1"/>
    <col min="8453" max="8453" width="8.28515625" customWidth="1"/>
    <col min="8454" max="8454" width="16.7109375" customWidth="1"/>
    <col min="8455" max="8455" width="17.7109375" customWidth="1"/>
    <col min="8456" max="8456" width="4.7109375" customWidth="1"/>
    <col min="8457" max="8457" width="16.85546875" customWidth="1"/>
    <col min="8458" max="8458" width="1.5703125" customWidth="1"/>
    <col min="8459" max="8459" width="14.5703125" customWidth="1"/>
    <col min="8460" max="8460" width="17.7109375" customWidth="1"/>
    <col min="8706" max="8707" width="8.28515625" customWidth="1"/>
    <col min="8708" max="8708" width="5" customWidth="1"/>
    <col min="8709" max="8709" width="8.28515625" customWidth="1"/>
    <col min="8710" max="8710" width="16.7109375" customWidth="1"/>
    <col min="8711" max="8711" width="17.7109375" customWidth="1"/>
    <col min="8712" max="8712" width="4.7109375" customWidth="1"/>
    <col min="8713" max="8713" width="16.85546875" customWidth="1"/>
    <col min="8714" max="8714" width="1.5703125" customWidth="1"/>
    <col min="8715" max="8715" width="14.5703125" customWidth="1"/>
    <col min="8716" max="8716" width="17.7109375" customWidth="1"/>
    <col min="8962" max="8963" width="8.28515625" customWidth="1"/>
    <col min="8964" max="8964" width="5" customWidth="1"/>
    <col min="8965" max="8965" width="8.28515625" customWidth="1"/>
    <col min="8966" max="8966" width="16.7109375" customWidth="1"/>
    <col min="8967" max="8967" width="17.7109375" customWidth="1"/>
    <col min="8968" max="8968" width="4.7109375" customWidth="1"/>
    <col min="8969" max="8969" width="16.85546875" customWidth="1"/>
    <col min="8970" max="8970" width="1.5703125" customWidth="1"/>
    <col min="8971" max="8971" width="14.5703125" customWidth="1"/>
    <col min="8972" max="8972" width="17.7109375" customWidth="1"/>
    <col min="9218" max="9219" width="8.28515625" customWidth="1"/>
    <col min="9220" max="9220" width="5" customWidth="1"/>
    <col min="9221" max="9221" width="8.28515625" customWidth="1"/>
    <col min="9222" max="9222" width="16.7109375" customWidth="1"/>
    <col min="9223" max="9223" width="17.7109375" customWidth="1"/>
    <col min="9224" max="9224" width="4.7109375" customWidth="1"/>
    <col min="9225" max="9225" width="16.85546875" customWidth="1"/>
    <col min="9226" max="9226" width="1.5703125" customWidth="1"/>
    <col min="9227" max="9227" width="14.5703125" customWidth="1"/>
    <col min="9228" max="9228" width="17.7109375" customWidth="1"/>
    <col min="9474" max="9475" width="8.28515625" customWidth="1"/>
    <col min="9476" max="9476" width="5" customWidth="1"/>
    <col min="9477" max="9477" width="8.28515625" customWidth="1"/>
    <col min="9478" max="9478" width="16.7109375" customWidth="1"/>
    <col min="9479" max="9479" width="17.7109375" customWidth="1"/>
    <col min="9480" max="9480" width="4.7109375" customWidth="1"/>
    <col min="9481" max="9481" width="16.85546875" customWidth="1"/>
    <col min="9482" max="9482" width="1.5703125" customWidth="1"/>
    <col min="9483" max="9483" width="14.5703125" customWidth="1"/>
    <col min="9484" max="9484" width="17.7109375" customWidth="1"/>
    <col min="9730" max="9731" width="8.28515625" customWidth="1"/>
    <col min="9732" max="9732" width="5" customWidth="1"/>
    <col min="9733" max="9733" width="8.28515625" customWidth="1"/>
    <col min="9734" max="9734" width="16.7109375" customWidth="1"/>
    <col min="9735" max="9735" width="17.7109375" customWidth="1"/>
    <col min="9736" max="9736" width="4.7109375" customWidth="1"/>
    <col min="9737" max="9737" width="16.85546875" customWidth="1"/>
    <col min="9738" max="9738" width="1.5703125" customWidth="1"/>
    <col min="9739" max="9739" width="14.5703125" customWidth="1"/>
    <col min="9740" max="9740" width="17.7109375" customWidth="1"/>
    <col min="9986" max="9987" width="8.28515625" customWidth="1"/>
    <col min="9988" max="9988" width="5" customWidth="1"/>
    <col min="9989" max="9989" width="8.28515625" customWidth="1"/>
    <col min="9990" max="9990" width="16.7109375" customWidth="1"/>
    <col min="9991" max="9991" width="17.7109375" customWidth="1"/>
    <col min="9992" max="9992" width="4.7109375" customWidth="1"/>
    <col min="9993" max="9993" width="16.85546875" customWidth="1"/>
    <col min="9994" max="9994" width="1.5703125" customWidth="1"/>
    <col min="9995" max="9995" width="14.5703125" customWidth="1"/>
    <col min="9996" max="9996" width="17.7109375" customWidth="1"/>
    <col min="10242" max="10243" width="8.28515625" customWidth="1"/>
    <col min="10244" max="10244" width="5" customWidth="1"/>
    <col min="10245" max="10245" width="8.28515625" customWidth="1"/>
    <col min="10246" max="10246" width="16.7109375" customWidth="1"/>
    <col min="10247" max="10247" width="17.7109375" customWidth="1"/>
    <col min="10248" max="10248" width="4.7109375" customWidth="1"/>
    <col min="10249" max="10249" width="16.85546875" customWidth="1"/>
    <col min="10250" max="10250" width="1.5703125" customWidth="1"/>
    <col min="10251" max="10251" width="14.5703125" customWidth="1"/>
    <col min="10252" max="10252" width="17.7109375" customWidth="1"/>
    <col min="10498" max="10499" width="8.28515625" customWidth="1"/>
    <col min="10500" max="10500" width="5" customWidth="1"/>
    <col min="10501" max="10501" width="8.28515625" customWidth="1"/>
    <col min="10502" max="10502" width="16.7109375" customWidth="1"/>
    <col min="10503" max="10503" width="17.7109375" customWidth="1"/>
    <col min="10504" max="10504" width="4.7109375" customWidth="1"/>
    <col min="10505" max="10505" width="16.85546875" customWidth="1"/>
    <col min="10506" max="10506" width="1.5703125" customWidth="1"/>
    <col min="10507" max="10507" width="14.5703125" customWidth="1"/>
    <col min="10508" max="10508" width="17.7109375" customWidth="1"/>
    <col min="10754" max="10755" width="8.28515625" customWidth="1"/>
    <col min="10756" max="10756" width="5" customWidth="1"/>
    <col min="10757" max="10757" width="8.28515625" customWidth="1"/>
    <col min="10758" max="10758" width="16.7109375" customWidth="1"/>
    <col min="10759" max="10759" width="17.7109375" customWidth="1"/>
    <col min="10760" max="10760" width="4.7109375" customWidth="1"/>
    <col min="10761" max="10761" width="16.85546875" customWidth="1"/>
    <col min="10762" max="10762" width="1.5703125" customWidth="1"/>
    <col min="10763" max="10763" width="14.5703125" customWidth="1"/>
    <col min="10764" max="10764" width="17.7109375" customWidth="1"/>
    <col min="11010" max="11011" width="8.28515625" customWidth="1"/>
    <col min="11012" max="11012" width="5" customWidth="1"/>
    <col min="11013" max="11013" width="8.28515625" customWidth="1"/>
    <col min="11014" max="11014" width="16.7109375" customWidth="1"/>
    <col min="11015" max="11015" width="17.7109375" customWidth="1"/>
    <col min="11016" max="11016" width="4.7109375" customWidth="1"/>
    <col min="11017" max="11017" width="16.85546875" customWidth="1"/>
    <col min="11018" max="11018" width="1.5703125" customWidth="1"/>
    <col min="11019" max="11019" width="14.5703125" customWidth="1"/>
    <col min="11020" max="11020" width="17.7109375" customWidth="1"/>
    <col min="11266" max="11267" width="8.28515625" customWidth="1"/>
    <col min="11268" max="11268" width="5" customWidth="1"/>
    <col min="11269" max="11269" width="8.28515625" customWidth="1"/>
    <col min="11270" max="11270" width="16.7109375" customWidth="1"/>
    <col min="11271" max="11271" width="17.7109375" customWidth="1"/>
    <col min="11272" max="11272" width="4.7109375" customWidth="1"/>
    <col min="11273" max="11273" width="16.85546875" customWidth="1"/>
    <col min="11274" max="11274" width="1.5703125" customWidth="1"/>
    <col min="11275" max="11275" width="14.5703125" customWidth="1"/>
    <col min="11276" max="11276" width="17.7109375" customWidth="1"/>
    <col min="11522" max="11523" width="8.28515625" customWidth="1"/>
    <col min="11524" max="11524" width="5" customWidth="1"/>
    <col min="11525" max="11525" width="8.28515625" customWidth="1"/>
    <col min="11526" max="11526" width="16.7109375" customWidth="1"/>
    <col min="11527" max="11527" width="17.7109375" customWidth="1"/>
    <col min="11528" max="11528" width="4.7109375" customWidth="1"/>
    <col min="11529" max="11529" width="16.85546875" customWidth="1"/>
    <col min="11530" max="11530" width="1.5703125" customWidth="1"/>
    <col min="11531" max="11531" width="14.5703125" customWidth="1"/>
    <col min="11532" max="11532" width="17.7109375" customWidth="1"/>
    <col min="11778" max="11779" width="8.28515625" customWidth="1"/>
    <col min="11780" max="11780" width="5" customWidth="1"/>
    <col min="11781" max="11781" width="8.28515625" customWidth="1"/>
    <col min="11782" max="11782" width="16.7109375" customWidth="1"/>
    <col min="11783" max="11783" width="17.7109375" customWidth="1"/>
    <col min="11784" max="11784" width="4.7109375" customWidth="1"/>
    <col min="11785" max="11785" width="16.85546875" customWidth="1"/>
    <col min="11786" max="11786" width="1.5703125" customWidth="1"/>
    <col min="11787" max="11787" width="14.5703125" customWidth="1"/>
    <col min="11788" max="11788" width="17.7109375" customWidth="1"/>
    <col min="12034" max="12035" width="8.28515625" customWidth="1"/>
    <col min="12036" max="12036" width="5" customWidth="1"/>
    <col min="12037" max="12037" width="8.28515625" customWidth="1"/>
    <col min="12038" max="12038" width="16.7109375" customWidth="1"/>
    <col min="12039" max="12039" width="17.7109375" customWidth="1"/>
    <col min="12040" max="12040" width="4.7109375" customWidth="1"/>
    <col min="12041" max="12041" width="16.85546875" customWidth="1"/>
    <col min="12042" max="12042" width="1.5703125" customWidth="1"/>
    <col min="12043" max="12043" width="14.5703125" customWidth="1"/>
    <col min="12044" max="12044" width="17.7109375" customWidth="1"/>
    <col min="12290" max="12291" width="8.28515625" customWidth="1"/>
    <col min="12292" max="12292" width="5" customWidth="1"/>
    <col min="12293" max="12293" width="8.28515625" customWidth="1"/>
    <col min="12294" max="12294" width="16.7109375" customWidth="1"/>
    <col min="12295" max="12295" width="17.7109375" customWidth="1"/>
    <col min="12296" max="12296" width="4.7109375" customWidth="1"/>
    <col min="12297" max="12297" width="16.85546875" customWidth="1"/>
    <col min="12298" max="12298" width="1.5703125" customWidth="1"/>
    <col min="12299" max="12299" width="14.5703125" customWidth="1"/>
    <col min="12300" max="12300" width="17.7109375" customWidth="1"/>
    <col min="12546" max="12547" width="8.28515625" customWidth="1"/>
    <col min="12548" max="12548" width="5" customWidth="1"/>
    <col min="12549" max="12549" width="8.28515625" customWidth="1"/>
    <col min="12550" max="12550" width="16.7109375" customWidth="1"/>
    <col min="12551" max="12551" width="17.7109375" customWidth="1"/>
    <col min="12552" max="12552" width="4.7109375" customWidth="1"/>
    <col min="12553" max="12553" width="16.85546875" customWidth="1"/>
    <col min="12554" max="12554" width="1.5703125" customWidth="1"/>
    <col min="12555" max="12555" width="14.5703125" customWidth="1"/>
    <col min="12556" max="12556" width="17.7109375" customWidth="1"/>
    <col min="12802" max="12803" width="8.28515625" customWidth="1"/>
    <col min="12804" max="12804" width="5" customWidth="1"/>
    <col min="12805" max="12805" width="8.28515625" customWidth="1"/>
    <col min="12806" max="12806" width="16.7109375" customWidth="1"/>
    <col min="12807" max="12807" width="17.7109375" customWidth="1"/>
    <col min="12808" max="12808" width="4.7109375" customWidth="1"/>
    <col min="12809" max="12809" width="16.85546875" customWidth="1"/>
    <col min="12810" max="12810" width="1.5703125" customWidth="1"/>
    <col min="12811" max="12811" width="14.5703125" customWidth="1"/>
    <col min="12812" max="12812" width="17.7109375" customWidth="1"/>
    <col min="13058" max="13059" width="8.28515625" customWidth="1"/>
    <col min="13060" max="13060" width="5" customWidth="1"/>
    <col min="13061" max="13061" width="8.28515625" customWidth="1"/>
    <col min="13062" max="13062" width="16.7109375" customWidth="1"/>
    <col min="13063" max="13063" width="17.7109375" customWidth="1"/>
    <col min="13064" max="13064" width="4.7109375" customWidth="1"/>
    <col min="13065" max="13065" width="16.85546875" customWidth="1"/>
    <col min="13066" max="13066" width="1.5703125" customWidth="1"/>
    <col min="13067" max="13067" width="14.5703125" customWidth="1"/>
    <col min="13068" max="13068" width="17.7109375" customWidth="1"/>
    <col min="13314" max="13315" width="8.28515625" customWidth="1"/>
    <col min="13316" max="13316" width="5" customWidth="1"/>
    <col min="13317" max="13317" width="8.28515625" customWidth="1"/>
    <col min="13318" max="13318" width="16.7109375" customWidth="1"/>
    <col min="13319" max="13319" width="17.7109375" customWidth="1"/>
    <col min="13320" max="13320" width="4.7109375" customWidth="1"/>
    <col min="13321" max="13321" width="16.85546875" customWidth="1"/>
    <col min="13322" max="13322" width="1.5703125" customWidth="1"/>
    <col min="13323" max="13323" width="14.5703125" customWidth="1"/>
    <col min="13324" max="13324" width="17.7109375" customWidth="1"/>
    <col min="13570" max="13571" width="8.28515625" customWidth="1"/>
    <col min="13572" max="13572" width="5" customWidth="1"/>
    <col min="13573" max="13573" width="8.28515625" customWidth="1"/>
    <col min="13574" max="13574" width="16.7109375" customWidth="1"/>
    <col min="13575" max="13575" width="17.7109375" customWidth="1"/>
    <col min="13576" max="13576" width="4.7109375" customWidth="1"/>
    <col min="13577" max="13577" width="16.85546875" customWidth="1"/>
    <col min="13578" max="13578" width="1.5703125" customWidth="1"/>
    <col min="13579" max="13579" width="14.5703125" customWidth="1"/>
    <col min="13580" max="13580" width="17.7109375" customWidth="1"/>
    <col min="13826" max="13827" width="8.28515625" customWidth="1"/>
    <col min="13828" max="13828" width="5" customWidth="1"/>
    <col min="13829" max="13829" width="8.28515625" customWidth="1"/>
    <col min="13830" max="13830" width="16.7109375" customWidth="1"/>
    <col min="13831" max="13831" width="17.7109375" customWidth="1"/>
    <col min="13832" max="13832" width="4.7109375" customWidth="1"/>
    <col min="13833" max="13833" width="16.85546875" customWidth="1"/>
    <col min="13834" max="13834" width="1.5703125" customWidth="1"/>
    <col min="13835" max="13835" width="14.5703125" customWidth="1"/>
    <col min="13836" max="13836" width="17.7109375" customWidth="1"/>
    <col min="14082" max="14083" width="8.28515625" customWidth="1"/>
    <col min="14084" max="14084" width="5" customWidth="1"/>
    <col min="14085" max="14085" width="8.28515625" customWidth="1"/>
    <col min="14086" max="14086" width="16.7109375" customWidth="1"/>
    <col min="14087" max="14087" width="17.7109375" customWidth="1"/>
    <col min="14088" max="14088" width="4.7109375" customWidth="1"/>
    <col min="14089" max="14089" width="16.85546875" customWidth="1"/>
    <col min="14090" max="14090" width="1.5703125" customWidth="1"/>
    <col min="14091" max="14091" width="14.5703125" customWidth="1"/>
    <col min="14092" max="14092" width="17.7109375" customWidth="1"/>
    <col min="14338" max="14339" width="8.28515625" customWidth="1"/>
    <col min="14340" max="14340" width="5" customWidth="1"/>
    <col min="14341" max="14341" width="8.28515625" customWidth="1"/>
    <col min="14342" max="14342" width="16.7109375" customWidth="1"/>
    <col min="14343" max="14343" width="17.7109375" customWidth="1"/>
    <col min="14344" max="14344" width="4.7109375" customWidth="1"/>
    <col min="14345" max="14345" width="16.85546875" customWidth="1"/>
    <col min="14346" max="14346" width="1.5703125" customWidth="1"/>
    <col min="14347" max="14347" width="14.5703125" customWidth="1"/>
    <col min="14348" max="14348" width="17.7109375" customWidth="1"/>
    <col min="14594" max="14595" width="8.28515625" customWidth="1"/>
    <col min="14596" max="14596" width="5" customWidth="1"/>
    <col min="14597" max="14597" width="8.28515625" customWidth="1"/>
    <col min="14598" max="14598" width="16.7109375" customWidth="1"/>
    <col min="14599" max="14599" width="17.7109375" customWidth="1"/>
    <col min="14600" max="14600" width="4.7109375" customWidth="1"/>
    <col min="14601" max="14601" width="16.85546875" customWidth="1"/>
    <col min="14602" max="14602" width="1.5703125" customWidth="1"/>
    <col min="14603" max="14603" width="14.5703125" customWidth="1"/>
    <col min="14604" max="14604" width="17.7109375" customWidth="1"/>
    <col min="14850" max="14851" width="8.28515625" customWidth="1"/>
    <col min="14852" max="14852" width="5" customWidth="1"/>
    <col min="14853" max="14853" width="8.28515625" customWidth="1"/>
    <col min="14854" max="14854" width="16.7109375" customWidth="1"/>
    <col min="14855" max="14855" width="17.7109375" customWidth="1"/>
    <col min="14856" max="14856" width="4.7109375" customWidth="1"/>
    <col min="14857" max="14857" width="16.85546875" customWidth="1"/>
    <col min="14858" max="14858" width="1.5703125" customWidth="1"/>
    <col min="14859" max="14859" width="14.5703125" customWidth="1"/>
    <col min="14860" max="14860" width="17.7109375" customWidth="1"/>
    <col min="15106" max="15107" width="8.28515625" customWidth="1"/>
    <col min="15108" max="15108" width="5" customWidth="1"/>
    <col min="15109" max="15109" width="8.28515625" customWidth="1"/>
    <col min="15110" max="15110" width="16.7109375" customWidth="1"/>
    <col min="15111" max="15111" width="17.7109375" customWidth="1"/>
    <col min="15112" max="15112" width="4.7109375" customWidth="1"/>
    <col min="15113" max="15113" width="16.85546875" customWidth="1"/>
    <col min="15114" max="15114" width="1.5703125" customWidth="1"/>
    <col min="15115" max="15115" width="14.5703125" customWidth="1"/>
    <col min="15116" max="15116" width="17.7109375" customWidth="1"/>
    <col min="15362" max="15363" width="8.28515625" customWidth="1"/>
    <col min="15364" max="15364" width="5" customWidth="1"/>
    <col min="15365" max="15365" width="8.28515625" customWidth="1"/>
    <col min="15366" max="15366" width="16.7109375" customWidth="1"/>
    <col min="15367" max="15367" width="17.7109375" customWidth="1"/>
    <col min="15368" max="15368" width="4.7109375" customWidth="1"/>
    <col min="15369" max="15369" width="16.85546875" customWidth="1"/>
    <col min="15370" max="15370" width="1.5703125" customWidth="1"/>
    <col min="15371" max="15371" width="14.5703125" customWidth="1"/>
    <col min="15372" max="15372" width="17.7109375" customWidth="1"/>
    <col min="15618" max="15619" width="8.28515625" customWidth="1"/>
    <col min="15620" max="15620" width="5" customWidth="1"/>
    <col min="15621" max="15621" width="8.28515625" customWidth="1"/>
    <col min="15622" max="15622" width="16.7109375" customWidth="1"/>
    <col min="15623" max="15623" width="17.7109375" customWidth="1"/>
    <col min="15624" max="15624" width="4.7109375" customWidth="1"/>
    <col min="15625" max="15625" width="16.85546875" customWidth="1"/>
    <col min="15626" max="15626" width="1.5703125" customWidth="1"/>
    <col min="15627" max="15627" width="14.5703125" customWidth="1"/>
    <col min="15628" max="15628" width="17.7109375" customWidth="1"/>
    <col min="15874" max="15875" width="8.28515625" customWidth="1"/>
    <col min="15876" max="15876" width="5" customWidth="1"/>
    <col min="15877" max="15877" width="8.28515625" customWidth="1"/>
    <col min="15878" max="15878" width="16.7109375" customWidth="1"/>
    <col min="15879" max="15879" width="17.7109375" customWidth="1"/>
    <col min="15880" max="15880" width="4.7109375" customWidth="1"/>
    <col min="15881" max="15881" width="16.85546875" customWidth="1"/>
    <col min="15882" max="15882" width="1.5703125" customWidth="1"/>
    <col min="15883" max="15883" width="14.5703125" customWidth="1"/>
    <col min="15884" max="15884" width="17.7109375" customWidth="1"/>
    <col min="16130" max="16131" width="8.28515625" customWidth="1"/>
    <col min="16132" max="16132" width="5" customWidth="1"/>
    <col min="16133" max="16133" width="8.28515625" customWidth="1"/>
    <col min="16134" max="16134" width="16.7109375" customWidth="1"/>
    <col min="16135" max="16135" width="17.7109375" customWidth="1"/>
    <col min="16136" max="16136" width="4.7109375" customWidth="1"/>
    <col min="16137" max="16137" width="16.85546875" customWidth="1"/>
    <col min="16138" max="16138" width="1.5703125" customWidth="1"/>
    <col min="16139" max="16139" width="14.5703125" customWidth="1"/>
    <col min="16140" max="16140" width="17.7109375" customWidth="1"/>
  </cols>
  <sheetData>
    <row r="1" spans="1:12" x14ac:dyDescent="0.2">
      <c r="A1" t="s">
        <v>1962</v>
      </c>
    </row>
    <row r="3" spans="1:12" ht="15.75" x14ac:dyDescent="0.25">
      <c r="A3" s="289" t="s">
        <v>1963</v>
      </c>
    </row>
    <row r="4" spans="1:12" s="1497" customFormat="1" ht="15.75" x14ac:dyDescent="0.25">
      <c r="A4" s="1" t="s">
        <v>1964</v>
      </c>
      <c r="B4" s="289"/>
      <c r="C4" s="289"/>
      <c r="D4" s="289"/>
      <c r="E4" s="289"/>
      <c r="F4" s="1494" t="s">
        <v>1965</v>
      </c>
      <c r="G4" s="1495" t="s">
        <v>2013</v>
      </c>
      <c r="H4" s="1493"/>
      <c r="I4" s="1496"/>
    </row>
    <row r="5" spans="1:12" s="1497" customFormat="1" ht="15.75" x14ac:dyDescent="0.25">
      <c r="A5" s="1"/>
      <c r="B5" s="289"/>
      <c r="C5" s="289"/>
      <c r="D5" s="289"/>
      <c r="E5" s="289"/>
      <c r="F5" s="1494"/>
      <c r="G5" s="1498"/>
      <c r="H5" s="1499"/>
      <c r="I5" s="1496"/>
    </row>
    <row r="6" spans="1:12" s="1497" customFormat="1" ht="15.75" x14ac:dyDescent="0.25">
      <c r="A6" s="1"/>
      <c r="B6" s="289"/>
      <c r="C6" s="289"/>
      <c r="D6" s="289"/>
      <c r="E6" s="289"/>
      <c r="F6" s="1494"/>
      <c r="G6" s="1498"/>
      <c r="H6" s="1499"/>
      <c r="I6" s="1496"/>
    </row>
    <row r="7" spans="1:12" s="1497" customFormat="1" ht="15.75" x14ac:dyDescent="0.25">
      <c r="B7" s="289"/>
      <c r="C7" s="289"/>
      <c r="D7" s="289"/>
      <c r="E7" s="289"/>
      <c r="G7" s="1500" t="s">
        <v>1966</v>
      </c>
      <c r="H7" s="1499"/>
      <c r="I7" s="1501" t="s">
        <v>1967</v>
      </c>
    </row>
    <row r="8" spans="1:12" x14ac:dyDescent="0.2">
      <c r="G8" s="1502"/>
      <c r="H8" s="1499"/>
      <c r="I8" s="1503"/>
    </row>
    <row r="9" spans="1:12" ht="16.5" customHeight="1" x14ac:dyDescent="0.25">
      <c r="A9" s="289" t="s">
        <v>8</v>
      </c>
      <c r="B9" t="s">
        <v>1968</v>
      </c>
      <c r="E9" t="s">
        <v>1969</v>
      </c>
      <c r="G9" s="1504">
        <v>563750677.57000005</v>
      </c>
      <c r="I9" s="1505">
        <v>905634266.19000006</v>
      </c>
    </row>
    <row r="10" spans="1:12" ht="16.5" customHeight="1" x14ac:dyDescent="0.2">
      <c r="I10" s="1505"/>
    </row>
    <row r="11" spans="1:12" ht="16.5" customHeight="1" x14ac:dyDescent="0.2">
      <c r="B11" t="s">
        <v>1970</v>
      </c>
      <c r="E11" t="s">
        <v>1971</v>
      </c>
      <c r="G11" s="1506">
        <v>3000168.03</v>
      </c>
      <c r="H11" s="1507"/>
      <c r="I11" s="1505">
        <v>6000000</v>
      </c>
      <c r="L11" t="s">
        <v>2014</v>
      </c>
    </row>
    <row r="12" spans="1:12" ht="16.5" customHeight="1" x14ac:dyDescent="0.2">
      <c r="I12" s="1505"/>
    </row>
    <row r="13" spans="1:12" ht="16.5" customHeight="1" x14ac:dyDescent="0.25">
      <c r="A13" s="289" t="s">
        <v>13</v>
      </c>
      <c r="C13" s="1508"/>
      <c r="D13" s="1508"/>
      <c r="E13" s="1508"/>
      <c r="F13" s="1508"/>
      <c r="G13" s="1504">
        <f>SUM(G9:G11)</f>
        <v>566750845.60000002</v>
      </c>
      <c r="I13" s="1509">
        <f>SUM(I9:I11)</f>
        <v>911634266.19000006</v>
      </c>
    </row>
    <row r="14" spans="1:12" ht="16.5" customHeight="1" x14ac:dyDescent="0.2">
      <c r="I14" s="1505"/>
    </row>
    <row r="15" spans="1:12" s="289" customFormat="1" ht="16.5" customHeight="1" x14ac:dyDescent="0.25">
      <c r="B15" s="1510" t="s">
        <v>1972</v>
      </c>
      <c r="D15" s="1510"/>
      <c r="E15" s="1510"/>
      <c r="F15" s="1511" t="s">
        <v>1973</v>
      </c>
      <c r="G15" s="1504">
        <v>-167712452.99000001</v>
      </c>
      <c r="H15" s="1512"/>
      <c r="I15" s="96">
        <v>173504211.83000001</v>
      </c>
    </row>
    <row r="16" spans="1:12" ht="16.5" customHeight="1" x14ac:dyDescent="0.2">
      <c r="I16" s="1505"/>
    </row>
    <row r="17" spans="1:13" s="289" customFormat="1" ht="16.5" customHeight="1" x14ac:dyDescent="0.25">
      <c r="A17" s="289" t="s">
        <v>1974</v>
      </c>
      <c r="C17" s="1510"/>
      <c r="D17" s="1510"/>
      <c r="E17" s="1510"/>
      <c r="F17" s="1510"/>
      <c r="G17" s="1513">
        <f>SUM(G13:G15)</f>
        <v>399038392.61000001</v>
      </c>
      <c r="H17" s="1512"/>
      <c r="I17" s="1514">
        <f>SUM(I13:I15)</f>
        <v>1085138478.02</v>
      </c>
      <c r="L17" s="96"/>
      <c r="M17" s="2"/>
    </row>
    <row r="18" spans="1:13" ht="16.5" customHeight="1" x14ac:dyDescent="0.2">
      <c r="I18" s="1505"/>
      <c r="L18" s="1515"/>
    </row>
    <row r="19" spans="1:13" ht="16.5" customHeight="1" x14ac:dyDescent="0.2">
      <c r="I19" s="1505"/>
    </row>
    <row r="20" spans="1:13" ht="16.5" customHeight="1" x14ac:dyDescent="0.2">
      <c r="I20" s="1505"/>
    </row>
    <row r="21" spans="1:13" ht="16.5" customHeight="1" x14ac:dyDescent="0.25">
      <c r="A21" s="289" t="s">
        <v>257</v>
      </c>
      <c r="B21" t="s">
        <v>1968</v>
      </c>
      <c r="E21" t="s">
        <v>1975</v>
      </c>
      <c r="G21" s="1504">
        <v>396038224.57999998</v>
      </c>
      <c r="I21" s="1505">
        <v>1079138478.02</v>
      </c>
    </row>
    <row r="22" spans="1:13" ht="16.5" customHeight="1" x14ac:dyDescent="0.2">
      <c r="I22" s="1505"/>
    </row>
    <row r="23" spans="1:13" ht="16.5" customHeight="1" x14ac:dyDescent="0.2">
      <c r="B23" t="s">
        <v>1970</v>
      </c>
      <c r="E23" t="str">
        <f>E11</f>
        <v>ř. 4281</v>
      </c>
      <c r="G23" s="1506">
        <f>G11</f>
        <v>3000168.03</v>
      </c>
      <c r="H23" s="1507"/>
      <c r="I23" s="1516">
        <f>I11</f>
        <v>6000000</v>
      </c>
    </row>
    <row r="24" spans="1:13" ht="16.5" customHeight="1" x14ac:dyDescent="0.2">
      <c r="I24" s="1505"/>
    </row>
    <row r="25" spans="1:13" s="116" customFormat="1" ht="16.5" customHeight="1" x14ac:dyDescent="0.25">
      <c r="A25" s="289" t="s">
        <v>55</v>
      </c>
      <c r="C25" s="1517"/>
      <c r="D25" s="1517"/>
      <c r="E25" s="1517"/>
      <c r="F25" s="1517"/>
      <c r="G25" s="1513">
        <f>SUM(G21:G23)</f>
        <v>399038392.60999995</v>
      </c>
      <c r="H25" s="1512"/>
      <c r="I25" s="1518">
        <f>SUM(I21:I23)</f>
        <v>1085138478.02</v>
      </c>
    </row>
    <row r="26" spans="1:13" x14ac:dyDescent="0.2">
      <c r="I26" s="1505"/>
    </row>
    <row r="27" spans="1:13" x14ac:dyDescent="0.2">
      <c r="I27" s="1505"/>
      <c r="L27" s="1519" t="s">
        <v>1976</v>
      </c>
    </row>
    <row r="28" spans="1:13" x14ac:dyDescent="0.2">
      <c r="A28" s="426" t="s">
        <v>1977</v>
      </c>
      <c r="B28" s="426" t="s">
        <v>1978</v>
      </c>
      <c r="E28" s="1519" t="s">
        <v>1976</v>
      </c>
      <c r="G28" s="1492">
        <f>G30-G29</f>
        <v>361323057.17999995</v>
      </c>
      <c r="I28" s="1520">
        <f>I30-I29</f>
        <v>779176980.78999996</v>
      </c>
      <c r="K28" s="1515"/>
      <c r="L28" s="1515">
        <f>396038224.58-37715335.43+3000168.03</f>
        <v>361323057.17999995</v>
      </c>
    </row>
    <row r="29" spans="1:13" x14ac:dyDescent="0.2">
      <c r="A29" s="426"/>
      <c r="B29" s="426" t="s">
        <v>1979</v>
      </c>
      <c r="E29" t="s">
        <v>1980</v>
      </c>
      <c r="G29" s="1506">
        <v>37715335.43</v>
      </c>
      <c r="I29" s="1516">
        <v>305961497.23000002</v>
      </c>
      <c r="L29" s="1515"/>
    </row>
    <row r="30" spans="1:13" x14ac:dyDescent="0.2">
      <c r="A30" t="s">
        <v>1981</v>
      </c>
      <c r="G30" s="1492">
        <f>G25</f>
        <v>399038392.60999995</v>
      </c>
      <c r="I30" s="1520">
        <f>I25</f>
        <v>1085138478.02</v>
      </c>
      <c r="L30" s="1515"/>
    </row>
    <row r="31" spans="1:13" x14ac:dyDescent="0.2">
      <c r="I31" s="1505"/>
    </row>
    <row r="32" spans="1:13" x14ac:dyDescent="0.2">
      <c r="G32" s="1502"/>
      <c r="H32" s="1499"/>
      <c r="I32" s="1503"/>
    </row>
    <row r="33" spans="1:9" x14ac:dyDescent="0.2">
      <c r="G33" s="1502"/>
      <c r="H33" s="1499"/>
      <c r="I33" s="1503"/>
    </row>
    <row r="34" spans="1:9" x14ac:dyDescent="0.2">
      <c r="A34" t="s">
        <v>1982</v>
      </c>
      <c r="E34" t="s">
        <v>1983</v>
      </c>
      <c r="G34" s="1492">
        <v>886403004.22000003</v>
      </c>
      <c r="I34" s="1505">
        <v>85639315.760000005</v>
      </c>
    </row>
    <row r="35" spans="1:9" x14ac:dyDescent="0.2">
      <c r="I35" s="1505"/>
    </row>
    <row r="36" spans="1:9" x14ac:dyDescent="0.2">
      <c r="E36" t="s">
        <v>1984</v>
      </c>
      <c r="G36" s="1492">
        <v>0</v>
      </c>
      <c r="I36" s="1505">
        <v>0</v>
      </c>
    </row>
    <row r="37" spans="1:9" x14ac:dyDescent="0.2">
      <c r="E37" t="s">
        <v>1985</v>
      </c>
      <c r="G37" s="1492">
        <v>826688755.87</v>
      </c>
      <c r="I37" s="1493">
        <f>I11</f>
        <v>6000000</v>
      </c>
    </row>
    <row r="38" spans="1:9" x14ac:dyDescent="0.2">
      <c r="E38" t="s">
        <v>1986</v>
      </c>
      <c r="G38" s="1506">
        <v>0</v>
      </c>
      <c r="I38" s="1521">
        <v>0</v>
      </c>
    </row>
    <row r="39" spans="1:9" x14ac:dyDescent="0.2">
      <c r="I39" s="1505"/>
    </row>
    <row r="40" spans="1:9" x14ac:dyDescent="0.2">
      <c r="A40" t="s">
        <v>1987</v>
      </c>
      <c r="F40" t="s">
        <v>1988</v>
      </c>
      <c r="G40" s="1492">
        <f>SUM(G36:G39)</f>
        <v>826688755.87</v>
      </c>
      <c r="I40" s="1520">
        <f>SUM(I36:I39)</f>
        <v>6000000</v>
      </c>
    </row>
    <row r="41" spans="1:9" x14ac:dyDescent="0.2">
      <c r="I41" s="1520"/>
    </row>
    <row r="42" spans="1:9" x14ac:dyDescent="0.2">
      <c r="A42" s="1522" t="s">
        <v>1989</v>
      </c>
      <c r="G42" s="1492">
        <f>G34-G40</f>
        <v>59714248.350000024</v>
      </c>
      <c r="I42" s="1520">
        <f>I34-I40</f>
        <v>79639315.760000005</v>
      </c>
    </row>
    <row r="43" spans="1:9" ht="16.5" customHeight="1" x14ac:dyDescent="0.2">
      <c r="B43" t="s">
        <v>1970</v>
      </c>
      <c r="G43" s="1506">
        <f>G11</f>
        <v>3000168.03</v>
      </c>
      <c r="H43" s="1507"/>
      <c r="I43" s="1516">
        <f>I11</f>
        <v>6000000</v>
      </c>
    </row>
    <row r="44" spans="1:9" x14ac:dyDescent="0.2">
      <c r="I44" s="1520"/>
    </row>
    <row r="45" spans="1:9" ht="15.75" x14ac:dyDescent="0.25">
      <c r="A45" s="1523" t="s">
        <v>1990</v>
      </c>
      <c r="G45" s="1524">
        <f>SUM(G42:G44)</f>
        <v>62714416.380000025</v>
      </c>
      <c r="I45" s="1525">
        <f>SUM(I42:I44)</f>
        <v>85639315.760000005</v>
      </c>
    </row>
    <row r="48" spans="1:9" x14ac:dyDescent="0.2">
      <c r="C48" s="588"/>
    </row>
    <row r="49" spans="1:13" x14ac:dyDescent="0.2">
      <c r="A49" s="588" t="s">
        <v>1991</v>
      </c>
      <c r="B49" s="588"/>
      <c r="C49" s="1691">
        <v>45490</v>
      </c>
      <c r="D49" s="1691"/>
      <c r="G49" s="1502"/>
      <c r="H49" s="1499"/>
      <c r="I49" s="588"/>
    </row>
    <row r="50" spans="1:13" x14ac:dyDescent="0.2">
      <c r="G50" s="1502"/>
      <c r="H50" s="1499"/>
      <c r="I50" s="588"/>
    </row>
    <row r="51" spans="1:13" ht="12.75" x14ac:dyDescent="0.2">
      <c r="G51" s="1500" t="s">
        <v>1966</v>
      </c>
      <c r="H51" s="1499"/>
      <c r="I51" s="1500" t="s">
        <v>1992</v>
      </c>
    </row>
    <row r="52" spans="1:13" ht="14.25" x14ac:dyDescent="0.2">
      <c r="A52" t="s">
        <v>8</v>
      </c>
      <c r="B52" t="s">
        <v>1993</v>
      </c>
      <c r="E52" t="s">
        <v>1994</v>
      </c>
      <c r="F52" s="1526"/>
      <c r="G52" s="1527">
        <v>297417157.41000003</v>
      </c>
      <c r="I52" s="1493">
        <v>565149250</v>
      </c>
    </row>
    <row r="53" spans="1:13" ht="14.25" x14ac:dyDescent="0.2">
      <c r="B53" t="s">
        <v>1995</v>
      </c>
      <c r="E53" t="s">
        <v>1996</v>
      </c>
      <c r="F53" s="1526"/>
      <c r="G53" s="1527">
        <v>203617804.81</v>
      </c>
      <c r="I53" s="1493">
        <v>189794148.43000001</v>
      </c>
    </row>
    <row r="54" spans="1:13" ht="14.25" x14ac:dyDescent="0.2">
      <c r="B54" t="s">
        <v>1997</v>
      </c>
      <c r="E54" t="s">
        <v>1998</v>
      </c>
      <c r="F54" s="1526"/>
      <c r="G54" s="1527">
        <v>3001467</v>
      </c>
      <c r="I54" s="1493">
        <v>71051552</v>
      </c>
    </row>
    <row r="55" spans="1:13" ht="14.25" x14ac:dyDescent="0.2">
      <c r="B55" t="s">
        <v>1999</v>
      </c>
      <c r="C55" t="s">
        <v>2000</v>
      </c>
      <c r="F55" s="1526"/>
      <c r="G55" s="1528">
        <f>G45</f>
        <v>62714416.380000025</v>
      </c>
      <c r="I55" s="1516">
        <f>I45</f>
        <v>85639315.760000005</v>
      </c>
    </row>
    <row r="56" spans="1:13" ht="14.25" x14ac:dyDescent="0.2">
      <c r="A56" t="s">
        <v>13</v>
      </c>
      <c r="F56" s="1526"/>
      <c r="G56" s="1527">
        <f>SUM(G52:G55)</f>
        <v>566750845.60000002</v>
      </c>
      <c r="I56" s="1493">
        <f>SUM(I52:I55)</f>
        <v>911634266.19000006</v>
      </c>
    </row>
    <row r="57" spans="1:13" ht="14.25" x14ac:dyDescent="0.2">
      <c r="B57" t="s">
        <v>2001</v>
      </c>
      <c r="F57" s="1526"/>
      <c r="G57" s="1529">
        <f>G15</f>
        <v>-167712452.99000001</v>
      </c>
      <c r="I57" s="1530">
        <f>I15</f>
        <v>173504211.83000001</v>
      </c>
    </row>
    <row r="58" spans="1:13" ht="14.25" x14ac:dyDescent="0.2">
      <c r="F58" s="1526"/>
      <c r="G58" s="1527"/>
      <c r="I58" s="1493"/>
    </row>
    <row r="59" spans="1:13" x14ac:dyDescent="0.25">
      <c r="A59" s="426" t="s">
        <v>1974</v>
      </c>
      <c r="C59" s="1508"/>
      <c r="D59" s="1508"/>
      <c r="E59" s="1508"/>
      <c r="F59" s="1531"/>
      <c r="G59" s="1532">
        <f>SUM(G56:G58)</f>
        <v>399038392.61000001</v>
      </c>
      <c r="I59" s="1493">
        <f>SUM(I56:I57)</f>
        <v>1085138478.02</v>
      </c>
    </row>
    <row r="60" spans="1:13" ht="14.25" x14ac:dyDescent="0.2">
      <c r="F60" s="1526"/>
      <c r="G60" s="1533"/>
      <c r="H60" s="1499"/>
      <c r="I60" s="1499"/>
      <c r="J60" s="588"/>
      <c r="K60" s="588"/>
    </row>
    <row r="62" spans="1:13" x14ac:dyDescent="0.2">
      <c r="G62" s="1502"/>
      <c r="H62" s="1499"/>
      <c r="I62" s="588"/>
    </row>
    <row r="63" spans="1:13" ht="12.75" x14ac:dyDescent="0.2">
      <c r="B63" t="s">
        <v>2002</v>
      </c>
      <c r="E63" t="s">
        <v>2003</v>
      </c>
      <c r="G63" s="1179">
        <v>874088175.61000001</v>
      </c>
      <c r="I63" s="1179">
        <v>81810309.319999993</v>
      </c>
      <c r="L63" s="1534" t="s">
        <v>2004</v>
      </c>
      <c r="M63" t="s">
        <v>2005</v>
      </c>
    </row>
    <row r="64" spans="1:13" ht="12.75" x14ac:dyDescent="0.2">
      <c r="C64" s="1508"/>
      <c r="D64" s="1535" t="s">
        <v>2006</v>
      </c>
      <c r="E64" s="1508" t="s">
        <v>2007</v>
      </c>
      <c r="F64" s="1508" t="s">
        <v>2008</v>
      </c>
      <c r="G64" s="1536">
        <v>-823688587.84000003</v>
      </c>
      <c r="I64" s="1536">
        <v>0</v>
      </c>
      <c r="L64" s="1534" t="s">
        <v>2004</v>
      </c>
      <c r="M64" t="s">
        <v>2009</v>
      </c>
    </row>
    <row r="65" spans="2:9" ht="12.75" x14ac:dyDescent="0.2">
      <c r="B65" t="s">
        <v>2010</v>
      </c>
      <c r="G65" s="1179">
        <f>SUM(G63:G64)</f>
        <v>50399587.769999981</v>
      </c>
      <c r="I65" s="1179">
        <f>SUM(I63:I64)</f>
        <v>81810309.319999993</v>
      </c>
    </row>
    <row r="66" spans="2:9" ht="12.75" x14ac:dyDescent="0.2">
      <c r="G66" s="1520"/>
      <c r="I66" s="1"/>
    </row>
    <row r="67" spans="2:9" ht="12.75" x14ac:dyDescent="0.2">
      <c r="G67" s="1493"/>
      <c r="I67" s="1"/>
    </row>
    <row r="68" spans="2:9" ht="12.75" x14ac:dyDescent="0.2">
      <c r="B68" t="s">
        <v>2011</v>
      </c>
      <c r="G68" s="1493"/>
      <c r="I68" s="1"/>
    </row>
    <row r="69" spans="2:9" x14ac:dyDescent="0.2">
      <c r="B69" t="s">
        <v>2012</v>
      </c>
    </row>
  </sheetData>
  <mergeCells count="1">
    <mergeCell ref="C49:D49"/>
  </mergeCells>
  <pageMargins left="0.78740157480314965" right="0.35433070866141736" top="0.98425196850393704" bottom="0.98425196850393704" header="0.51181102362204722" footer="0.51181102362204722"/>
  <pageSetup paperSize="9" scale="8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14</vt:i4>
      </vt:variant>
    </vt:vector>
  </HeadingPairs>
  <TitlesOfParts>
    <vt:vector size="19" baseType="lpstr">
      <vt:lpstr>priloha_1</vt:lpstr>
      <vt:lpstr>2024_priloha_3</vt:lpstr>
      <vt:lpstr>1.pol.24</vt:lpstr>
      <vt:lpstr>1.pol.24koncept</vt:lpstr>
      <vt:lpstr>dle040-I.</vt:lpstr>
      <vt:lpstr>'1.pol.24'!Excel_BuiltIn_Print_Area</vt:lpstr>
      <vt:lpstr>'1.pol.24koncept'!Excel_BuiltIn_Print_Area</vt:lpstr>
      <vt:lpstr>priloha_1!Excel_BuiltIn_Print_Area</vt:lpstr>
      <vt:lpstr>'1.pol.24'!Excel_BuiltIn_Print_Titles</vt:lpstr>
      <vt:lpstr>'1.pol.24koncept'!Excel_BuiltIn_Print_Titles</vt:lpstr>
      <vt:lpstr>priloha_1!Excel_BuiltIn_Print_Titles</vt:lpstr>
      <vt:lpstr>'1.pol.24'!Názvy_tisku</vt:lpstr>
      <vt:lpstr>'1.pol.24koncept'!Názvy_tisku</vt:lpstr>
      <vt:lpstr>priloha_1!Názvy_tisku</vt:lpstr>
      <vt:lpstr>'1.pol.24'!Oblast_tisku</vt:lpstr>
      <vt:lpstr>'1.pol.24koncept'!Oblast_tisku</vt:lpstr>
      <vt:lpstr>'dle040-I.'!Oblast_tisku</vt:lpstr>
      <vt:lpstr>priloha_1!Oblast_tisku</vt:lpstr>
      <vt:lpstr>'2024_priloha_3'!Print_Titles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Jarmila Straková</dc:creator>
  <cp:lastModifiedBy>Jana Holíková</cp:lastModifiedBy>
  <cp:lastPrinted>2024-07-29T13:04:37Z</cp:lastPrinted>
  <dcterms:created xsi:type="dcterms:W3CDTF">2021-10-11T07:05:45Z</dcterms:created>
  <dcterms:modified xsi:type="dcterms:W3CDTF">2024-07-29T13:53:49Z</dcterms:modified>
</cp:coreProperties>
</file>