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trakova\Nextcloud\VYSLEDKY_HOSPODARENI\VH_2024\K 31.12.2024\"/>
    </mc:Choice>
  </mc:AlternateContent>
  <bookViews>
    <workbookView xWindow="0" yWindow="0" windowWidth="20490" windowHeight="7125" firstSheet="1" activeTab="2"/>
  </bookViews>
  <sheets>
    <sheet name="priloha_1" sheetId="1" state="hidden" r:id="rId1"/>
    <sheet name="1.pol.24" sheetId="3" r:id="rId2"/>
    <sheet name="2.pol.24" sheetId="6" r:id="rId3"/>
  </sheets>
  <externalReferences>
    <externalReference r:id="rId4"/>
  </externalReferences>
  <definedNames>
    <definedName name="__xlfn_ANCHORARRAY">NA()</definedName>
    <definedName name="Excel_BuiltIn__FilterDatabase" localSheetId="1">'1.pol.24'!#REF!</definedName>
    <definedName name="Excel_BuiltIn__FilterDatabase" localSheetId="2">'2.pol.24'!#REF!</definedName>
    <definedName name="Excel_BuiltIn_Print_Area" localSheetId="1">'1.pol.24'!$A$1:$D$882</definedName>
    <definedName name="Excel_BuiltIn_Print_Area" localSheetId="2">'2.pol.24'!$A$1:$D$911</definedName>
    <definedName name="Excel_BuiltIn_Print_Area" localSheetId="0">priloha_1!$A$1:$G$50</definedName>
    <definedName name="Excel_BuiltIn_Print_Titles" localSheetId="1">'1.pol.24'!$1:$1</definedName>
    <definedName name="Excel_BuiltIn_Print_Titles" localSheetId="2">'2.pol.24'!$1:$1</definedName>
    <definedName name="Excel_BuiltIn_Print_Titles" localSheetId="0">priloha_1!$2:$2</definedName>
    <definedName name="kurz">[1]rozhodnutí!$N$31</definedName>
    <definedName name="_xlnm.Print_Area" localSheetId="1">'1.pol.24'!$A$1:$I$882</definedName>
    <definedName name="_xlnm.Print_Area" localSheetId="2">'2.pol.24'!$A$1:$I$911</definedName>
    <definedName name="_xlnm.Print_Area" localSheetId="0">priloha_1!$A$1:$G$50</definedName>
    <definedName name="Print_Titles" localSheetId="1">'1.pol.24'!$1:$1</definedName>
    <definedName name="Print_Titles" localSheetId="2">'2.pol.24'!$1:$1</definedName>
    <definedName name="Print_Titles" localSheetId="0">priloha_1!$2:$2</definedName>
  </definedNames>
  <calcPr calcId="152511"/>
</workbook>
</file>

<file path=xl/calcChain.xml><?xml version="1.0" encoding="utf-8"?>
<calcChain xmlns="http://schemas.openxmlformats.org/spreadsheetml/2006/main">
  <c r="I911" i="6" l="1"/>
  <c r="F911" i="6"/>
  <c r="I908" i="6"/>
  <c r="G908" i="6"/>
  <c r="D908" i="6"/>
  <c r="H908" i="6" s="1"/>
  <c r="D907" i="6"/>
  <c r="H907" i="6" s="1"/>
  <c r="C907" i="6"/>
  <c r="I906" i="6"/>
  <c r="F906" i="6"/>
  <c r="H905" i="6"/>
  <c r="H904" i="6"/>
  <c r="D904" i="6"/>
  <c r="D903" i="6"/>
  <c r="D901" i="6" s="1"/>
  <c r="H901" i="6" s="1"/>
  <c r="H902" i="6"/>
  <c r="D902" i="6"/>
  <c r="I901" i="6"/>
  <c r="F901" i="6"/>
  <c r="C901" i="6"/>
  <c r="I900" i="6"/>
  <c r="H900" i="6"/>
  <c r="G900" i="6"/>
  <c r="D900" i="6"/>
  <c r="I899" i="6"/>
  <c r="H899" i="6"/>
  <c r="G899" i="6"/>
  <c r="D899" i="6"/>
  <c r="I898" i="6"/>
  <c r="H898" i="6"/>
  <c r="F898" i="6"/>
  <c r="D898" i="6"/>
  <c r="C898" i="6"/>
  <c r="G898" i="6" s="1"/>
  <c r="I897" i="6"/>
  <c r="G897" i="6"/>
  <c r="D897" i="6"/>
  <c r="H897" i="6" s="1"/>
  <c r="I896" i="6"/>
  <c r="H896" i="6"/>
  <c r="G896" i="6"/>
  <c r="H895" i="6"/>
  <c r="I894" i="6"/>
  <c r="H894" i="6"/>
  <c r="G894" i="6"/>
  <c r="I893" i="6"/>
  <c r="H893" i="6"/>
  <c r="G893" i="6"/>
  <c r="I892" i="6"/>
  <c r="H892" i="6"/>
  <c r="F892" i="6"/>
  <c r="D892" i="6"/>
  <c r="D891" i="6" s="1"/>
  <c r="H891" i="6" s="1"/>
  <c r="I891" i="6"/>
  <c r="C891" i="6"/>
  <c r="I889" i="6"/>
  <c r="F889" i="6"/>
  <c r="I887" i="6"/>
  <c r="G887" i="6"/>
  <c r="D887" i="6"/>
  <c r="H887" i="6" s="1"/>
  <c r="I886" i="6"/>
  <c r="G886" i="6"/>
  <c r="D886" i="6"/>
  <c r="H886" i="6" s="1"/>
  <c r="C886" i="6"/>
  <c r="G885" i="6"/>
  <c r="D885" i="6"/>
  <c r="H884" i="6"/>
  <c r="G884" i="6"/>
  <c r="D884" i="6"/>
  <c r="H883" i="6"/>
  <c r="G883" i="6"/>
  <c r="G882" i="6"/>
  <c r="F882" i="6"/>
  <c r="D882" i="6"/>
  <c r="C882" i="6"/>
  <c r="I881" i="6"/>
  <c r="G881" i="6"/>
  <c r="F881" i="6"/>
  <c r="C881" i="6"/>
  <c r="H879" i="6"/>
  <c r="G879" i="6"/>
  <c r="D879" i="6"/>
  <c r="H878" i="6"/>
  <c r="G878" i="6"/>
  <c r="H877" i="6"/>
  <c r="G877" i="6"/>
  <c r="I876" i="6"/>
  <c r="H876" i="6"/>
  <c r="G876" i="6"/>
  <c r="D876" i="6"/>
  <c r="I875" i="6"/>
  <c r="H875" i="6"/>
  <c r="G875" i="6"/>
  <c r="D875" i="6"/>
  <c r="I874" i="6"/>
  <c r="H874" i="6"/>
  <c r="F874" i="6"/>
  <c r="D874" i="6"/>
  <c r="C874" i="6"/>
  <c r="G874" i="6" s="1"/>
  <c r="H873" i="6"/>
  <c r="G873" i="6"/>
  <c r="I872" i="6"/>
  <c r="H872" i="6"/>
  <c r="G872" i="6"/>
  <c r="I871" i="6"/>
  <c r="H871" i="6"/>
  <c r="G871" i="6"/>
  <c r="F871" i="6"/>
  <c r="D871" i="6"/>
  <c r="C871" i="6"/>
  <c r="I870" i="6"/>
  <c r="H870" i="6"/>
  <c r="G870" i="6"/>
  <c r="H869" i="6"/>
  <c r="H868" i="6"/>
  <c r="G868" i="6"/>
  <c r="D868" i="6"/>
  <c r="I867" i="6"/>
  <c r="H867" i="6"/>
  <c r="F867" i="6"/>
  <c r="D867" i="6"/>
  <c r="C867" i="6"/>
  <c r="I866" i="6"/>
  <c r="G866" i="6"/>
  <c r="D866" i="6"/>
  <c r="H866" i="6" s="1"/>
  <c r="I865" i="6"/>
  <c r="G865" i="6"/>
  <c r="D865" i="6"/>
  <c r="H865" i="6" s="1"/>
  <c r="I864" i="6"/>
  <c r="H864" i="6"/>
  <c r="G864" i="6"/>
  <c r="I863" i="6"/>
  <c r="G863" i="6"/>
  <c r="D863" i="6"/>
  <c r="H863" i="6" s="1"/>
  <c r="I862" i="6"/>
  <c r="F862" i="6"/>
  <c r="D862" i="6"/>
  <c r="H862" i="6" s="1"/>
  <c r="I861" i="6"/>
  <c r="H861" i="6"/>
  <c r="G861" i="6"/>
  <c r="G860" i="6"/>
  <c r="D860" i="6"/>
  <c r="H860" i="6" s="1"/>
  <c r="I859" i="6"/>
  <c r="H859" i="6"/>
  <c r="G859" i="6"/>
  <c r="H858" i="6"/>
  <c r="G858" i="6"/>
  <c r="D858" i="6"/>
  <c r="I857" i="6"/>
  <c r="H857" i="6"/>
  <c r="G857" i="6"/>
  <c r="H856" i="6"/>
  <c r="G856" i="6"/>
  <c r="I855" i="6"/>
  <c r="H855" i="6"/>
  <c r="F855" i="6"/>
  <c r="D855" i="6"/>
  <c r="C855" i="6"/>
  <c r="G855" i="6" s="1"/>
  <c r="G854" i="6"/>
  <c r="D854" i="6"/>
  <c r="H854" i="6" s="1"/>
  <c r="H853" i="6"/>
  <c r="G853" i="6"/>
  <c r="G852" i="6"/>
  <c r="D852" i="6"/>
  <c r="H851" i="6"/>
  <c r="G851" i="6"/>
  <c r="I850" i="6"/>
  <c r="C850" i="6"/>
  <c r="G850" i="6" s="1"/>
  <c r="I849" i="6"/>
  <c r="C849" i="6"/>
  <c r="I848" i="6"/>
  <c r="G848" i="6"/>
  <c r="D848" i="6"/>
  <c r="H848" i="6" s="1"/>
  <c r="I847" i="6"/>
  <c r="G847" i="6"/>
  <c r="C847" i="6"/>
  <c r="I846" i="6"/>
  <c r="H846" i="6"/>
  <c r="G846" i="6"/>
  <c r="D846" i="6"/>
  <c r="I845" i="6"/>
  <c r="H844" i="6"/>
  <c r="G844" i="6"/>
  <c r="I843" i="6"/>
  <c r="G843" i="6"/>
  <c r="D843" i="6"/>
  <c r="H843" i="6" s="1"/>
  <c r="G842" i="6"/>
  <c r="D842" i="6"/>
  <c r="I841" i="6"/>
  <c r="H841" i="6"/>
  <c r="G841" i="6"/>
  <c r="D841" i="6"/>
  <c r="I840" i="6"/>
  <c r="H840" i="6"/>
  <c r="G840" i="6"/>
  <c r="I839" i="6"/>
  <c r="H839" i="6"/>
  <c r="G839" i="6"/>
  <c r="H838" i="6"/>
  <c r="G838" i="6"/>
  <c r="I837" i="6"/>
  <c r="H837" i="6"/>
  <c r="G837" i="6"/>
  <c r="D837" i="6"/>
  <c r="I836" i="6"/>
  <c r="H836" i="6"/>
  <c r="G836" i="6"/>
  <c r="H835" i="6"/>
  <c r="G835" i="6"/>
  <c r="I834" i="6"/>
  <c r="F834" i="6"/>
  <c r="D834" i="6"/>
  <c r="H834" i="6" s="1"/>
  <c r="C834" i="6"/>
  <c r="G834" i="6" s="1"/>
  <c r="I833" i="6"/>
  <c r="H833" i="6"/>
  <c r="G833" i="6"/>
  <c r="I832" i="6"/>
  <c r="G832" i="6"/>
  <c r="D832" i="6"/>
  <c r="H832" i="6" s="1"/>
  <c r="I831" i="6"/>
  <c r="G831" i="6"/>
  <c r="D831" i="6"/>
  <c r="H831" i="6" s="1"/>
  <c r="I830" i="6"/>
  <c r="H830" i="6"/>
  <c r="G830" i="6"/>
  <c r="I829" i="6"/>
  <c r="G829" i="6"/>
  <c r="F829" i="6"/>
  <c r="C829" i="6"/>
  <c r="I828" i="6"/>
  <c r="H828" i="6"/>
  <c r="G828" i="6"/>
  <c r="I827" i="6"/>
  <c r="H827" i="6"/>
  <c r="G827" i="6"/>
  <c r="H826" i="6"/>
  <c r="G826" i="6"/>
  <c r="I825" i="6"/>
  <c r="G825" i="6"/>
  <c r="F825" i="6"/>
  <c r="D825" i="6"/>
  <c r="H825" i="6" s="1"/>
  <c r="G824" i="6"/>
  <c r="D824" i="6"/>
  <c r="H824" i="6" s="1"/>
  <c r="I823" i="6"/>
  <c r="H823" i="6"/>
  <c r="G823" i="6"/>
  <c r="H822" i="6"/>
  <c r="G822" i="6"/>
  <c r="I821" i="6"/>
  <c r="G821" i="6"/>
  <c r="F821" i="6"/>
  <c r="C821" i="6"/>
  <c r="I820" i="6"/>
  <c r="F820" i="6"/>
  <c r="G819" i="6"/>
  <c r="D819" i="6"/>
  <c r="I818" i="6"/>
  <c r="H818" i="6"/>
  <c r="G818" i="6"/>
  <c r="D818" i="6"/>
  <c r="I817" i="6"/>
  <c r="H817" i="6"/>
  <c r="G817" i="6"/>
  <c r="I816" i="6"/>
  <c r="H816" i="6"/>
  <c r="G816" i="6"/>
  <c r="D816" i="6"/>
  <c r="I815" i="6"/>
  <c r="H815" i="6"/>
  <c r="G815" i="6"/>
  <c r="D815" i="6"/>
  <c r="D814" i="6" s="1"/>
  <c r="H814" i="6" s="1"/>
  <c r="I814" i="6"/>
  <c r="G814" i="6"/>
  <c r="F814" i="6"/>
  <c r="C814" i="6"/>
  <c r="I813" i="6"/>
  <c r="H813" i="6"/>
  <c r="G813" i="6"/>
  <c r="I812" i="6"/>
  <c r="H812" i="6"/>
  <c r="G812" i="6"/>
  <c r="D812" i="6"/>
  <c r="I811" i="6"/>
  <c r="H811" i="6"/>
  <c r="G811" i="6"/>
  <c r="D811" i="6"/>
  <c r="I810" i="6"/>
  <c r="H810" i="6"/>
  <c r="G810" i="6"/>
  <c r="I809" i="6"/>
  <c r="H809" i="6"/>
  <c r="G809" i="6"/>
  <c r="I808" i="6"/>
  <c r="G808" i="6"/>
  <c r="D808" i="6"/>
  <c r="D806" i="6" s="1"/>
  <c r="H806" i="6" s="1"/>
  <c r="C808" i="6"/>
  <c r="C806" i="6" s="1"/>
  <c r="G806" i="6" s="1"/>
  <c r="I807" i="6"/>
  <c r="H807" i="6"/>
  <c r="G807" i="6"/>
  <c r="I806" i="6"/>
  <c r="F806" i="6"/>
  <c r="I805" i="6"/>
  <c r="H805" i="6"/>
  <c r="G805" i="6"/>
  <c r="I804" i="6"/>
  <c r="H804" i="6"/>
  <c r="G804" i="6"/>
  <c r="H803" i="6"/>
  <c r="G803" i="6"/>
  <c r="I802" i="6"/>
  <c r="H802" i="6"/>
  <c r="F802" i="6"/>
  <c r="D802" i="6"/>
  <c r="C802" i="6"/>
  <c r="G802" i="6" s="1"/>
  <c r="I801" i="6"/>
  <c r="H801" i="6"/>
  <c r="G801" i="6"/>
  <c r="I800" i="6"/>
  <c r="F800" i="6"/>
  <c r="D800" i="6"/>
  <c r="H800" i="6" s="1"/>
  <c r="H799" i="6"/>
  <c r="G799" i="6"/>
  <c r="I798" i="6"/>
  <c r="H798" i="6"/>
  <c r="G798" i="6"/>
  <c r="H797" i="6"/>
  <c r="G797" i="6"/>
  <c r="I796" i="6"/>
  <c r="H796" i="6"/>
  <c r="G796" i="6"/>
  <c r="I795" i="6"/>
  <c r="F795" i="6"/>
  <c r="D795" i="6"/>
  <c r="H795" i="6" s="1"/>
  <c r="C795" i="6"/>
  <c r="G795" i="6" s="1"/>
  <c r="I794" i="6"/>
  <c r="F794" i="6"/>
  <c r="I793" i="6"/>
  <c r="H793" i="6"/>
  <c r="G793" i="6"/>
  <c r="I792" i="6"/>
  <c r="H792" i="6"/>
  <c r="D792" i="6"/>
  <c r="C792" i="6"/>
  <c r="G792" i="6" s="1"/>
  <c r="I791" i="6"/>
  <c r="F791" i="6"/>
  <c r="G790" i="6"/>
  <c r="D790" i="6"/>
  <c r="H790" i="6" s="1"/>
  <c r="H789" i="6"/>
  <c r="G789" i="6"/>
  <c r="I788" i="6"/>
  <c r="F788" i="6"/>
  <c r="C788" i="6"/>
  <c r="G788" i="6" s="1"/>
  <c r="I787" i="6"/>
  <c r="H787" i="6"/>
  <c r="G787" i="6"/>
  <c r="I786" i="6"/>
  <c r="D786" i="6"/>
  <c r="H786" i="6" s="1"/>
  <c r="I785" i="6"/>
  <c r="H785" i="6"/>
  <c r="G785" i="6"/>
  <c r="D785" i="6"/>
  <c r="D784" i="6" s="1"/>
  <c r="I784" i="6"/>
  <c r="F784" i="6"/>
  <c r="C784" i="6"/>
  <c r="G784" i="6" s="1"/>
  <c r="I783" i="6"/>
  <c r="F783" i="6"/>
  <c r="I782" i="6"/>
  <c r="H782" i="6"/>
  <c r="G782" i="6"/>
  <c r="D782" i="6"/>
  <c r="I781" i="6"/>
  <c r="H781" i="6"/>
  <c r="G781" i="6"/>
  <c r="D781" i="6"/>
  <c r="D780" i="6" s="1"/>
  <c r="H780" i="6" s="1"/>
  <c r="I780" i="6"/>
  <c r="F780" i="6"/>
  <c r="C780" i="6"/>
  <c r="G780" i="6" s="1"/>
  <c r="H779" i="6"/>
  <c r="G779" i="6"/>
  <c r="I778" i="6"/>
  <c r="H778" i="6"/>
  <c r="D778" i="6"/>
  <c r="C778" i="6"/>
  <c r="G778" i="6" s="1"/>
  <c r="H777" i="6"/>
  <c r="D777" i="6"/>
  <c r="H776" i="6"/>
  <c r="G776" i="6"/>
  <c r="I775" i="6"/>
  <c r="G775" i="6"/>
  <c r="F775" i="6"/>
  <c r="D775" i="6"/>
  <c r="H775" i="6" s="1"/>
  <c r="C775" i="6"/>
  <c r="I774" i="6"/>
  <c r="F774" i="6"/>
  <c r="I773" i="6"/>
  <c r="F773" i="6"/>
  <c r="I772" i="6"/>
  <c r="H772" i="6"/>
  <c r="G772" i="6"/>
  <c r="I771" i="6"/>
  <c r="F771" i="6"/>
  <c r="H769" i="6"/>
  <c r="G769" i="6"/>
  <c r="D768" i="6"/>
  <c r="H768" i="6" s="1"/>
  <c r="C768" i="6"/>
  <c r="G768" i="6" s="1"/>
  <c r="I767" i="6"/>
  <c r="H767" i="6"/>
  <c r="G767" i="6"/>
  <c r="I766" i="6"/>
  <c r="G766" i="6"/>
  <c r="D766" i="6"/>
  <c r="H766" i="6" s="1"/>
  <c r="I765" i="6"/>
  <c r="G765" i="6"/>
  <c r="D765" i="6"/>
  <c r="H765" i="6" s="1"/>
  <c r="I764" i="6"/>
  <c r="G764" i="6"/>
  <c r="D764" i="6"/>
  <c r="H764" i="6" s="1"/>
  <c r="I763" i="6"/>
  <c r="H763" i="6"/>
  <c r="G763" i="6"/>
  <c r="I762" i="6"/>
  <c r="H762" i="6"/>
  <c r="F762" i="6"/>
  <c r="D762" i="6"/>
  <c r="C762" i="6"/>
  <c r="G762" i="6" s="1"/>
  <c r="H761" i="6"/>
  <c r="G761" i="6"/>
  <c r="H760" i="6"/>
  <c r="G760" i="6"/>
  <c r="H759" i="6"/>
  <c r="G759" i="6"/>
  <c r="I758" i="6"/>
  <c r="H758" i="6"/>
  <c r="G758" i="6"/>
  <c r="D758" i="6"/>
  <c r="I757" i="6"/>
  <c r="H757" i="6"/>
  <c r="G757" i="6"/>
  <c r="D757" i="6"/>
  <c r="I756" i="6"/>
  <c r="H756" i="6"/>
  <c r="G756" i="6"/>
  <c r="D756" i="6"/>
  <c r="I755" i="6"/>
  <c r="H755" i="6"/>
  <c r="F755" i="6"/>
  <c r="D755" i="6"/>
  <c r="C755" i="6"/>
  <c r="G755" i="6" s="1"/>
  <c r="I754" i="6"/>
  <c r="H754" i="6"/>
  <c r="G754" i="6"/>
  <c r="I753" i="6"/>
  <c r="G753" i="6"/>
  <c r="D753" i="6"/>
  <c r="H753" i="6" s="1"/>
  <c r="H752" i="6"/>
  <c r="G752" i="6"/>
  <c r="D752" i="6"/>
  <c r="I751" i="6"/>
  <c r="H751" i="6"/>
  <c r="G751" i="6"/>
  <c r="I750" i="6"/>
  <c r="H750" i="6"/>
  <c r="G750" i="6"/>
  <c r="I749" i="6"/>
  <c r="G749" i="6"/>
  <c r="D749" i="6"/>
  <c r="H749" i="6" s="1"/>
  <c r="I748" i="6"/>
  <c r="H748" i="6"/>
  <c r="G748" i="6"/>
  <c r="I747" i="6"/>
  <c r="F747" i="6"/>
  <c r="D747" i="6"/>
  <c r="H747" i="6" s="1"/>
  <c r="I745" i="6"/>
  <c r="H745" i="6"/>
  <c r="G745" i="6"/>
  <c r="E745" i="6"/>
  <c r="D745" i="6"/>
  <c r="I744" i="6"/>
  <c r="H744" i="6"/>
  <c r="G744" i="6"/>
  <c r="D744" i="6"/>
  <c r="I743" i="6"/>
  <c r="H743" i="6"/>
  <c r="G743" i="6"/>
  <c r="D743" i="6"/>
  <c r="H742" i="6"/>
  <c r="E742" i="6"/>
  <c r="G742" i="6" s="1"/>
  <c r="D742" i="6"/>
  <c r="I741" i="6"/>
  <c r="G741" i="6"/>
  <c r="F741" i="6"/>
  <c r="D741" i="6"/>
  <c r="H741" i="6" s="1"/>
  <c r="C741" i="6"/>
  <c r="I740" i="6"/>
  <c r="G740" i="6"/>
  <c r="C740" i="6"/>
  <c r="I738" i="6"/>
  <c r="H737" i="6"/>
  <c r="D737" i="6"/>
  <c r="I736" i="6"/>
  <c r="H736" i="6"/>
  <c r="G736" i="6"/>
  <c r="I735" i="6"/>
  <c r="D735" i="6"/>
  <c r="H735" i="6" s="1"/>
  <c r="I734" i="6"/>
  <c r="H734" i="6"/>
  <c r="G734" i="6"/>
  <c r="I733" i="6"/>
  <c r="H733" i="6"/>
  <c r="G733" i="6"/>
  <c r="D733" i="6"/>
  <c r="H732" i="6"/>
  <c r="G732" i="6"/>
  <c r="I731" i="6"/>
  <c r="H731" i="6"/>
  <c r="G731" i="6"/>
  <c r="I730" i="6"/>
  <c r="H730" i="6"/>
  <c r="G730" i="6"/>
  <c r="I729" i="6"/>
  <c r="H729" i="6"/>
  <c r="G729" i="6"/>
  <c r="I728" i="6"/>
  <c r="H728" i="6"/>
  <c r="G728" i="6"/>
  <c r="D728" i="6"/>
  <c r="I727" i="6"/>
  <c r="H727" i="6"/>
  <c r="G727" i="6"/>
  <c r="I726" i="6"/>
  <c r="H726" i="6"/>
  <c r="G726" i="6"/>
  <c r="I725" i="6"/>
  <c r="F725" i="6"/>
  <c r="D725" i="6"/>
  <c r="H725" i="6" s="1"/>
  <c r="C725" i="6"/>
  <c r="G725" i="6" s="1"/>
  <c r="I724" i="6"/>
  <c r="G724" i="6"/>
  <c r="C724" i="6"/>
  <c r="H723" i="6"/>
  <c r="G723" i="6"/>
  <c r="D723" i="6"/>
  <c r="I722" i="6"/>
  <c r="H722" i="6"/>
  <c r="G722" i="6"/>
  <c r="D722" i="6"/>
  <c r="H721" i="6"/>
  <c r="G721" i="6"/>
  <c r="I720" i="6"/>
  <c r="H720" i="6"/>
  <c r="G720" i="6"/>
  <c r="I719" i="6"/>
  <c r="H719" i="6"/>
  <c r="G719" i="6"/>
  <c r="I718" i="6"/>
  <c r="H718" i="6"/>
  <c r="G718" i="6"/>
  <c r="I717" i="6"/>
  <c r="G717" i="6"/>
  <c r="F717" i="6"/>
  <c r="D717" i="6"/>
  <c r="H717" i="6" s="1"/>
  <c r="C717" i="6"/>
  <c r="I716" i="6"/>
  <c r="H716" i="6"/>
  <c r="G716" i="6"/>
  <c r="D716" i="6"/>
  <c r="I715" i="6"/>
  <c r="H715" i="6"/>
  <c r="D715" i="6"/>
  <c r="C715" i="6"/>
  <c r="G715" i="6" s="1"/>
  <c r="I714" i="6"/>
  <c r="H714" i="6"/>
  <c r="G714" i="6"/>
  <c r="I713" i="6"/>
  <c r="H713" i="6"/>
  <c r="G713" i="6"/>
  <c r="D713" i="6"/>
  <c r="I712" i="6"/>
  <c r="H712" i="6"/>
  <c r="F712" i="6"/>
  <c r="D712" i="6"/>
  <c r="C712" i="6"/>
  <c r="G712" i="6" s="1"/>
  <c r="I711" i="6"/>
  <c r="H711" i="6"/>
  <c r="G711" i="6"/>
  <c r="I710" i="6"/>
  <c r="H710" i="6"/>
  <c r="G710" i="6"/>
  <c r="I709" i="6"/>
  <c r="H709" i="6"/>
  <c r="F709" i="6"/>
  <c r="D709" i="6"/>
  <c r="C709" i="6"/>
  <c r="G709" i="6" s="1"/>
  <c r="I708" i="6"/>
  <c r="F708" i="6"/>
  <c r="I706" i="6"/>
  <c r="H706" i="6"/>
  <c r="G706" i="6"/>
  <c r="I705" i="6"/>
  <c r="H705" i="6"/>
  <c r="G705" i="6"/>
  <c r="D705" i="6"/>
  <c r="C705" i="6"/>
  <c r="I704" i="6"/>
  <c r="H704" i="6"/>
  <c r="D704" i="6"/>
  <c r="C704" i="6"/>
  <c r="G704" i="6" s="1"/>
  <c r="I703" i="6"/>
  <c r="D703" i="6"/>
  <c r="H703" i="6" s="1"/>
  <c r="C703" i="6"/>
  <c r="G703" i="6" s="1"/>
  <c r="I702" i="6"/>
  <c r="F702" i="6"/>
  <c r="I701" i="6"/>
  <c r="H701" i="6"/>
  <c r="D701" i="6"/>
  <c r="C701" i="6"/>
  <c r="G701" i="6" s="1"/>
  <c r="I700" i="6"/>
  <c r="H700" i="6"/>
  <c r="G700" i="6"/>
  <c r="I699" i="6"/>
  <c r="F699" i="6"/>
  <c r="I697" i="6"/>
  <c r="G697" i="6"/>
  <c r="D697" i="6"/>
  <c r="H697" i="6" s="1"/>
  <c r="I696" i="6"/>
  <c r="G696" i="6"/>
  <c r="D696" i="6"/>
  <c r="H696" i="6" s="1"/>
  <c r="I695" i="6"/>
  <c r="H695" i="6"/>
  <c r="G695" i="6"/>
  <c r="I694" i="6"/>
  <c r="H694" i="6"/>
  <c r="G694" i="6"/>
  <c r="I693" i="6"/>
  <c r="H693" i="6"/>
  <c r="G693" i="6"/>
  <c r="D693" i="6"/>
  <c r="I692" i="6"/>
  <c r="H692" i="6"/>
  <c r="G692" i="6"/>
  <c r="I691" i="6"/>
  <c r="H691" i="6"/>
  <c r="G691" i="6"/>
  <c r="I690" i="6"/>
  <c r="H690" i="6"/>
  <c r="G690" i="6"/>
  <c r="D690" i="6"/>
  <c r="I689" i="6"/>
  <c r="G689" i="6"/>
  <c r="F689" i="6"/>
  <c r="F691" i="6" s="1"/>
  <c r="C689" i="6"/>
  <c r="I688" i="6"/>
  <c r="G688" i="6"/>
  <c r="D688" i="6"/>
  <c r="H688" i="6" s="1"/>
  <c r="I687" i="6"/>
  <c r="G687" i="6"/>
  <c r="D687" i="6"/>
  <c r="H687" i="6" s="1"/>
  <c r="H686" i="6"/>
  <c r="G686" i="6"/>
  <c r="G685" i="6"/>
  <c r="D685" i="6"/>
  <c r="H685" i="6" s="1"/>
  <c r="I684" i="6"/>
  <c r="H684" i="6"/>
  <c r="G684" i="6"/>
  <c r="I683" i="6"/>
  <c r="G683" i="6"/>
  <c r="D683" i="6"/>
  <c r="H683" i="6" s="1"/>
  <c r="I682" i="6"/>
  <c r="F682" i="6"/>
  <c r="C682" i="6"/>
  <c r="G682" i="6" s="1"/>
  <c r="I680" i="6"/>
  <c r="D680" i="6"/>
  <c r="H680" i="6" s="1"/>
  <c r="C680" i="6"/>
  <c r="G680" i="6" s="1"/>
  <c r="I679" i="6"/>
  <c r="D679" i="6"/>
  <c r="H679" i="6" s="1"/>
  <c r="I678" i="6"/>
  <c r="I676" i="6"/>
  <c r="D676" i="6"/>
  <c r="H676" i="6" s="1"/>
  <c r="C676" i="6"/>
  <c r="G676" i="6" s="1"/>
  <c r="I675" i="6"/>
  <c r="H675" i="6"/>
  <c r="G675" i="6"/>
  <c r="I674" i="6"/>
  <c r="H674" i="6"/>
  <c r="G674" i="6"/>
  <c r="I673" i="6"/>
  <c r="G673" i="6"/>
  <c r="D673" i="6"/>
  <c r="H673" i="6" s="1"/>
  <c r="I672" i="6"/>
  <c r="H672" i="6"/>
  <c r="D672" i="6"/>
  <c r="C672" i="6"/>
  <c r="G672" i="6" s="1"/>
  <c r="I671" i="6"/>
  <c r="H671" i="6"/>
  <c r="G671" i="6"/>
  <c r="I670" i="6"/>
  <c r="H670" i="6"/>
  <c r="G670" i="6"/>
  <c r="I669" i="6"/>
  <c r="H669" i="6"/>
  <c r="G669" i="6"/>
  <c r="D669" i="6"/>
  <c r="C669" i="6"/>
  <c r="I668" i="6"/>
  <c r="H668" i="6"/>
  <c r="G668" i="6"/>
  <c r="I667" i="6"/>
  <c r="H667" i="6"/>
  <c r="G667" i="6"/>
  <c r="I666" i="6"/>
  <c r="F666" i="6"/>
  <c r="D666" i="6"/>
  <c r="H666" i="6" s="1"/>
  <c r="I665" i="6"/>
  <c r="I663" i="6"/>
  <c r="G663" i="6"/>
  <c r="D663" i="6"/>
  <c r="H663" i="6" s="1"/>
  <c r="I662" i="6"/>
  <c r="D662" i="6"/>
  <c r="H662" i="6" s="1"/>
  <c r="C662" i="6"/>
  <c r="G662" i="6" s="1"/>
  <c r="I658" i="6"/>
  <c r="G658" i="6"/>
  <c r="D658" i="6"/>
  <c r="H658" i="6" s="1"/>
  <c r="I657" i="6"/>
  <c r="G657" i="6"/>
  <c r="F657" i="6"/>
  <c r="D657" i="6"/>
  <c r="H657" i="6" s="1"/>
  <c r="C657" i="6"/>
  <c r="I656" i="6"/>
  <c r="H656" i="6"/>
  <c r="G656" i="6"/>
  <c r="I655" i="6"/>
  <c r="H655" i="6"/>
  <c r="D655" i="6"/>
  <c r="C655" i="6"/>
  <c r="G655" i="6" s="1"/>
  <c r="I654" i="6"/>
  <c r="H654" i="6"/>
  <c r="G654" i="6"/>
  <c r="I653" i="6"/>
  <c r="G653" i="6"/>
  <c r="D653" i="6"/>
  <c r="D652" i="6" s="1"/>
  <c r="H652" i="6" s="1"/>
  <c r="I652" i="6"/>
  <c r="F652" i="6"/>
  <c r="C652" i="6"/>
  <c r="G652" i="6" s="1"/>
  <c r="I651" i="6"/>
  <c r="G651" i="6"/>
  <c r="D651" i="6"/>
  <c r="H651" i="6" s="1"/>
  <c r="I650" i="6"/>
  <c r="G650" i="6"/>
  <c r="D650" i="6"/>
  <c r="H650" i="6" s="1"/>
  <c r="I649" i="6"/>
  <c r="G649" i="6"/>
  <c r="D649" i="6"/>
  <c r="D646" i="6" s="1"/>
  <c r="H646" i="6" s="1"/>
  <c r="H648" i="6"/>
  <c r="G648" i="6"/>
  <c r="H647" i="6"/>
  <c r="G647" i="6"/>
  <c r="I646" i="6"/>
  <c r="F646" i="6"/>
  <c r="C646" i="6"/>
  <c r="G646" i="6" s="1"/>
  <c r="I645" i="6"/>
  <c r="G645" i="6"/>
  <c r="D645" i="6"/>
  <c r="H645" i="6" s="1"/>
  <c r="I644" i="6"/>
  <c r="G644" i="6"/>
  <c r="D644" i="6"/>
  <c r="D643" i="6" s="1"/>
  <c r="H643" i="6" s="1"/>
  <c r="I643" i="6"/>
  <c r="F643" i="6"/>
  <c r="C643" i="6"/>
  <c r="G643" i="6" s="1"/>
  <c r="I640" i="6"/>
  <c r="G640" i="6"/>
  <c r="D640" i="6"/>
  <c r="D639" i="6" s="1"/>
  <c r="D638" i="6" s="1"/>
  <c r="H638" i="6" s="1"/>
  <c r="I639" i="6"/>
  <c r="F639" i="6"/>
  <c r="C639" i="6"/>
  <c r="G639" i="6" s="1"/>
  <c r="I638" i="6"/>
  <c r="F638" i="6"/>
  <c r="C638" i="6"/>
  <c r="G638" i="6" s="1"/>
  <c r="I636" i="6"/>
  <c r="G636" i="6"/>
  <c r="D636" i="6"/>
  <c r="H636" i="6" s="1"/>
  <c r="I635" i="6"/>
  <c r="I634" i="6"/>
  <c r="I633" i="6"/>
  <c r="H633" i="6"/>
  <c r="G633" i="6"/>
  <c r="D633" i="6"/>
  <c r="D632" i="6" s="1"/>
  <c r="D631" i="6" s="1"/>
  <c r="H631" i="6" s="1"/>
  <c r="I632" i="6"/>
  <c r="H632" i="6"/>
  <c r="F632" i="6"/>
  <c r="C632" i="6"/>
  <c r="I631" i="6"/>
  <c r="I630" i="6"/>
  <c r="H630" i="6"/>
  <c r="G630" i="6"/>
  <c r="I629" i="6"/>
  <c r="G629" i="6"/>
  <c r="D629" i="6"/>
  <c r="H629" i="6" s="1"/>
  <c r="I628" i="6"/>
  <c r="G628" i="6"/>
  <c r="D628" i="6"/>
  <c r="D627" i="6" s="1"/>
  <c r="H627" i="6" s="1"/>
  <c r="I627" i="6"/>
  <c r="G627" i="6"/>
  <c r="F627" i="6"/>
  <c r="C627" i="6"/>
  <c r="I626" i="6"/>
  <c r="H626" i="6"/>
  <c r="D626" i="6"/>
  <c r="I625" i="6"/>
  <c r="H625" i="6"/>
  <c r="G625" i="6"/>
  <c r="I624" i="6"/>
  <c r="G624" i="6"/>
  <c r="D624" i="6"/>
  <c r="D623" i="6" s="1"/>
  <c r="H623" i="6" s="1"/>
  <c r="I623" i="6"/>
  <c r="G623" i="6"/>
  <c r="F623" i="6"/>
  <c r="C623" i="6"/>
  <c r="I622" i="6"/>
  <c r="H622" i="6"/>
  <c r="G622" i="6"/>
  <c r="I621" i="6"/>
  <c r="H621" i="6"/>
  <c r="G621" i="6"/>
  <c r="D621" i="6"/>
  <c r="I620" i="6"/>
  <c r="H620" i="6"/>
  <c r="F620" i="6"/>
  <c r="D620" i="6"/>
  <c r="C620" i="6"/>
  <c r="G620" i="6" s="1"/>
  <c r="I619" i="6"/>
  <c r="H619" i="6"/>
  <c r="G619" i="6"/>
  <c r="I618" i="6"/>
  <c r="H618" i="6"/>
  <c r="G618" i="6"/>
  <c r="D618" i="6"/>
  <c r="I617" i="6"/>
  <c r="H617" i="6"/>
  <c r="G617" i="6"/>
  <c r="D617" i="6"/>
  <c r="I616" i="6"/>
  <c r="F616" i="6"/>
  <c r="D616" i="6"/>
  <c r="H616" i="6" s="1"/>
  <c r="C616" i="6"/>
  <c r="G616" i="6" s="1"/>
  <c r="I615" i="6"/>
  <c r="H615" i="6"/>
  <c r="G615" i="6"/>
  <c r="F615" i="6"/>
  <c r="D615" i="6"/>
  <c r="C615" i="6"/>
  <c r="I614" i="6"/>
  <c r="F614" i="6"/>
  <c r="D614" i="6"/>
  <c r="H614" i="6" s="1"/>
  <c r="C614" i="6"/>
  <c r="G614" i="6" s="1"/>
  <c r="I613" i="6"/>
  <c r="G613" i="6"/>
  <c r="F613" i="6"/>
  <c r="C613" i="6"/>
  <c r="I612" i="6"/>
  <c r="H612" i="6"/>
  <c r="G612" i="6"/>
  <c r="D612" i="6"/>
  <c r="I611" i="6"/>
  <c r="F611" i="6"/>
  <c r="C611" i="6"/>
  <c r="G611" i="6" s="1"/>
  <c r="I610" i="6"/>
  <c r="G610" i="6"/>
  <c r="D610" i="6"/>
  <c r="H610" i="6" s="1"/>
  <c r="I609" i="6"/>
  <c r="G609" i="6"/>
  <c r="D609" i="6"/>
  <c r="H609" i="6" s="1"/>
  <c r="I608" i="6"/>
  <c r="G608" i="6"/>
  <c r="D608" i="6"/>
  <c r="D607" i="6" s="1"/>
  <c r="H607" i="6" s="1"/>
  <c r="I607" i="6"/>
  <c r="G607" i="6"/>
  <c r="F607" i="6"/>
  <c r="C607" i="6"/>
  <c r="I606" i="6"/>
  <c r="H606" i="6"/>
  <c r="G606" i="6"/>
  <c r="D606" i="6"/>
  <c r="H605" i="6"/>
  <c r="G605" i="6"/>
  <c r="I604" i="6"/>
  <c r="G604" i="6"/>
  <c r="D604" i="6"/>
  <c r="H604" i="6" s="1"/>
  <c r="C604" i="6"/>
  <c r="I603" i="6"/>
  <c r="F603" i="6"/>
  <c r="C603" i="6"/>
  <c r="G603" i="6" s="1"/>
  <c r="I601" i="6"/>
  <c r="G601" i="6"/>
  <c r="D601" i="6"/>
  <c r="D597" i="6" s="1"/>
  <c r="H597" i="6" s="1"/>
  <c r="I600" i="6"/>
  <c r="G600" i="6"/>
  <c r="D600" i="6"/>
  <c r="D599" i="6" s="1"/>
  <c r="H599" i="6" s="1"/>
  <c r="I599" i="6"/>
  <c r="G599" i="6"/>
  <c r="F599" i="6"/>
  <c r="C599" i="6"/>
  <c r="I598" i="6"/>
  <c r="F598" i="6"/>
  <c r="C598" i="6"/>
  <c r="G598" i="6" s="1"/>
  <c r="I597" i="6"/>
  <c r="G597" i="6"/>
  <c r="F597" i="6"/>
  <c r="C597" i="6"/>
  <c r="I596" i="6"/>
  <c r="F596" i="6"/>
  <c r="C596" i="6"/>
  <c r="G596" i="6" s="1"/>
  <c r="I595" i="6"/>
  <c r="F595" i="6"/>
  <c r="I594" i="6"/>
  <c r="F594" i="6"/>
  <c r="I593" i="6"/>
  <c r="F593" i="6"/>
  <c r="G591" i="6"/>
  <c r="D591" i="6"/>
  <c r="H591" i="6" s="1"/>
  <c r="D590" i="6"/>
  <c r="D589" i="6" s="1"/>
  <c r="H589" i="6" s="1"/>
  <c r="I589" i="6"/>
  <c r="G589" i="6"/>
  <c r="F589" i="6"/>
  <c r="C589" i="6"/>
  <c r="I587" i="6"/>
  <c r="H587" i="6"/>
  <c r="G587" i="6"/>
  <c r="I586" i="6"/>
  <c r="H586" i="6"/>
  <c r="G586" i="6"/>
  <c r="I585" i="6"/>
  <c r="G585" i="6"/>
  <c r="F585" i="6"/>
  <c r="D585" i="6"/>
  <c r="H585" i="6" s="1"/>
  <c r="C585" i="6"/>
  <c r="I583" i="6"/>
  <c r="H583" i="6"/>
  <c r="G583" i="6"/>
  <c r="D583" i="6"/>
  <c r="I582" i="6"/>
  <c r="H582" i="6"/>
  <c r="G582" i="6"/>
  <c r="D582" i="6"/>
  <c r="I581" i="6"/>
  <c r="H581" i="6"/>
  <c r="G581" i="6"/>
  <c r="I580" i="6"/>
  <c r="G580" i="6"/>
  <c r="D580" i="6"/>
  <c r="H580" i="6" s="1"/>
  <c r="I579" i="6"/>
  <c r="G579" i="6"/>
  <c r="D579" i="6"/>
  <c r="D578" i="6" s="1"/>
  <c r="I578" i="6"/>
  <c r="G578" i="6"/>
  <c r="F578" i="6"/>
  <c r="C578" i="6"/>
  <c r="I577" i="6"/>
  <c r="H577" i="6"/>
  <c r="G577" i="6"/>
  <c r="D577" i="6"/>
  <c r="I576" i="6"/>
  <c r="F576" i="6"/>
  <c r="C576" i="6"/>
  <c r="G576" i="6" s="1"/>
  <c r="I574" i="6"/>
  <c r="G574" i="6"/>
  <c r="D574" i="6"/>
  <c r="H574" i="6" s="1"/>
  <c r="I573" i="6"/>
  <c r="G573" i="6"/>
  <c r="D573" i="6"/>
  <c r="H573" i="6" s="1"/>
  <c r="I572" i="6"/>
  <c r="G572" i="6"/>
  <c r="D572" i="6"/>
  <c r="H572" i="6" s="1"/>
  <c r="I571" i="6"/>
  <c r="G571" i="6"/>
  <c r="D571" i="6"/>
  <c r="D570" i="6" s="1"/>
  <c r="H570" i="6" s="1"/>
  <c r="I570" i="6"/>
  <c r="G570" i="6"/>
  <c r="F570" i="6"/>
  <c r="C570" i="6"/>
  <c r="I568" i="6"/>
  <c r="H568" i="6"/>
  <c r="G568" i="6"/>
  <c r="I567" i="6"/>
  <c r="H567" i="6"/>
  <c r="G567" i="6"/>
  <c r="D567" i="6"/>
  <c r="C567" i="6"/>
  <c r="I565" i="6"/>
  <c r="H565" i="6"/>
  <c r="G565" i="6"/>
  <c r="D565" i="6"/>
  <c r="I564" i="6"/>
  <c r="H564" i="6"/>
  <c r="D564" i="6"/>
  <c r="C564" i="6"/>
  <c r="G564" i="6" s="1"/>
  <c r="G563" i="6"/>
  <c r="D563" i="6"/>
  <c r="D562" i="6"/>
  <c r="C562" i="6"/>
  <c r="G562" i="6" s="1"/>
  <c r="H561" i="6"/>
  <c r="G561" i="6"/>
  <c r="H560" i="6"/>
  <c r="G560" i="6"/>
  <c r="D560" i="6"/>
  <c r="H559" i="6"/>
  <c r="G559" i="6"/>
  <c r="H558" i="6"/>
  <c r="G558" i="6"/>
  <c r="I557" i="6"/>
  <c r="H557" i="6"/>
  <c r="F557" i="6"/>
  <c r="D557" i="6"/>
  <c r="C557" i="6"/>
  <c r="G557" i="6" s="1"/>
  <c r="H556" i="6"/>
  <c r="G556" i="6"/>
  <c r="D556" i="6"/>
  <c r="I555" i="6"/>
  <c r="H555" i="6"/>
  <c r="G555" i="6"/>
  <c r="D555" i="6"/>
  <c r="I554" i="6"/>
  <c r="F554" i="6"/>
  <c r="D554" i="6"/>
  <c r="H554" i="6" s="1"/>
  <c r="C554" i="6"/>
  <c r="G554" i="6" s="1"/>
  <c r="H553" i="6"/>
  <c r="G553" i="6"/>
  <c r="H552" i="6"/>
  <c r="G552" i="6"/>
  <c r="D552" i="6"/>
  <c r="C552" i="6"/>
  <c r="H551" i="6"/>
  <c r="G551" i="6"/>
  <c r="D551" i="6"/>
  <c r="G550" i="6"/>
  <c r="D550" i="6"/>
  <c r="H550" i="6" s="1"/>
  <c r="G549" i="6"/>
  <c r="D549" i="6"/>
  <c r="H548" i="6"/>
  <c r="G548" i="6"/>
  <c r="D548" i="6"/>
  <c r="H547" i="6"/>
  <c r="G547" i="6"/>
  <c r="D547" i="6"/>
  <c r="I546" i="6"/>
  <c r="F546" i="6"/>
  <c r="C546" i="6"/>
  <c r="I545" i="6"/>
  <c r="F545" i="6"/>
  <c r="I544" i="6"/>
  <c r="H544" i="6"/>
  <c r="I543" i="6"/>
  <c r="F543" i="6"/>
  <c r="D543" i="6"/>
  <c r="H543" i="6" s="1"/>
  <c r="C543" i="6"/>
  <c r="I542" i="6"/>
  <c r="H542" i="6"/>
  <c r="I541" i="6"/>
  <c r="H541" i="6"/>
  <c r="F541" i="6"/>
  <c r="D541" i="6"/>
  <c r="C541" i="6"/>
  <c r="I540" i="6"/>
  <c r="G540" i="6"/>
  <c r="D540" i="6"/>
  <c r="H539" i="6"/>
  <c r="G539" i="6"/>
  <c r="I538" i="6"/>
  <c r="H538" i="6"/>
  <c r="G538" i="6"/>
  <c r="H537" i="6"/>
  <c r="G537" i="6"/>
  <c r="I536" i="6"/>
  <c r="H536" i="6"/>
  <c r="G536" i="6"/>
  <c r="I535" i="6"/>
  <c r="F535" i="6"/>
  <c r="C535" i="6"/>
  <c r="G535" i="6" s="1"/>
  <c r="H534" i="6"/>
  <c r="G534" i="6"/>
  <c r="D534" i="6"/>
  <c r="H533" i="6"/>
  <c r="G533" i="6"/>
  <c r="D533" i="6"/>
  <c r="G532" i="6"/>
  <c r="D532" i="6"/>
  <c r="H532" i="6" s="1"/>
  <c r="G531" i="6"/>
  <c r="D531" i="6"/>
  <c r="H530" i="6"/>
  <c r="G530" i="6"/>
  <c r="D530" i="6"/>
  <c r="G529" i="6"/>
  <c r="D529" i="6"/>
  <c r="H528" i="6"/>
  <c r="G528" i="6"/>
  <c r="D528" i="6"/>
  <c r="I527" i="6"/>
  <c r="F527" i="6"/>
  <c r="D527" i="6"/>
  <c r="H527" i="6" s="1"/>
  <c r="C527" i="6"/>
  <c r="G527" i="6" s="1"/>
  <c r="G526" i="6"/>
  <c r="D526" i="6"/>
  <c r="H526" i="6" s="1"/>
  <c r="H525" i="6"/>
  <c r="G525" i="6"/>
  <c r="D525" i="6"/>
  <c r="H524" i="6"/>
  <c r="H523" i="6"/>
  <c r="G523" i="6"/>
  <c r="H522" i="6"/>
  <c r="G522" i="6"/>
  <c r="H521" i="6"/>
  <c r="G521" i="6"/>
  <c r="H520" i="6"/>
  <c r="G520" i="6"/>
  <c r="H519" i="6"/>
  <c r="G519" i="6"/>
  <c r="G518" i="6"/>
  <c r="D518" i="6"/>
  <c r="H517" i="6"/>
  <c r="G517" i="6"/>
  <c r="I516" i="6"/>
  <c r="H516" i="6"/>
  <c r="G516" i="6"/>
  <c r="I515" i="6"/>
  <c r="G515" i="6"/>
  <c r="D515" i="6"/>
  <c r="H515" i="6" s="1"/>
  <c r="H514" i="6"/>
  <c r="G514" i="6"/>
  <c r="I513" i="6"/>
  <c r="F513" i="6"/>
  <c r="D513" i="6"/>
  <c r="C513" i="6"/>
  <c r="G513" i="6" s="1"/>
  <c r="H512" i="6"/>
  <c r="G512" i="6"/>
  <c r="H511" i="6"/>
  <c r="G511" i="6"/>
  <c r="H510" i="6"/>
  <c r="G510" i="6"/>
  <c r="I509" i="6"/>
  <c r="H509" i="6"/>
  <c r="G509" i="6"/>
  <c r="D509" i="6"/>
  <c r="I508" i="6"/>
  <c r="F508" i="6"/>
  <c r="D508" i="6"/>
  <c r="H508" i="6" s="1"/>
  <c r="C508" i="6"/>
  <c r="G508" i="6" s="1"/>
  <c r="I507" i="6"/>
  <c r="F507" i="6"/>
  <c r="H506" i="6"/>
  <c r="G506" i="6"/>
  <c r="D505" i="6"/>
  <c r="H505" i="6" s="1"/>
  <c r="C505" i="6"/>
  <c r="G505" i="6" s="1"/>
  <c r="I504" i="6"/>
  <c r="G504" i="6"/>
  <c r="D504" i="6"/>
  <c r="H504" i="6" s="1"/>
  <c r="I503" i="6"/>
  <c r="G503" i="6"/>
  <c r="D503" i="6"/>
  <c r="H503" i="6" s="1"/>
  <c r="C503" i="6"/>
  <c r="H502" i="6"/>
  <c r="G502" i="6"/>
  <c r="H501" i="6"/>
  <c r="G501" i="6"/>
  <c r="D501" i="6"/>
  <c r="H500" i="6"/>
  <c r="G500" i="6"/>
  <c r="D500" i="6"/>
  <c r="C500" i="6"/>
  <c r="H499" i="6"/>
  <c r="G499" i="6"/>
  <c r="D498" i="6"/>
  <c r="H498" i="6" s="1"/>
  <c r="C498" i="6"/>
  <c r="G498" i="6" s="1"/>
  <c r="H497" i="6"/>
  <c r="G497" i="6"/>
  <c r="H496" i="6"/>
  <c r="G496" i="6"/>
  <c r="D496" i="6"/>
  <c r="C496" i="6"/>
  <c r="I495" i="6"/>
  <c r="F495" i="6"/>
  <c r="D495" i="6"/>
  <c r="H495" i="6" s="1"/>
  <c r="C495" i="6"/>
  <c r="G495" i="6" s="1"/>
  <c r="I494" i="6"/>
  <c r="G494" i="6"/>
  <c r="D494" i="6"/>
  <c r="H494" i="6" s="1"/>
  <c r="I493" i="6"/>
  <c r="G493" i="6"/>
  <c r="D493" i="6"/>
  <c r="H493" i="6" s="1"/>
  <c r="I492" i="6"/>
  <c r="H492" i="6"/>
  <c r="I491" i="6"/>
  <c r="F491" i="6"/>
  <c r="D491" i="6"/>
  <c r="C491" i="6"/>
  <c r="G491" i="6" s="1"/>
  <c r="I490" i="6"/>
  <c r="G489" i="6"/>
  <c r="D489" i="6"/>
  <c r="H489" i="6" s="1"/>
  <c r="G488" i="6"/>
  <c r="D488" i="6"/>
  <c r="H488" i="6" s="1"/>
  <c r="H487" i="6"/>
  <c r="G487" i="6"/>
  <c r="G486" i="6"/>
  <c r="D486" i="6"/>
  <c r="D485" i="6" s="1"/>
  <c r="H485" i="6" s="1"/>
  <c r="I485" i="6"/>
  <c r="G485" i="6"/>
  <c r="F485" i="6"/>
  <c r="C485" i="6"/>
  <c r="H484" i="6"/>
  <c r="G484" i="6"/>
  <c r="D484" i="6"/>
  <c r="G483" i="6"/>
  <c r="D483" i="6"/>
  <c r="H483" i="6" s="1"/>
  <c r="C483" i="6"/>
  <c r="G482" i="6"/>
  <c r="D482" i="6"/>
  <c r="H482" i="6" s="1"/>
  <c r="G481" i="6"/>
  <c r="D481" i="6"/>
  <c r="H481" i="6" s="1"/>
  <c r="I480" i="6"/>
  <c r="G480" i="6"/>
  <c r="D480" i="6"/>
  <c r="I479" i="6"/>
  <c r="F479" i="6"/>
  <c r="C479" i="6"/>
  <c r="G479" i="6" s="1"/>
  <c r="I478" i="6"/>
  <c r="F478" i="6"/>
  <c r="C478" i="6"/>
  <c r="G478" i="6" s="1"/>
  <c r="I477" i="6"/>
  <c r="H477" i="6"/>
  <c r="G477" i="6"/>
  <c r="H476" i="6"/>
  <c r="D476" i="6"/>
  <c r="I475" i="6"/>
  <c r="G475" i="6"/>
  <c r="D475" i="6"/>
  <c r="H475" i="6" s="1"/>
  <c r="I474" i="6"/>
  <c r="G474" i="6"/>
  <c r="D474" i="6"/>
  <c r="H474" i="6" s="1"/>
  <c r="I473" i="6"/>
  <c r="H473" i="6"/>
  <c r="G473" i="6"/>
  <c r="I472" i="6"/>
  <c r="F472" i="6"/>
  <c r="D472" i="6"/>
  <c r="H472" i="6" s="1"/>
  <c r="C472" i="6"/>
  <c r="G472" i="6" s="1"/>
  <c r="I471" i="6"/>
  <c r="H471" i="6"/>
  <c r="G471" i="6"/>
  <c r="D471" i="6"/>
  <c r="D470" i="6"/>
  <c r="I469" i="6"/>
  <c r="F469" i="6"/>
  <c r="C469" i="6"/>
  <c r="G469" i="6" s="1"/>
  <c r="D468" i="6"/>
  <c r="I467" i="6"/>
  <c r="F467" i="6"/>
  <c r="C467" i="6"/>
  <c r="G467" i="6" s="1"/>
  <c r="G466" i="6"/>
  <c r="D466" i="6"/>
  <c r="H466" i="6" s="1"/>
  <c r="G465" i="6"/>
  <c r="D465" i="6"/>
  <c r="H465" i="6" s="1"/>
  <c r="G464" i="6"/>
  <c r="F464" i="6"/>
  <c r="C464" i="6"/>
  <c r="H463" i="6"/>
  <c r="G463" i="6"/>
  <c r="H462" i="6"/>
  <c r="F462" i="6"/>
  <c r="D462" i="6"/>
  <c r="C462" i="6"/>
  <c r="G462" i="6" s="1"/>
  <c r="D461" i="6"/>
  <c r="H461" i="6" s="1"/>
  <c r="G460" i="6"/>
  <c r="D460" i="6"/>
  <c r="G459" i="6"/>
  <c r="D459" i="6"/>
  <c r="G458" i="6"/>
  <c r="D458" i="6"/>
  <c r="H458" i="6" s="1"/>
  <c r="G457" i="6"/>
  <c r="D457" i="6"/>
  <c r="H457" i="6" s="1"/>
  <c r="H456" i="6"/>
  <c r="G456" i="6"/>
  <c r="D456" i="6"/>
  <c r="H455" i="6"/>
  <c r="G455" i="6"/>
  <c r="D455" i="6"/>
  <c r="H454" i="6"/>
  <c r="G454" i="6"/>
  <c r="H453" i="6"/>
  <c r="G453" i="6"/>
  <c r="I452" i="6"/>
  <c r="F452" i="6"/>
  <c r="C452" i="6"/>
  <c r="G452" i="6" s="1"/>
  <c r="H451" i="6"/>
  <c r="G451" i="6"/>
  <c r="G450" i="6"/>
  <c r="D450" i="6"/>
  <c r="H450" i="6" s="1"/>
  <c r="H449" i="6"/>
  <c r="G449" i="6"/>
  <c r="H448" i="6"/>
  <c r="G448" i="6"/>
  <c r="D448" i="6"/>
  <c r="G447" i="6"/>
  <c r="D447" i="6"/>
  <c r="H447" i="6" s="1"/>
  <c r="I446" i="6"/>
  <c r="H446" i="6"/>
  <c r="G446" i="6"/>
  <c r="I445" i="6"/>
  <c r="H445" i="6"/>
  <c r="G445" i="6"/>
  <c r="H444" i="6"/>
  <c r="G444" i="6"/>
  <c r="D444" i="6"/>
  <c r="D443" i="6" s="1"/>
  <c r="I443" i="6"/>
  <c r="H443" i="6"/>
  <c r="F443" i="6"/>
  <c r="C443" i="6"/>
  <c r="I442" i="6"/>
  <c r="F442" i="6"/>
  <c r="I441" i="6"/>
  <c r="H441" i="6"/>
  <c r="G441" i="6"/>
  <c r="G440" i="6"/>
  <c r="D440" i="6"/>
  <c r="I439" i="6"/>
  <c r="F439" i="6"/>
  <c r="C439" i="6"/>
  <c r="G439" i="6" s="1"/>
  <c r="H438" i="6"/>
  <c r="G438" i="6"/>
  <c r="I437" i="6"/>
  <c r="H437" i="6"/>
  <c r="G437" i="6"/>
  <c r="I436" i="6"/>
  <c r="H436" i="6"/>
  <c r="G436" i="6"/>
  <c r="D436" i="6"/>
  <c r="G435" i="6"/>
  <c r="D435" i="6"/>
  <c r="I434" i="6"/>
  <c r="G434" i="6"/>
  <c r="D434" i="6"/>
  <c r="H434" i="6" s="1"/>
  <c r="H433" i="6"/>
  <c r="G432" i="6"/>
  <c r="D432" i="6"/>
  <c r="H432" i="6" s="1"/>
  <c r="I431" i="6"/>
  <c r="H431" i="6"/>
  <c r="G431" i="6"/>
  <c r="H430" i="6"/>
  <c r="G430" i="6"/>
  <c r="D430" i="6"/>
  <c r="I429" i="6"/>
  <c r="H429" i="6"/>
  <c r="G429" i="6"/>
  <c r="D429" i="6"/>
  <c r="I428" i="6"/>
  <c r="H428" i="6"/>
  <c r="G428" i="6"/>
  <c r="D428" i="6"/>
  <c r="H427" i="6"/>
  <c r="G427" i="6"/>
  <c r="G426" i="6"/>
  <c r="D426" i="6"/>
  <c r="H426" i="6" s="1"/>
  <c r="H425" i="6"/>
  <c r="G425" i="6"/>
  <c r="D425" i="6"/>
  <c r="H424" i="6"/>
  <c r="G424" i="6"/>
  <c r="D424" i="6"/>
  <c r="H423" i="6"/>
  <c r="G423" i="6"/>
  <c r="H422" i="6"/>
  <c r="G422" i="6"/>
  <c r="D422" i="6"/>
  <c r="I421" i="6"/>
  <c r="H421" i="6"/>
  <c r="G421" i="6"/>
  <c r="D421" i="6"/>
  <c r="I420" i="6"/>
  <c r="H420" i="6"/>
  <c r="G420" i="6"/>
  <c r="D420" i="6"/>
  <c r="I419" i="6"/>
  <c r="H419" i="6"/>
  <c r="G419" i="6"/>
  <c r="D419" i="6"/>
  <c r="I418" i="6"/>
  <c r="H418" i="6"/>
  <c r="G418" i="6"/>
  <c r="I417" i="6"/>
  <c r="H417" i="6"/>
  <c r="G417" i="6"/>
  <c r="D417" i="6"/>
  <c r="I416" i="6"/>
  <c r="H416" i="6"/>
  <c r="G416" i="6"/>
  <c r="H415" i="6"/>
  <c r="G415" i="6"/>
  <c r="I414" i="6"/>
  <c r="H414" i="6"/>
  <c r="G414" i="6"/>
  <c r="G413" i="6"/>
  <c r="D413" i="6"/>
  <c r="H413" i="6" s="1"/>
  <c r="I412" i="6"/>
  <c r="H412" i="6"/>
  <c r="G412" i="6"/>
  <c r="I411" i="6"/>
  <c r="G411" i="6"/>
  <c r="D411" i="6"/>
  <c r="H411" i="6" s="1"/>
  <c r="I410" i="6"/>
  <c r="H410" i="6"/>
  <c r="G410" i="6"/>
  <c r="I409" i="6"/>
  <c r="H409" i="6"/>
  <c r="G409" i="6"/>
  <c r="D409" i="6"/>
  <c r="I408" i="6"/>
  <c r="G408" i="6"/>
  <c r="F408" i="6"/>
  <c r="C408" i="6"/>
  <c r="I407" i="6"/>
  <c r="H407" i="6"/>
  <c r="G407" i="6"/>
  <c r="H406" i="6"/>
  <c r="G406" i="6"/>
  <c r="H405" i="6"/>
  <c r="G405" i="6"/>
  <c r="H404" i="6"/>
  <c r="G404" i="6"/>
  <c r="H403" i="6"/>
  <c r="G403" i="6"/>
  <c r="H402" i="6"/>
  <c r="G402" i="6"/>
  <c r="I401" i="6"/>
  <c r="H401" i="6"/>
  <c r="G401" i="6"/>
  <c r="D401" i="6"/>
  <c r="I400" i="6"/>
  <c r="H400" i="6"/>
  <c r="G400" i="6"/>
  <c r="D400" i="6"/>
  <c r="H399" i="6"/>
  <c r="G398" i="6"/>
  <c r="D398" i="6"/>
  <c r="H397" i="6"/>
  <c r="G397" i="6"/>
  <c r="H396" i="6"/>
  <c r="G396" i="6"/>
  <c r="H395" i="6"/>
  <c r="G395" i="6"/>
  <c r="H394" i="6"/>
  <c r="H393" i="6"/>
  <c r="G393" i="6"/>
  <c r="D393" i="6"/>
  <c r="I392" i="6"/>
  <c r="H392" i="6"/>
  <c r="G392" i="6"/>
  <c r="D392" i="6"/>
  <c r="H391" i="6"/>
  <c r="G391" i="6"/>
  <c r="H390" i="6"/>
  <c r="G390" i="6"/>
  <c r="I389" i="6"/>
  <c r="H389" i="6"/>
  <c r="G389" i="6"/>
  <c r="D389" i="6"/>
  <c r="I388" i="6"/>
  <c r="H388" i="6"/>
  <c r="G388" i="6"/>
  <c r="D388" i="6"/>
  <c r="I387" i="6"/>
  <c r="F387" i="6"/>
  <c r="D387" i="6"/>
  <c r="C387" i="6"/>
  <c r="G387" i="6" s="1"/>
  <c r="I386" i="6"/>
  <c r="F386" i="6"/>
  <c r="H385" i="6"/>
  <c r="G385" i="6"/>
  <c r="D385" i="6"/>
  <c r="H384" i="6"/>
  <c r="G384" i="6"/>
  <c r="H383" i="6"/>
  <c r="G383" i="6"/>
  <c r="D383" i="6"/>
  <c r="G382" i="6"/>
  <c r="D382" i="6"/>
  <c r="G381" i="6"/>
  <c r="D381" i="6"/>
  <c r="H380" i="6"/>
  <c r="G380" i="6"/>
  <c r="D380" i="6"/>
  <c r="I379" i="6"/>
  <c r="H379" i="6"/>
  <c r="G379" i="6"/>
  <c r="I378" i="6"/>
  <c r="G378" i="6"/>
  <c r="F378" i="6"/>
  <c r="D378" i="6"/>
  <c r="H378" i="6" s="1"/>
  <c r="C378" i="6"/>
  <c r="G377" i="6"/>
  <c r="D377" i="6"/>
  <c r="H376" i="6"/>
  <c r="G376" i="6"/>
  <c r="D375" i="6"/>
  <c r="H375" i="6" s="1"/>
  <c r="H374" i="6"/>
  <c r="D374" i="6"/>
  <c r="I373" i="6"/>
  <c r="G373" i="6"/>
  <c r="F373" i="6"/>
  <c r="C373" i="6"/>
  <c r="I372" i="6"/>
  <c r="G372" i="6"/>
  <c r="F372" i="6"/>
  <c r="C372" i="6"/>
  <c r="I371" i="6"/>
  <c r="F371" i="6"/>
  <c r="H369" i="6"/>
  <c r="F369" i="6"/>
  <c r="H368" i="6"/>
  <c r="D368" i="6"/>
  <c r="I367" i="6"/>
  <c r="H367" i="6"/>
  <c r="G367" i="6"/>
  <c r="D367" i="6"/>
  <c r="I366" i="6"/>
  <c r="H366" i="6"/>
  <c r="G366" i="6"/>
  <c r="I365" i="6"/>
  <c r="H365" i="6"/>
  <c r="G365" i="6"/>
  <c r="F365" i="6"/>
  <c r="D365" i="6"/>
  <c r="C365" i="6"/>
  <c r="H364" i="6"/>
  <c r="G364" i="6"/>
  <c r="D363" i="6"/>
  <c r="H363" i="6" s="1"/>
  <c r="C363" i="6"/>
  <c r="G363" i="6" s="1"/>
  <c r="H362" i="6"/>
  <c r="G362" i="6"/>
  <c r="I361" i="6"/>
  <c r="H361" i="6"/>
  <c r="G361" i="6"/>
  <c r="D361" i="6"/>
  <c r="I360" i="6"/>
  <c r="H360" i="6"/>
  <c r="D360" i="6"/>
  <c r="C360" i="6"/>
  <c r="G360" i="6" s="1"/>
  <c r="I359" i="6"/>
  <c r="D359" i="6"/>
  <c r="H359" i="6" s="1"/>
  <c r="C359" i="6"/>
  <c r="G359" i="6" s="1"/>
  <c r="I358" i="6"/>
  <c r="F358" i="6"/>
  <c r="D358" i="6"/>
  <c r="H358" i="6" s="1"/>
  <c r="H357" i="6"/>
  <c r="G357" i="6"/>
  <c r="D357" i="6"/>
  <c r="H356" i="6"/>
  <c r="G356" i="6"/>
  <c r="H355" i="6"/>
  <c r="G355" i="6"/>
  <c r="D355" i="6"/>
  <c r="I354" i="6"/>
  <c r="H354" i="6"/>
  <c r="G354" i="6"/>
  <c r="H353" i="6"/>
  <c r="G353" i="6"/>
  <c r="H352" i="6"/>
  <c r="H351" i="6"/>
  <c r="I350" i="6"/>
  <c r="H350" i="6"/>
  <c r="G350" i="6"/>
  <c r="H349" i="6"/>
  <c r="D349" i="6"/>
  <c r="D348" i="6"/>
  <c r="H348" i="6" s="1"/>
  <c r="G347" i="6"/>
  <c r="D347" i="6"/>
  <c r="I346" i="6"/>
  <c r="F346" i="6"/>
  <c r="C346" i="6"/>
  <c r="G346" i="6" s="1"/>
  <c r="I345" i="6"/>
  <c r="G345" i="6"/>
  <c r="D345" i="6"/>
  <c r="H345" i="6" s="1"/>
  <c r="I344" i="6"/>
  <c r="G344" i="6"/>
  <c r="D344" i="6"/>
  <c r="H344" i="6" s="1"/>
  <c r="I343" i="6"/>
  <c r="G343" i="6"/>
  <c r="D343" i="6"/>
  <c r="H343" i="6" s="1"/>
  <c r="H342" i="6"/>
  <c r="G342" i="6"/>
  <c r="H341" i="6"/>
  <c r="G341" i="6"/>
  <c r="D341" i="6"/>
  <c r="I340" i="6"/>
  <c r="F340" i="6"/>
  <c r="I339" i="6"/>
  <c r="G339" i="6"/>
  <c r="D339" i="6"/>
  <c r="H339" i="6" s="1"/>
  <c r="I338" i="6"/>
  <c r="G338" i="6"/>
  <c r="D338" i="6"/>
  <c r="H338" i="6" s="1"/>
  <c r="I337" i="6"/>
  <c r="G337" i="6"/>
  <c r="D337" i="6"/>
  <c r="H337" i="6" s="1"/>
  <c r="I336" i="6"/>
  <c r="G336" i="6"/>
  <c r="D336" i="6"/>
  <c r="H336" i="6" s="1"/>
  <c r="I335" i="6"/>
  <c r="H335" i="6"/>
  <c r="G335" i="6"/>
  <c r="H334" i="6"/>
  <c r="G334" i="6"/>
  <c r="I333" i="6"/>
  <c r="G333" i="6"/>
  <c r="F333" i="6"/>
  <c r="D333" i="6"/>
  <c r="H333" i="6" s="1"/>
  <c r="C333" i="6"/>
  <c r="D332" i="6"/>
  <c r="D331" i="6" s="1"/>
  <c r="C331" i="6"/>
  <c r="I330" i="6"/>
  <c r="G330" i="6"/>
  <c r="D330" i="6"/>
  <c r="H330" i="6" s="1"/>
  <c r="I329" i="6"/>
  <c r="G329" i="6"/>
  <c r="D329" i="6"/>
  <c r="H329" i="6" s="1"/>
  <c r="I328" i="6"/>
  <c r="G328" i="6"/>
  <c r="D328" i="6"/>
  <c r="H328" i="6" s="1"/>
  <c r="H327" i="6"/>
  <c r="G327" i="6"/>
  <c r="I326" i="6"/>
  <c r="H326" i="6"/>
  <c r="G326" i="6"/>
  <c r="D326" i="6"/>
  <c r="H325" i="6"/>
  <c r="I324" i="6"/>
  <c r="H324" i="6"/>
  <c r="F324" i="6"/>
  <c r="D324" i="6"/>
  <c r="C324" i="6"/>
  <c r="G324" i="6" s="1"/>
  <c r="H323" i="6"/>
  <c r="D323" i="6"/>
  <c r="I322" i="6"/>
  <c r="H322" i="6"/>
  <c r="D322" i="6"/>
  <c r="C322" i="6"/>
  <c r="I321" i="6"/>
  <c r="H321" i="6"/>
  <c r="G321" i="6"/>
  <c r="D321" i="6"/>
  <c r="H320" i="6"/>
  <c r="G320" i="6"/>
  <c r="D320" i="6"/>
  <c r="I319" i="6"/>
  <c r="H319" i="6"/>
  <c r="G319" i="6"/>
  <c r="D319" i="6"/>
  <c r="I318" i="6"/>
  <c r="H318" i="6"/>
  <c r="G318" i="6"/>
  <c r="D318" i="6"/>
  <c r="I317" i="6"/>
  <c r="H317" i="6"/>
  <c r="G317" i="6"/>
  <c r="F317" i="6"/>
  <c r="D317" i="6"/>
  <c r="C317" i="6"/>
  <c r="I316" i="6"/>
  <c r="F316" i="6"/>
  <c r="I315" i="6"/>
  <c r="H315" i="6"/>
  <c r="G315" i="6"/>
  <c r="D315" i="6"/>
  <c r="G314" i="6"/>
  <c r="D314" i="6"/>
  <c r="I313" i="6"/>
  <c r="G313" i="6"/>
  <c r="D313" i="6"/>
  <c r="H313" i="6" s="1"/>
  <c r="I312" i="6"/>
  <c r="H312" i="6"/>
  <c r="G312" i="6"/>
  <c r="I311" i="6"/>
  <c r="H311" i="6"/>
  <c r="G311" i="6"/>
  <c r="G310" i="6"/>
  <c r="D310" i="6"/>
  <c r="H310" i="6" s="1"/>
  <c r="I309" i="6"/>
  <c r="G309" i="6"/>
  <c r="D309" i="6"/>
  <c r="H309" i="6" s="1"/>
  <c r="I308" i="6"/>
  <c r="G308" i="6"/>
  <c r="D308" i="6"/>
  <c r="D307" i="6" s="1"/>
  <c r="I307" i="6"/>
  <c r="G307" i="6"/>
  <c r="F307" i="6"/>
  <c r="C307" i="6"/>
  <c r="I306" i="6"/>
  <c r="C306" i="6"/>
  <c r="G306" i="6" s="1"/>
  <c r="I305" i="6"/>
  <c r="H305" i="6"/>
  <c r="G305" i="6"/>
  <c r="H304" i="6"/>
  <c r="G304" i="6"/>
  <c r="I303" i="6"/>
  <c r="G303" i="6"/>
  <c r="F303" i="6"/>
  <c r="D303" i="6"/>
  <c r="H303" i="6" s="1"/>
  <c r="C303" i="6"/>
  <c r="I302" i="6"/>
  <c r="H302" i="6"/>
  <c r="G302" i="6"/>
  <c r="D302" i="6"/>
  <c r="I301" i="6"/>
  <c r="H301" i="6"/>
  <c r="G301" i="6"/>
  <c r="D301" i="6"/>
  <c r="H300" i="6"/>
  <c r="G300" i="6"/>
  <c r="I299" i="6"/>
  <c r="H299" i="6"/>
  <c r="G299" i="6"/>
  <c r="H298" i="6"/>
  <c r="D298" i="6"/>
  <c r="I297" i="6"/>
  <c r="H297" i="6"/>
  <c r="G297" i="6"/>
  <c r="H296" i="6"/>
  <c r="G296" i="6"/>
  <c r="H295" i="6"/>
  <c r="G295" i="6"/>
  <c r="D295" i="6"/>
  <c r="D294" i="6" s="1"/>
  <c r="I294" i="6"/>
  <c r="G294" i="6"/>
  <c r="F294" i="6"/>
  <c r="C294" i="6"/>
  <c r="C293" i="6" s="1"/>
  <c r="G293" i="6" s="1"/>
  <c r="I293" i="6"/>
  <c r="F293" i="6"/>
  <c r="I292" i="6"/>
  <c r="H292" i="6"/>
  <c r="G292" i="6"/>
  <c r="D292" i="6"/>
  <c r="G291" i="6"/>
  <c r="D291" i="6"/>
  <c r="H291" i="6" s="1"/>
  <c r="C291" i="6"/>
  <c r="H290" i="6"/>
  <c r="G290" i="6"/>
  <c r="I289" i="6"/>
  <c r="G289" i="6"/>
  <c r="D289" i="6"/>
  <c r="H289" i="6" s="1"/>
  <c r="I288" i="6"/>
  <c r="G288" i="6"/>
  <c r="D288" i="6"/>
  <c r="H288" i="6" s="1"/>
  <c r="I287" i="6"/>
  <c r="G287" i="6"/>
  <c r="D287" i="6"/>
  <c r="H287" i="6" s="1"/>
  <c r="I286" i="6"/>
  <c r="G286" i="6"/>
  <c r="D286" i="6"/>
  <c r="H286" i="6" s="1"/>
  <c r="H285" i="6"/>
  <c r="D285" i="6"/>
  <c r="C285" i="6"/>
  <c r="G285" i="6" s="1"/>
  <c r="H284" i="6"/>
  <c r="G284" i="6"/>
  <c r="D284" i="6"/>
  <c r="I283" i="6"/>
  <c r="H283" i="6"/>
  <c r="F283" i="6"/>
  <c r="D283" i="6"/>
  <c r="C283" i="6"/>
  <c r="G283" i="6" s="1"/>
  <c r="G282" i="6"/>
  <c r="D282" i="6"/>
  <c r="H282" i="6" s="1"/>
  <c r="G281" i="6"/>
  <c r="D281" i="6"/>
  <c r="D280" i="6" s="1"/>
  <c r="I280" i="6"/>
  <c r="G280" i="6"/>
  <c r="F280" i="6"/>
  <c r="C280" i="6"/>
  <c r="C279" i="6" s="1"/>
  <c r="G279" i="6" s="1"/>
  <c r="I279" i="6"/>
  <c r="F279" i="6"/>
  <c r="H278" i="6"/>
  <c r="G278" i="6"/>
  <c r="I277" i="6"/>
  <c r="G277" i="6"/>
  <c r="D277" i="6"/>
  <c r="H277" i="6" s="1"/>
  <c r="I276" i="6"/>
  <c r="F276" i="6"/>
  <c r="D276" i="6"/>
  <c r="H276" i="6" s="1"/>
  <c r="C276" i="6"/>
  <c r="G276" i="6" s="1"/>
  <c r="G275" i="6"/>
  <c r="D275" i="6"/>
  <c r="I274" i="6"/>
  <c r="G274" i="6"/>
  <c r="D274" i="6"/>
  <c r="H274" i="6" s="1"/>
  <c r="I273" i="6"/>
  <c r="G273" i="6"/>
  <c r="D273" i="6"/>
  <c r="H273" i="6" s="1"/>
  <c r="I272" i="6"/>
  <c r="G272" i="6"/>
  <c r="D272" i="6"/>
  <c r="H272" i="6" s="1"/>
  <c r="I271" i="6"/>
  <c r="F271" i="6"/>
  <c r="D271" i="6"/>
  <c r="H271" i="6" s="1"/>
  <c r="C271" i="6"/>
  <c r="G271" i="6" s="1"/>
  <c r="G270" i="6"/>
  <c r="D270" i="6"/>
  <c r="H269" i="6"/>
  <c r="G269" i="6"/>
  <c r="D269" i="6"/>
  <c r="I268" i="6"/>
  <c r="G268" i="6"/>
  <c r="D268" i="6"/>
  <c r="G267" i="6"/>
  <c r="D267" i="6"/>
  <c r="D266" i="6" s="1"/>
  <c r="I266" i="6"/>
  <c r="G266" i="6"/>
  <c r="F266" i="6"/>
  <c r="C266" i="6"/>
  <c r="I265" i="6"/>
  <c r="F265" i="6"/>
  <c r="C265" i="6"/>
  <c r="G265" i="6" s="1"/>
  <c r="I264" i="6"/>
  <c r="F264" i="6"/>
  <c r="I262" i="6"/>
  <c r="F262" i="6"/>
  <c r="F914" i="6" s="1"/>
  <c r="I260" i="6"/>
  <c r="I259" i="6"/>
  <c r="H258" i="6"/>
  <c r="G258" i="6"/>
  <c r="D258" i="6"/>
  <c r="C258" i="6"/>
  <c r="I257" i="6"/>
  <c r="H257" i="6"/>
  <c r="D257" i="6"/>
  <c r="C257" i="6"/>
  <c r="G257" i="6" s="1"/>
  <c r="I255" i="6"/>
  <c r="D255" i="6"/>
  <c r="H255" i="6" s="1"/>
  <c r="C255" i="6"/>
  <c r="G255" i="6" s="1"/>
  <c r="I254" i="6"/>
  <c r="F254" i="6"/>
  <c r="I252" i="6"/>
  <c r="F252" i="6"/>
  <c r="G250" i="6"/>
  <c r="D250" i="6"/>
  <c r="H249" i="6"/>
  <c r="H248" i="6"/>
  <c r="I247" i="6"/>
  <c r="H247" i="6"/>
  <c r="G246" i="6"/>
  <c r="D246" i="6"/>
  <c r="D245" i="6" s="1"/>
  <c r="H245" i="6" s="1"/>
  <c r="I245" i="6"/>
  <c r="G245" i="6"/>
  <c r="F245" i="6"/>
  <c r="C245" i="6"/>
  <c r="H244" i="6"/>
  <c r="H243" i="6"/>
  <c r="D242" i="6"/>
  <c r="H242" i="6" s="1"/>
  <c r="D241" i="6"/>
  <c r="H240" i="6"/>
  <c r="D239" i="6"/>
  <c r="H239" i="6" s="1"/>
  <c r="H238" i="6"/>
  <c r="I237" i="6"/>
  <c r="F237" i="6"/>
  <c r="D237" i="6"/>
  <c r="H237" i="6" s="1"/>
  <c r="C237" i="6"/>
  <c r="H236" i="6"/>
  <c r="G235" i="6"/>
  <c r="D235" i="6"/>
  <c r="I234" i="6"/>
  <c r="F234" i="6"/>
  <c r="D234" i="6"/>
  <c r="H234" i="6" s="1"/>
  <c r="C234" i="6"/>
  <c r="G234" i="6" s="1"/>
  <c r="I232" i="6"/>
  <c r="I231" i="6"/>
  <c r="H231" i="6"/>
  <c r="G231" i="6"/>
  <c r="J230" i="6"/>
  <c r="I230" i="6"/>
  <c r="H230" i="6"/>
  <c r="F230" i="6"/>
  <c r="D230" i="6"/>
  <c r="C230" i="6"/>
  <c r="G230" i="6" s="1"/>
  <c r="H229" i="6"/>
  <c r="D229" i="6"/>
  <c r="H228" i="6"/>
  <c r="I227" i="6"/>
  <c r="H227" i="6"/>
  <c r="D227" i="6"/>
  <c r="H226" i="6"/>
  <c r="H225" i="6"/>
  <c r="D225" i="6"/>
  <c r="K224" i="6"/>
  <c r="I224" i="6"/>
  <c r="H224" i="6"/>
  <c r="D224" i="6"/>
  <c r="I223" i="6"/>
  <c r="D223" i="6"/>
  <c r="D216" i="6" s="1"/>
  <c r="I222" i="6"/>
  <c r="D222" i="6"/>
  <c r="H222" i="6" s="1"/>
  <c r="H221" i="6"/>
  <c r="D221" i="6"/>
  <c r="I220" i="6"/>
  <c r="H220" i="6"/>
  <c r="H219" i="6"/>
  <c r="I218" i="6"/>
  <c r="D218" i="6"/>
  <c r="H218" i="6" s="1"/>
  <c r="I217" i="6"/>
  <c r="H217" i="6"/>
  <c r="I216" i="6"/>
  <c r="F216" i="6"/>
  <c r="C216" i="6"/>
  <c r="H215" i="6"/>
  <c r="I214" i="6"/>
  <c r="H214" i="6"/>
  <c r="G214" i="6"/>
  <c r="D214" i="6"/>
  <c r="I213" i="6"/>
  <c r="H213" i="6"/>
  <c r="G213" i="6"/>
  <c r="D213" i="6"/>
  <c r="I212" i="6"/>
  <c r="H212" i="6"/>
  <c r="G212" i="6"/>
  <c r="I211" i="6"/>
  <c r="H211" i="6"/>
  <c r="G211" i="6"/>
  <c r="D211" i="6"/>
  <c r="I210" i="6"/>
  <c r="H210" i="6"/>
  <c r="G210" i="6"/>
  <c r="D210" i="6"/>
  <c r="I209" i="6"/>
  <c r="H209" i="6"/>
  <c r="G209" i="6"/>
  <c r="D209" i="6"/>
  <c r="I208" i="6"/>
  <c r="H208" i="6"/>
  <c r="G208" i="6"/>
  <c r="D208" i="6"/>
  <c r="I207" i="6"/>
  <c r="H207" i="6"/>
  <c r="F207" i="6"/>
  <c r="D207" i="6"/>
  <c r="C207" i="6"/>
  <c r="G207" i="6" s="1"/>
  <c r="H206" i="6"/>
  <c r="G205" i="6"/>
  <c r="D205" i="6"/>
  <c r="H204" i="6"/>
  <c r="H203" i="6"/>
  <c r="D202" i="6"/>
  <c r="H202" i="6" s="1"/>
  <c r="I201" i="6"/>
  <c r="H201" i="6"/>
  <c r="D200" i="6"/>
  <c r="H200" i="6" s="1"/>
  <c r="I199" i="6"/>
  <c r="H199" i="6"/>
  <c r="I198" i="6"/>
  <c r="G198" i="6"/>
  <c r="F198" i="6"/>
  <c r="D198" i="6"/>
  <c r="H198" i="6" s="1"/>
  <c r="C198" i="6"/>
  <c r="I197" i="6"/>
  <c r="H197" i="6"/>
  <c r="D197" i="6"/>
  <c r="C197" i="6"/>
  <c r="G197" i="6" s="1"/>
  <c r="H196" i="6"/>
  <c r="I195" i="6"/>
  <c r="H195" i="6"/>
  <c r="I194" i="6"/>
  <c r="H194" i="6"/>
  <c r="I193" i="6"/>
  <c r="F193" i="6"/>
  <c r="D193" i="6"/>
  <c r="H193" i="6" s="1"/>
  <c r="C193" i="6"/>
  <c r="I192" i="6"/>
  <c r="F192" i="6"/>
  <c r="C192" i="6"/>
  <c r="G192" i="6" s="1"/>
  <c r="G6" i="6" s="1"/>
  <c r="G190" i="6"/>
  <c r="D190" i="6"/>
  <c r="G189" i="6"/>
  <c r="D189" i="6"/>
  <c r="G188" i="6"/>
  <c r="D188" i="6"/>
  <c r="G187" i="6"/>
  <c r="D187" i="6"/>
  <c r="G186" i="6"/>
  <c r="D186" i="6"/>
  <c r="H185" i="6"/>
  <c r="G185" i="6"/>
  <c r="F184" i="6"/>
  <c r="D184" i="6"/>
  <c r="H184" i="6" s="1"/>
  <c r="C184" i="6"/>
  <c r="G184" i="6" s="1"/>
  <c r="H183" i="6"/>
  <c r="G183" i="6"/>
  <c r="H182" i="6"/>
  <c r="G182" i="6"/>
  <c r="D182" i="6"/>
  <c r="C182" i="6"/>
  <c r="I181" i="6"/>
  <c r="H181" i="6"/>
  <c r="G181" i="6"/>
  <c r="G180" i="6"/>
  <c r="D180" i="6"/>
  <c r="H179" i="6"/>
  <c r="G178" i="6"/>
  <c r="D178" i="6"/>
  <c r="H178" i="6" s="1"/>
  <c r="G177" i="6"/>
  <c r="D177" i="6"/>
  <c r="G176" i="6"/>
  <c r="D176" i="6"/>
  <c r="D174" i="6" s="1"/>
  <c r="G175" i="6"/>
  <c r="D175" i="6"/>
  <c r="G174" i="6"/>
  <c r="F174" i="6"/>
  <c r="C174" i="6"/>
  <c r="I173" i="6"/>
  <c r="H173" i="6"/>
  <c r="G173" i="6"/>
  <c r="I172" i="6"/>
  <c r="H172" i="6"/>
  <c r="G172" i="6"/>
  <c r="D172" i="6"/>
  <c r="I171" i="6"/>
  <c r="F171" i="6"/>
  <c r="C171" i="6"/>
  <c r="G171" i="6" s="1"/>
  <c r="H169" i="6"/>
  <c r="G168" i="6"/>
  <c r="D168" i="6"/>
  <c r="I167" i="6"/>
  <c r="G166" i="6"/>
  <c r="D166" i="6"/>
  <c r="H165" i="6"/>
  <c r="G165" i="6"/>
  <c r="G164" i="6"/>
  <c r="D164" i="6"/>
  <c r="G163" i="6"/>
  <c r="D163" i="6"/>
  <c r="D150" i="6" s="1"/>
  <c r="H150" i="6" s="1"/>
  <c r="I162" i="6"/>
  <c r="H161" i="6"/>
  <c r="G161" i="6"/>
  <c r="I160" i="6"/>
  <c r="H160" i="6"/>
  <c r="G160" i="6"/>
  <c r="I159" i="6"/>
  <c r="H159" i="6"/>
  <c r="G159" i="6"/>
  <c r="G157" i="6"/>
  <c r="D157" i="6"/>
  <c r="H156" i="6"/>
  <c r="G156" i="6"/>
  <c r="I155" i="6"/>
  <c r="H155" i="6"/>
  <c r="G155" i="6"/>
  <c r="I154" i="6"/>
  <c r="H154" i="6"/>
  <c r="H153" i="6"/>
  <c r="G153" i="6"/>
  <c r="G151" i="6"/>
  <c r="D151" i="6"/>
  <c r="I150" i="6"/>
  <c r="F150" i="6"/>
  <c r="C150" i="6"/>
  <c r="G150" i="6" s="1"/>
  <c r="I149" i="6"/>
  <c r="I147" i="6"/>
  <c r="H147" i="6"/>
  <c r="G147" i="6"/>
  <c r="I145" i="6"/>
  <c r="H145" i="6"/>
  <c r="G145" i="6"/>
  <c r="I144" i="6"/>
  <c r="H144" i="6"/>
  <c r="G144" i="6"/>
  <c r="I143" i="6"/>
  <c r="H143" i="6"/>
  <c r="I142" i="6"/>
  <c r="H142" i="6"/>
  <c r="D142" i="6"/>
  <c r="G141" i="6"/>
  <c r="D141" i="6"/>
  <c r="I140" i="6"/>
  <c r="H140" i="6"/>
  <c r="G140" i="6"/>
  <c r="H139" i="6"/>
  <c r="I138" i="6"/>
  <c r="H138" i="6"/>
  <c r="G138" i="6"/>
  <c r="I137" i="6"/>
  <c r="G137" i="6"/>
  <c r="D137" i="6"/>
  <c r="H137" i="6" s="1"/>
  <c r="I135" i="6"/>
  <c r="H135" i="6"/>
  <c r="G135" i="6"/>
  <c r="I133" i="6"/>
  <c r="H133" i="6"/>
  <c r="G133" i="6"/>
  <c r="I131" i="6"/>
  <c r="H131" i="6"/>
  <c r="G131" i="6"/>
  <c r="I130" i="6"/>
  <c r="G130" i="6"/>
  <c r="F130" i="6"/>
  <c r="C130" i="6"/>
  <c r="I129" i="6"/>
  <c r="H129" i="6"/>
  <c r="G129" i="6"/>
  <c r="D129" i="6"/>
  <c r="I128" i="6"/>
  <c r="H128" i="6"/>
  <c r="G128" i="6"/>
  <c r="D126" i="6"/>
  <c r="H126" i="6" s="1"/>
  <c r="H125" i="6"/>
  <c r="D125" i="6"/>
  <c r="D124" i="6"/>
  <c r="H124" i="6" s="1"/>
  <c r="H123" i="6"/>
  <c r="I122" i="6"/>
  <c r="D122" i="6"/>
  <c r="H122" i="6" s="1"/>
  <c r="I121" i="6"/>
  <c r="D121" i="6"/>
  <c r="H121" i="6" s="1"/>
  <c r="I120" i="6"/>
  <c r="H120" i="6"/>
  <c r="G120" i="6"/>
  <c r="D120" i="6"/>
  <c r="I119" i="6"/>
  <c r="H119" i="6"/>
  <c r="I118" i="6"/>
  <c r="H118" i="6"/>
  <c r="I117" i="6"/>
  <c r="H117" i="6"/>
  <c r="I116" i="6"/>
  <c r="D116" i="6"/>
  <c r="D114" i="6" s="1"/>
  <c r="H114" i="6" s="1"/>
  <c r="H115" i="6"/>
  <c r="I114" i="6"/>
  <c r="G114" i="6"/>
  <c r="F114" i="6"/>
  <c r="C114" i="6"/>
  <c r="I112" i="6"/>
  <c r="I111" i="6"/>
  <c r="H111" i="6"/>
  <c r="G111" i="6"/>
  <c r="I110" i="6"/>
  <c r="H110" i="6"/>
  <c r="G110" i="6"/>
  <c r="I109" i="6"/>
  <c r="H109" i="6"/>
  <c r="G109" i="6"/>
  <c r="I108" i="6"/>
  <c r="H108" i="6"/>
  <c r="H106" i="6"/>
  <c r="G106" i="6"/>
  <c r="I105" i="6"/>
  <c r="H105" i="6"/>
  <c r="G105" i="6"/>
  <c r="I103" i="6"/>
  <c r="H103" i="6"/>
  <c r="G103" i="6"/>
  <c r="I102" i="6"/>
  <c r="H102" i="6"/>
  <c r="G102" i="6"/>
  <c r="I101" i="6"/>
  <c r="H101" i="6"/>
  <c r="G101" i="6"/>
  <c r="I99" i="6"/>
  <c r="H99" i="6"/>
  <c r="G99" i="6"/>
  <c r="I98" i="6"/>
  <c r="H98" i="6"/>
  <c r="G98" i="6"/>
  <c r="I97" i="6"/>
  <c r="F97" i="6"/>
  <c r="D97" i="6"/>
  <c r="H97" i="6" s="1"/>
  <c r="C97" i="6"/>
  <c r="G97" i="6" s="1"/>
  <c r="I96" i="6"/>
  <c r="H96" i="6"/>
  <c r="G96" i="6"/>
  <c r="D96" i="6"/>
  <c r="I95" i="6"/>
  <c r="H95" i="6"/>
  <c r="G95" i="6"/>
  <c r="I94" i="6"/>
  <c r="H94" i="6"/>
  <c r="G94" i="6"/>
  <c r="H93" i="6"/>
  <c r="G93" i="6"/>
  <c r="I92" i="6"/>
  <c r="H92" i="6"/>
  <c r="G92" i="6"/>
  <c r="D92" i="6"/>
  <c r="I91" i="6"/>
  <c r="H91" i="6"/>
  <c r="G91" i="6"/>
  <c r="I90" i="6"/>
  <c r="H90" i="6"/>
  <c r="G90" i="6"/>
  <c r="I89" i="6"/>
  <c r="H89" i="6"/>
  <c r="G89" i="6"/>
  <c r="I88" i="6"/>
  <c r="H88" i="6"/>
  <c r="G88" i="6"/>
  <c r="I87" i="6"/>
  <c r="H87" i="6"/>
  <c r="G87" i="6"/>
  <c r="I86" i="6"/>
  <c r="H86" i="6"/>
  <c r="G86" i="6"/>
  <c r="I85" i="6"/>
  <c r="H85" i="6"/>
  <c r="G85" i="6"/>
  <c r="I84" i="6"/>
  <c r="H84" i="6"/>
  <c r="G84" i="6"/>
  <c r="I83" i="6"/>
  <c r="G83" i="6"/>
  <c r="F83" i="6"/>
  <c r="D83" i="6"/>
  <c r="H83" i="6" s="1"/>
  <c r="C83" i="6"/>
  <c r="I82" i="6"/>
  <c r="H82" i="6"/>
  <c r="G82" i="6"/>
  <c r="H81" i="6"/>
  <c r="I80" i="6"/>
  <c r="D80" i="6"/>
  <c r="H80" i="6" s="1"/>
  <c r="C80" i="6"/>
  <c r="G80" i="6" s="1"/>
  <c r="I79" i="6"/>
  <c r="H79" i="6"/>
  <c r="G79" i="6"/>
  <c r="I78" i="6"/>
  <c r="H78" i="6"/>
  <c r="G78" i="6"/>
  <c r="I77" i="6"/>
  <c r="H77" i="6"/>
  <c r="G77" i="6"/>
  <c r="I76" i="6"/>
  <c r="H76" i="6"/>
  <c r="G76" i="6"/>
  <c r="I74" i="6"/>
  <c r="H74" i="6"/>
  <c r="G74" i="6"/>
  <c r="I73" i="6"/>
  <c r="H73" i="6"/>
  <c r="G73" i="6"/>
  <c r="I72" i="6"/>
  <c r="H72" i="6"/>
  <c r="G72" i="6"/>
  <c r="I71" i="6"/>
  <c r="I70" i="6"/>
  <c r="H70" i="6"/>
  <c r="G70" i="6"/>
  <c r="D70" i="6"/>
  <c r="I69" i="6"/>
  <c r="H69" i="6"/>
  <c r="G69" i="6"/>
  <c r="I68" i="6"/>
  <c r="I67" i="6"/>
  <c r="H67" i="6"/>
  <c r="F67" i="6"/>
  <c r="D67" i="6"/>
  <c r="C67" i="6"/>
  <c r="G67" i="6" s="1"/>
  <c r="I66" i="6"/>
  <c r="F66" i="6"/>
  <c r="I64" i="6"/>
  <c r="H64" i="6"/>
  <c r="G64" i="6"/>
  <c r="D63" i="6"/>
  <c r="H63" i="6" s="1"/>
  <c r="H62" i="6"/>
  <c r="D62" i="6"/>
  <c r="I61" i="6"/>
  <c r="G61" i="6"/>
  <c r="D61" i="6"/>
  <c r="H61" i="6" s="1"/>
  <c r="I60" i="6"/>
  <c r="I59" i="6"/>
  <c r="H59" i="6"/>
  <c r="G59" i="6"/>
  <c r="I58" i="6"/>
  <c r="H58" i="6"/>
  <c r="G58" i="6"/>
  <c r="I57" i="6"/>
  <c r="H57" i="6"/>
  <c r="G57" i="6"/>
  <c r="I56" i="6"/>
  <c r="H56" i="6"/>
  <c r="G56" i="6"/>
  <c r="I55" i="6"/>
  <c r="H55" i="6"/>
  <c r="G55" i="6"/>
  <c r="I54" i="6"/>
  <c r="H54" i="6"/>
  <c r="G54" i="6"/>
  <c r="I53" i="6"/>
  <c r="H53" i="6"/>
  <c r="G53" i="6"/>
  <c r="I52" i="6"/>
  <c r="F52" i="6"/>
  <c r="D52" i="6"/>
  <c r="H52" i="6" s="1"/>
  <c r="C52" i="6"/>
  <c r="G52" i="6" s="1"/>
  <c r="I51" i="6"/>
  <c r="H51" i="6"/>
  <c r="G51" i="6"/>
  <c r="I50" i="6"/>
  <c r="G50" i="6"/>
  <c r="D50" i="6"/>
  <c r="H50" i="6" s="1"/>
  <c r="I49" i="6"/>
  <c r="H49" i="6"/>
  <c r="G49" i="6"/>
  <c r="I48" i="6"/>
  <c r="H48" i="6"/>
  <c r="G48" i="6"/>
  <c r="I47" i="6"/>
  <c r="H47" i="6"/>
  <c r="G47" i="6"/>
  <c r="I46" i="6"/>
  <c r="H46" i="6"/>
  <c r="G46" i="6"/>
  <c r="I45" i="6"/>
  <c r="H45" i="6"/>
  <c r="G45" i="6"/>
  <c r="I44" i="6"/>
  <c r="F44" i="6"/>
  <c r="D44" i="6"/>
  <c r="H44" i="6" s="1"/>
  <c r="C44" i="6"/>
  <c r="G44" i="6" s="1"/>
  <c r="I43" i="6"/>
  <c r="G43" i="6"/>
  <c r="D43" i="6"/>
  <c r="H43" i="6" s="1"/>
  <c r="I42" i="6"/>
  <c r="D42" i="6"/>
  <c r="H42" i="6" s="1"/>
  <c r="I41" i="6"/>
  <c r="H41" i="6"/>
  <c r="G41" i="6"/>
  <c r="I40" i="6"/>
  <c r="H40" i="6"/>
  <c r="G40" i="6"/>
  <c r="I39" i="6"/>
  <c r="H39" i="6"/>
  <c r="G39" i="6"/>
  <c r="I38" i="6"/>
  <c r="G38" i="6"/>
  <c r="D38" i="6"/>
  <c r="H38" i="6" s="1"/>
  <c r="I37" i="6"/>
  <c r="G37" i="6"/>
  <c r="D37" i="6"/>
  <c r="H37" i="6" s="1"/>
  <c r="C37" i="6"/>
  <c r="I36" i="6"/>
  <c r="H36" i="6"/>
  <c r="G36" i="6"/>
  <c r="I35" i="6"/>
  <c r="H35" i="6"/>
  <c r="G35" i="6"/>
  <c r="I34" i="6"/>
  <c r="H34" i="6"/>
  <c r="G34" i="6"/>
  <c r="I33" i="6"/>
  <c r="H33" i="6"/>
  <c r="G33" i="6"/>
  <c r="I32" i="6"/>
  <c r="F32" i="6"/>
  <c r="C32" i="6"/>
  <c r="I30" i="6"/>
  <c r="E30" i="6"/>
  <c r="E11" i="6" s="1"/>
  <c r="I29" i="6"/>
  <c r="E29" i="6"/>
  <c r="I28" i="6"/>
  <c r="G28" i="6"/>
  <c r="E28" i="6"/>
  <c r="C28" i="6"/>
  <c r="I27" i="6"/>
  <c r="E27" i="6"/>
  <c r="I26" i="6"/>
  <c r="H26" i="6"/>
  <c r="E26" i="6"/>
  <c r="D26" i="6"/>
  <c r="I25" i="6"/>
  <c r="G25" i="6"/>
  <c r="E25" i="6"/>
  <c r="C25" i="6"/>
  <c r="I24" i="6"/>
  <c r="E24" i="6"/>
  <c r="I23" i="6"/>
  <c r="E23" i="6"/>
  <c r="I22" i="6"/>
  <c r="G22" i="6"/>
  <c r="E22" i="6"/>
  <c r="C22" i="6"/>
  <c r="I21" i="6"/>
  <c r="E21" i="6"/>
  <c r="I20" i="6"/>
  <c r="E20" i="6"/>
  <c r="I19" i="6"/>
  <c r="H19" i="6"/>
  <c r="G19" i="6"/>
  <c r="E19" i="6"/>
  <c r="D19" i="6"/>
  <c r="C19" i="6"/>
  <c r="I18" i="6"/>
  <c r="H18" i="6"/>
  <c r="G18" i="6"/>
  <c r="E18" i="6"/>
  <c r="D18" i="6"/>
  <c r="C18" i="6"/>
  <c r="I17" i="6"/>
  <c r="G17" i="6"/>
  <c r="E17" i="6"/>
  <c r="C17" i="6"/>
  <c r="I16" i="6"/>
  <c r="H16" i="6"/>
  <c r="G16" i="6"/>
  <c r="E16" i="6"/>
  <c r="D16" i="6"/>
  <c r="C16" i="6"/>
  <c r="I15" i="6"/>
  <c r="H15" i="6"/>
  <c r="G15" i="6"/>
  <c r="E15" i="6"/>
  <c r="D15" i="6"/>
  <c r="C15" i="6"/>
  <c r="I14" i="6"/>
  <c r="E14" i="6"/>
  <c r="I13" i="6"/>
  <c r="E13" i="6"/>
  <c r="I12" i="6"/>
  <c r="H12" i="6"/>
  <c r="G12" i="6"/>
  <c r="I11" i="6"/>
  <c r="I9" i="6"/>
  <c r="I914" i="6" s="1"/>
  <c r="E9" i="6"/>
  <c r="E914" i="6" s="1"/>
  <c r="I8" i="6"/>
  <c r="E8" i="6"/>
  <c r="I7" i="6"/>
  <c r="E7" i="6"/>
  <c r="I6" i="6"/>
  <c r="E6" i="6"/>
  <c r="C6" i="6"/>
  <c r="I5" i="6"/>
  <c r="G5" i="6"/>
  <c r="E5" i="6"/>
  <c r="C5" i="6"/>
  <c r="I4" i="6"/>
  <c r="E4" i="6"/>
  <c r="I3" i="6"/>
  <c r="E3" i="6"/>
  <c r="F885" i="3"/>
  <c r="I882" i="3"/>
  <c r="G879" i="3"/>
  <c r="D879" i="3"/>
  <c r="H879" i="3" s="1"/>
  <c r="H878" i="3"/>
  <c r="D878" i="3"/>
  <c r="C878" i="3"/>
  <c r="G878" i="3" s="1"/>
  <c r="I877" i="3"/>
  <c r="F877" i="3"/>
  <c r="D877" i="3"/>
  <c r="H877" i="3" s="1"/>
  <c r="D876" i="3"/>
  <c r="H876" i="3" s="1"/>
  <c r="H875" i="3"/>
  <c r="D875" i="3"/>
  <c r="D874" i="3"/>
  <c r="H874" i="3" s="1"/>
  <c r="I873" i="3"/>
  <c r="F873" i="3"/>
  <c r="D873" i="3"/>
  <c r="H873" i="3" s="1"/>
  <c r="C873" i="3"/>
  <c r="I872" i="3"/>
  <c r="H872" i="3"/>
  <c r="G872" i="3"/>
  <c r="I871" i="3"/>
  <c r="G871" i="3"/>
  <c r="D871" i="3"/>
  <c r="H871" i="3" s="1"/>
  <c r="I870" i="3"/>
  <c r="G870" i="3"/>
  <c r="F870" i="3"/>
  <c r="D870" i="3"/>
  <c r="H870" i="3" s="1"/>
  <c r="C870" i="3"/>
  <c r="I869" i="3"/>
  <c r="H869" i="3"/>
  <c r="G869" i="3"/>
  <c r="I868" i="3"/>
  <c r="H868" i="3"/>
  <c r="G868" i="3"/>
  <c r="I867" i="3"/>
  <c r="H867" i="3"/>
  <c r="G867" i="3"/>
  <c r="I866" i="3"/>
  <c r="H866" i="3"/>
  <c r="G866" i="3"/>
  <c r="I865" i="3"/>
  <c r="D865" i="3"/>
  <c r="H865" i="3" s="1"/>
  <c r="I864" i="3"/>
  <c r="C864" i="3"/>
  <c r="I862" i="3"/>
  <c r="F862" i="3"/>
  <c r="I860" i="3"/>
  <c r="H860" i="3"/>
  <c r="G860" i="3"/>
  <c r="D860" i="3"/>
  <c r="I859" i="3"/>
  <c r="H859" i="3"/>
  <c r="D859" i="3"/>
  <c r="C859" i="3"/>
  <c r="G859" i="3" s="1"/>
  <c r="H858" i="3"/>
  <c r="G858" i="3"/>
  <c r="G857" i="3"/>
  <c r="D857" i="3"/>
  <c r="H857" i="3" s="1"/>
  <c r="H856" i="3"/>
  <c r="G856" i="3"/>
  <c r="G855" i="3"/>
  <c r="F855" i="3"/>
  <c r="C855" i="3"/>
  <c r="C854" i="3" s="1"/>
  <c r="G854" i="3" s="1"/>
  <c r="I854" i="3"/>
  <c r="F854" i="3"/>
  <c r="H852" i="3"/>
  <c r="G852" i="3"/>
  <c r="H851" i="3"/>
  <c r="G851" i="3"/>
  <c r="H850" i="3"/>
  <c r="G850" i="3"/>
  <c r="I849" i="3"/>
  <c r="H849" i="3"/>
  <c r="G849" i="3"/>
  <c r="I848" i="3"/>
  <c r="H848" i="3"/>
  <c r="G848" i="3"/>
  <c r="I847" i="3"/>
  <c r="H847" i="3"/>
  <c r="G847" i="3"/>
  <c r="F847" i="3"/>
  <c r="D847" i="3"/>
  <c r="C847" i="3"/>
  <c r="H846" i="3"/>
  <c r="G846" i="3"/>
  <c r="I845" i="3"/>
  <c r="H845" i="3"/>
  <c r="G845" i="3"/>
  <c r="I844" i="3"/>
  <c r="G844" i="3"/>
  <c r="F844" i="3"/>
  <c r="D844" i="3"/>
  <c r="H844" i="3" s="1"/>
  <c r="C844" i="3"/>
  <c r="I843" i="3"/>
  <c r="H843" i="3"/>
  <c r="G843" i="3"/>
  <c r="H842" i="3"/>
  <c r="G842" i="3"/>
  <c r="I841" i="3"/>
  <c r="D841" i="3"/>
  <c r="H841" i="3" s="1"/>
  <c r="C841" i="3"/>
  <c r="G841" i="3" s="1"/>
  <c r="H840" i="3"/>
  <c r="G840" i="3"/>
  <c r="H839" i="3"/>
  <c r="G839" i="3"/>
  <c r="H838" i="3"/>
  <c r="G838" i="3"/>
  <c r="I837" i="3"/>
  <c r="H837" i="3"/>
  <c r="G837" i="3"/>
  <c r="I836" i="3"/>
  <c r="H836" i="3"/>
  <c r="F836" i="3"/>
  <c r="D836" i="3"/>
  <c r="C836" i="3"/>
  <c r="G836" i="3" s="1"/>
  <c r="H835" i="3"/>
  <c r="G835" i="3"/>
  <c r="H834" i="3"/>
  <c r="G834" i="3"/>
  <c r="H833" i="3"/>
  <c r="G833" i="3"/>
  <c r="H832" i="3"/>
  <c r="G832" i="3"/>
  <c r="I831" i="3"/>
  <c r="H831" i="3"/>
  <c r="G831" i="3"/>
  <c r="H830" i="3"/>
  <c r="G830" i="3"/>
  <c r="I829" i="3"/>
  <c r="G829" i="3"/>
  <c r="F829" i="3"/>
  <c r="D829" i="3"/>
  <c r="H829" i="3" s="1"/>
  <c r="C829" i="3"/>
  <c r="H828" i="3"/>
  <c r="G828" i="3"/>
  <c r="H827" i="3"/>
  <c r="G827" i="3"/>
  <c r="H826" i="3"/>
  <c r="G826" i="3"/>
  <c r="H825" i="3"/>
  <c r="G825" i="3"/>
  <c r="I824" i="3"/>
  <c r="H824" i="3"/>
  <c r="D824" i="3"/>
  <c r="C824" i="3"/>
  <c r="G824" i="3" s="1"/>
  <c r="I823" i="3"/>
  <c r="D823" i="3"/>
  <c r="H823" i="3" s="1"/>
  <c r="C823" i="3"/>
  <c r="C819" i="3" s="1"/>
  <c r="G819" i="3" s="1"/>
  <c r="I822" i="3"/>
  <c r="G822" i="3"/>
  <c r="D822" i="3"/>
  <c r="H822" i="3" s="1"/>
  <c r="I821" i="3"/>
  <c r="G821" i="3"/>
  <c r="D821" i="3"/>
  <c r="H821" i="3" s="1"/>
  <c r="C821" i="3"/>
  <c r="I820" i="3"/>
  <c r="H820" i="3"/>
  <c r="G820" i="3"/>
  <c r="I819" i="3"/>
  <c r="D819" i="3"/>
  <c r="H819" i="3" s="1"/>
  <c r="H818" i="3"/>
  <c r="G818" i="3"/>
  <c r="I817" i="3"/>
  <c r="H817" i="3"/>
  <c r="G817" i="3"/>
  <c r="H816" i="3"/>
  <c r="G816" i="3"/>
  <c r="I815" i="3"/>
  <c r="H815" i="3"/>
  <c r="G815" i="3"/>
  <c r="I814" i="3"/>
  <c r="H814" i="3"/>
  <c r="G814" i="3"/>
  <c r="I813" i="3"/>
  <c r="H813" i="3"/>
  <c r="G813" i="3"/>
  <c r="H812" i="3"/>
  <c r="G812" i="3"/>
  <c r="I811" i="3"/>
  <c r="H811" i="3"/>
  <c r="G811" i="3"/>
  <c r="I810" i="3"/>
  <c r="H810" i="3"/>
  <c r="G810" i="3"/>
  <c r="H809" i="3"/>
  <c r="G809" i="3"/>
  <c r="I808" i="3"/>
  <c r="F808" i="3"/>
  <c r="D808" i="3"/>
  <c r="H808" i="3" s="1"/>
  <c r="C808" i="3"/>
  <c r="G808" i="3" s="1"/>
  <c r="I807" i="3"/>
  <c r="H807" i="3"/>
  <c r="G807" i="3"/>
  <c r="I806" i="3"/>
  <c r="H806" i="3"/>
  <c r="G806" i="3"/>
  <c r="I805" i="3"/>
  <c r="H805" i="3"/>
  <c r="G805" i="3"/>
  <c r="I804" i="3"/>
  <c r="H804" i="3"/>
  <c r="G804" i="3"/>
  <c r="I803" i="3"/>
  <c r="H803" i="3"/>
  <c r="F803" i="3"/>
  <c r="D803" i="3"/>
  <c r="C803" i="3"/>
  <c r="G803" i="3" s="1"/>
  <c r="I802" i="3"/>
  <c r="H802" i="3"/>
  <c r="G802" i="3"/>
  <c r="I801" i="3"/>
  <c r="H801" i="3"/>
  <c r="G801" i="3"/>
  <c r="H800" i="3"/>
  <c r="G800" i="3"/>
  <c r="H799" i="3"/>
  <c r="G799" i="3"/>
  <c r="G798" i="3"/>
  <c r="D798" i="3"/>
  <c r="H798" i="3" s="1"/>
  <c r="H797" i="3"/>
  <c r="G797" i="3"/>
  <c r="H796" i="3"/>
  <c r="G796" i="3"/>
  <c r="D795" i="3"/>
  <c r="H795" i="3" s="1"/>
  <c r="C795" i="3"/>
  <c r="G795" i="3" s="1"/>
  <c r="I794" i="3"/>
  <c r="F794" i="3"/>
  <c r="H793" i="3"/>
  <c r="G793" i="3"/>
  <c r="I792" i="3"/>
  <c r="H792" i="3"/>
  <c r="G792" i="3"/>
  <c r="I791" i="3"/>
  <c r="H791" i="3"/>
  <c r="G791" i="3"/>
  <c r="I790" i="3"/>
  <c r="H790" i="3"/>
  <c r="G790" i="3"/>
  <c r="I789" i="3"/>
  <c r="H789" i="3"/>
  <c r="G789" i="3"/>
  <c r="I788" i="3"/>
  <c r="F788" i="3"/>
  <c r="D788" i="3"/>
  <c r="H788" i="3" s="1"/>
  <c r="C788" i="3"/>
  <c r="G788" i="3" s="1"/>
  <c r="I787" i="3"/>
  <c r="H787" i="3"/>
  <c r="G787" i="3"/>
  <c r="I786" i="3"/>
  <c r="H786" i="3"/>
  <c r="G786" i="3"/>
  <c r="I785" i="3"/>
  <c r="H785" i="3"/>
  <c r="G785" i="3"/>
  <c r="I784" i="3"/>
  <c r="H784" i="3"/>
  <c r="G784" i="3"/>
  <c r="H783" i="3"/>
  <c r="G783" i="3"/>
  <c r="H782" i="3"/>
  <c r="D782" i="3"/>
  <c r="C782" i="3"/>
  <c r="G782" i="3" s="1"/>
  <c r="I781" i="3"/>
  <c r="H781" i="3"/>
  <c r="G781" i="3"/>
  <c r="I780" i="3"/>
  <c r="F780" i="3"/>
  <c r="D780" i="3"/>
  <c r="H780" i="3" s="1"/>
  <c r="C780" i="3"/>
  <c r="G780" i="3" s="1"/>
  <c r="I779" i="3"/>
  <c r="H779" i="3"/>
  <c r="G779" i="3"/>
  <c r="I778" i="3"/>
  <c r="H778" i="3"/>
  <c r="G778" i="3"/>
  <c r="H777" i="3"/>
  <c r="G777" i="3"/>
  <c r="D776" i="3"/>
  <c r="H776" i="3" s="1"/>
  <c r="C776" i="3"/>
  <c r="G776" i="3" s="1"/>
  <c r="I775" i="3"/>
  <c r="H775" i="3"/>
  <c r="G775" i="3"/>
  <c r="I774" i="3"/>
  <c r="F774" i="3"/>
  <c r="D774" i="3"/>
  <c r="H774" i="3" s="1"/>
  <c r="C774" i="3"/>
  <c r="G774" i="3" s="1"/>
  <c r="I773" i="3"/>
  <c r="H773" i="3"/>
  <c r="G773" i="3"/>
  <c r="I772" i="3"/>
  <c r="H772" i="3"/>
  <c r="G772" i="3"/>
  <c r="H771" i="3"/>
  <c r="G771" i="3"/>
  <c r="I770" i="3"/>
  <c r="H770" i="3"/>
  <c r="G770" i="3"/>
  <c r="I769" i="3"/>
  <c r="G769" i="3"/>
  <c r="F769" i="3"/>
  <c r="D769" i="3"/>
  <c r="H769" i="3" s="1"/>
  <c r="C769" i="3"/>
  <c r="I768" i="3"/>
  <c r="F768" i="3"/>
  <c r="D768" i="3"/>
  <c r="H768" i="3" s="1"/>
  <c r="C768" i="3"/>
  <c r="G768" i="3" s="1"/>
  <c r="I767" i="3"/>
  <c r="H767" i="3"/>
  <c r="G767" i="3"/>
  <c r="I766" i="3"/>
  <c r="D766" i="3"/>
  <c r="H766" i="3" s="1"/>
  <c r="C766" i="3"/>
  <c r="G766" i="3" s="1"/>
  <c r="I765" i="3"/>
  <c r="F765" i="3"/>
  <c r="H764" i="3"/>
  <c r="G764" i="3"/>
  <c r="H763" i="3"/>
  <c r="G763" i="3"/>
  <c r="H762" i="3"/>
  <c r="F762" i="3"/>
  <c r="D762" i="3"/>
  <c r="C762" i="3"/>
  <c r="G762" i="3" s="1"/>
  <c r="I761" i="3"/>
  <c r="H761" i="3"/>
  <c r="G761" i="3"/>
  <c r="H760" i="3"/>
  <c r="D760" i="3"/>
  <c r="I759" i="3"/>
  <c r="G759" i="3"/>
  <c r="D759" i="3"/>
  <c r="H759" i="3" s="1"/>
  <c r="I758" i="3"/>
  <c r="G758" i="3"/>
  <c r="D758" i="3"/>
  <c r="H758" i="3" s="1"/>
  <c r="C758" i="3"/>
  <c r="I757" i="3"/>
  <c r="F757" i="3"/>
  <c r="C757" i="3"/>
  <c r="G757" i="3" s="1"/>
  <c r="I756" i="3"/>
  <c r="G756" i="3"/>
  <c r="D756" i="3"/>
  <c r="H756" i="3" s="1"/>
  <c r="I755" i="3"/>
  <c r="G755" i="3"/>
  <c r="D755" i="3"/>
  <c r="H755" i="3" s="1"/>
  <c r="I754" i="3"/>
  <c r="F754" i="3"/>
  <c r="D754" i="3"/>
  <c r="H754" i="3" s="1"/>
  <c r="C754" i="3"/>
  <c r="G754" i="3" s="1"/>
  <c r="H753" i="3"/>
  <c r="G753" i="3"/>
  <c r="H752" i="3"/>
  <c r="D752" i="3"/>
  <c r="C752" i="3"/>
  <c r="G752" i="3" s="1"/>
  <c r="H751" i="3"/>
  <c r="H750" i="3"/>
  <c r="G750" i="3"/>
  <c r="I749" i="3"/>
  <c r="F749" i="3"/>
  <c r="D749" i="3"/>
  <c r="H749" i="3" s="1"/>
  <c r="C749" i="3"/>
  <c r="C748" i="3" s="1"/>
  <c r="I748" i="3"/>
  <c r="F748" i="3"/>
  <c r="I747" i="3"/>
  <c r="F747" i="3"/>
  <c r="I746" i="3"/>
  <c r="H746" i="3"/>
  <c r="G746" i="3"/>
  <c r="I745" i="3"/>
  <c r="F745" i="3"/>
  <c r="H743" i="3"/>
  <c r="G743" i="3"/>
  <c r="H742" i="3"/>
  <c r="D742" i="3"/>
  <c r="C742" i="3"/>
  <c r="G742" i="3" s="1"/>
  <c r="I741" i="3"/>
  <c r="H741" i="3"/>
  <c r="G741" i="3"/>
  <c r="I740" i="3"/>
  <c r="H740" i="3"/>
  <c r="G740" i="3"/>
  <c r="I739" i="3"/>
  <c r="H739" i="3"/>
  <c r="G739" i="3"/>
  <c r="I738" i="3"/>
  <c r="H738" i="3"/>
  <c r="G738" i="3"/>
  <c r="H737" i="3"/>
  <c r="G737" i="3"/>
  <c r="I736" i="3"/>
  <c r="F736" i="3"/>
  <c r="D736" i="3"/>
  <c r="H736" i="3" s="1"/>
  <c r="C736" i="3"/>
  <c r="G736" i="3" s="1"/>
  <c r="H735" i="3"/>
  <c r="G735" i="3"/>
  <c r="H734" i="3"/>
  <c r="G734" i="3"/>
  <c r="H733" i="3"/>
  <c r="G733" i="3"/>
  <c r="I732" i="3"/>
  <c r="H732" i="3"/>
  <c r="G732" i="3"/>
  <c r="I731" i="3"/>
  <c r="H731" i="3"/>
  <c r="G731" i="3"/>
  <c r="I730" i="3"/>
  <c r="G730" i="3"/>
  <c r="D730" i="3"/>
  <c r="D729" i="3" s="1"/>
  <c r="I729" i="3"/>
  <c r="F729" i="3"/>
  <c r="C729" i="3"/>
  <c r="G729" i="3" s="1"/>
  <c r="I728" i="3"/>
  <c r="H728" i="3"/>
  <c r="G728" i="3"/>
  <c r="I727" i="3"/>
  <c r="H727" i="3"/>
  <c r="G727" i="3"/>
  <c r="G726" i="3"/>
  <c r="D726" i="3"/>
  <c r="H726" i="3" s="1"/>
  <c r="I725" i="3"/>
  <c r="H725" i="3"/>
  <c r="G725" i="3"/>
  <c r="I724" i="3"/>
  <c r="H724" i="3"/>
  <c r="G724" i="3"/>
  <c r="I723" i="3"/>
  <c r="H723" i="3"/>
  <c r="G723" i="3"/>
  <c r="D723" i="3"/>
  <c r="I722" i="3"/>
  <c r="H722" i="3"/>
  <c r="G722" i="3"/>
  <c r="I721" i="3"/>
  <c r="F721" i="3"/>
  <c r="C721" i="3"/>
  <c r="G721" i="3" s="1"/>
  <c r="H719" i="3"/>
  <c r="G719" i="3"/>
  <c r="I718" i="3"/>
  <c r="H718" i="3"/>
  <c r="G718" i="3"/>
  <c r="D718" i="3"/>
  <c r="I717" i="3"/>
  <c r="H717" i="3"/>
  <c r="G717" i="3"/>
  <c r="D717" i="3"/>
  <c r="I716" i="3"/>
  <c r="G716" i="3"/>
  <c r="D716" i="3"/>
  <c r="D715" i="3" s="1"/>
  <c r="I715" i="3"/>
  <c r="F715" i="3"/>
  <c r="C715" i="3"/>
  <c r="G715" i="3" s="1"/>
  <c r="I714" i="3"/>
  <c r="I712" i="3"/>
  <c r="H712" i="3"/>
  <c r="I711" i="3"/>
  <c r="H711" i="3"/>
  <c r="G711" i="3"/>
  <c r="I710" i="3"/>
  <c r="H710" i="3"/>
  <c r="D710" i="3"/>
  <c r="H709" i="3"/>
  <c r="G709" i="3"/>
  <c r="I708" i="3"/>
  <c r="H708" i="3"/>
  <c r="G708" i="3"/>
  <c r="H707" i="3"/>
  <c r="G707" i="3"/>
  <c r="I706" i="3"/>
  <c r="H706" i="3"/>
  <c r="G706" i="3"/>
  <c r="I705" i="3"/>
  <c r="H705" i="3"/>
  <c r="G705" i="3"/>
  <c r="I704" i="3"/>
  <c r="H704" i="3"/>
  <c r="G704" i="3"/>
  <c r="I703" i="3"/>
  <c r="G703" i="3"/>
  <c r="D703" i="3"/>
  <c r="H703" i="3" s="1"/>
  <c r="I702" i="3"/>
  <c r="H702" i="3"/>
  <c r="G702" i="3"/>
  <c r="I701" i="3"/>
  <c r="H701" i="3"/>
  <c r="G701" i="3"/>
  <c r="I700" i="3"/>
  <c r="G700" i="3"/>
  <c r="F700" i="3"/>
  <c r="D700" i="3"/>
  <c r="H700" i="3" s="1"/>
  <c r="C700" i="3"/>
  <c r="I699" i="3"/>
  <c r="C699" i="3"/>
  <c r="G699" i="3" s="1"/>
  <c r="G698" i="3"/>
  <c r="D698" i="3"/>
  <c r="H698" i="3" s="1"/>
  <c r="I697" i="3"/>
  <c r="H697" i="3"/>
  <c r="G697" i="3"/>
  <c r="H696" i="3"/>
  <c r="G696" i="3"/>
  <c r="I695" i="3"/>
  <c r="H695" i="3"/>
  <c r="G695" i="3"/>
  <c r="I694" i="3"/>
  <c r="H694" i="3"/>
  <c r="G694" i="3"/>
  <c r="I693" i="3"/>
  <c r="H693" i="3"/>
  <c r="G693" i="3"/>
  <c r="I692" i="3"/>
  <c r="G692" i="3"/>
  <c r="F692" i="3"/>
  <c r="D692" i="3"/>
  <c r="H692" i="3" s="1"/>
  <c r="C692" i="3"/>
  <c r="I691" i="3"/>
  <c r="H691" i="3"/>
  <c r="G691" i="3"/>
  <c r="I690" i="3"/>
  <c r="H690" i="3"/>
  <c r="D690" i="3"/>
  <c r="C690" i="3"/>
  <c r="G690" i="3" s="1"/>
  <c r="H689" i="3"/>
  <c r="G689" i="3"/>
  <c r="I688" i="3"/>
  <c r="H688" i="3"/>
  <c r="G688" i="3"/>
  <c r="I687" i="3"/>
  <c r="H687" i="3"/>
  <c r="F687" i="3"/>
  <c r="D687" i="3"/>
  <c r="C687" i="3"/>
  <c r="G687" i="3" s="1"/>
  <c r="I686" i="3"/>
  <c r="H686" i="3"/>
  <c r="G686" i="3"/>
  <c r="H685" i="3"/>
  <c r="G685" i="3"/>
  <c r="I684" i="3"/>
  <c r="F684" i="3"/>
  <c r="D684" i="3"/>
  <c r="H684" i="3" s="1"/>
  <c r="I683" i="3"/>
  <c r="F683" i="3"/>
  <c r="I681" i="3"/>
  <c r="H681" i="3"/>
  <c r="G681" i="3"/>
  <c r="I680" i="3"/>
  <c r="H680" i="3"/>
  <c r="D680" i="3"/>
  <c r="C680" i="3"/>
  <c r="G680" i="3" s="1"/>
  <c r="I679" i="3"/>
  <c r="D679" i="3"/>
  <c r="H679" i="3" s="1"/>
  <c r="C679" i="3"/>
  <c r="C677" i="3" s="1"/>
  <c r="G677" i="3" s="1"/>
  <c r="I678" i="3"/>
  <c r="G678" i="3"/>
  <c r="D678" i="3"/>
  <c r="H678" i="3" s="1"/>
  <c r="C678" i="3"/>
  <c r="I677" i="3"/>
  <c r="F677" i="3"/>
  <c r="I676" i="3"/>
  <c r="D676" i="3"/>
  <c r="H676" i="3" s="1"/>
  <c r="C676" i="3"/>
  <c r="I675" i="3"/>
  <c r="H675" i="3"/>
  <c r="G675" i="3"/>
  <c r="I674" i="3"/>
  <c r="F674" i="3"/>
  <c r="I672" i="3"/>
  <c r="H672" i="3"/>
  <c r="G672" i="3"/>
  <c r="I671" i="3"/>
  <c r="H671" i="3"/>
  <c r="G671" i="3"/>
  <c r="I670" i="3"/>
  <c r="H670" i="3"/>
  <c r="G670" i="3"/>
  <c r="I669" i="3"/>
  <c r="H669" i="3"/>
  <c r="G669" i="3"/>
  <c r="I668" i="3"/>
  <c r="H668" i="3"/>
  <c r="G668" i="3"/>
  <c r="I667" i="3"/>
  <c r="H667" i="3"/>
  <c r="G667" i="3"/>
  <c r="H666" i="3"/>
  <c r="G666" i="3"/>
  <c r="I665" i="3"/>
  <c r="H665" i="3"/>
  <c r="G665" i="3"/>
  <c r="I664" i="3"/>
  <c r="F664" i="3"/>
  <c r="D664" i="3"/>
  <c r="H664" i="3" s="1"/>
  <c r="C664" i="3"/>
  <c r="G664" i="3" s="1"/>
  <c r="I663" i="3"/>
  <c r="H663" i="3"/>
  <c r="G663" i="3"/>
  <c r="I662" i="3"/>
  <c r="H662" i="3"/>
  <c r="G662" i="3"/>
  <c r="H661" i="3"/>
  <c r="G661" i="3"/>
  <c r="I660" i="3"/>
  <c r="H660" i="3"/>
  <c r="G660" i="3"/>
  <c r="I659" i="3"/>
  <c r="H659" i="3"/>
  <c r="G659" i="3"/>
  <c r="I658" i="3"/>
  <c r="H658" i="3"/>
  <c r="G658" i="3"/>
  <c r="I657" i="3"/>
  <c r="F657" i="3"/>
  <c r="D657" i="3"/>
  <c r="H657" i="3" s="1"/>
  <c r="C657" i="3"/>
  <c r="G657" i="3" s="1"/>
  <c r="I655" i="3"/>
  <c r="D655" i="3"/>
  <c r="H655" i="3" s="1"/>
  <c r="C655" i="3"/>
  <c r="C654" i="3" s="1"/>
  <c r="I654" i="3"/>
  <c r="D654" i="3"/>
  <c r="D653" i="3" s="1"/>
  <c r="H653" i="3" s="1"/>
  <c r="I653" i="3"/>
  <c r="I651" i="3"/>
  <c r="H651" i="3"/>
  <c r="D651" i="3"/>
  <c r="C651" i="3"/>
  <c r="G651" i="3" s="1"/>
  <c r="I650" i="3"/>
  <c r="H650" i="3"/>
  <c r="G650" i="3"/>
  <c r="I649" i="3"/>
  <c r="H649" i="3"/>
  <c r="G649" i="3"/>
  <c r="I648" i="3"/>
  <c r="H648" i="3"/>
  <c r="G648" i="3"/>
  <c r="D648" i="3"/>
  <c r="I647" i="3"/>
  <c r="H647" i="3"/>
  <c r="G647" i="3"/>
  <c r="D647" i="3"/>
  <c r="C647" i="3"/>
  <c r="I646" i="3"/>
  <c r="H646" i="3"/>
  <c r="G646" i="3"/>
  <c r="I645" i="3"/>
  <c r="H645" i="3"/>
  <c r="G645" i="3"/>
  <c r="I644" i="3"/>
  <c r="G644" i="3"/>
  <c r="D644" i="3"/>
  <c r="H644" i="3" s="1"/>
  <c r="C644" i="3"/>
  <c r="I643" i="3"/>
  <c r="H643" i="3"/>
  <c r="G643" i="3"/>
  <c r="I642" i="3"/>
  <c r="H642" i="3"/>
  <c r="G642" i="3"/>
  <c r="I641" i="3"/>
  <c r="G641" i="3"/>
  <c r="F641" i="3"/>
  <c r="D641" i="3"/>
  <c r="H641" i="3" s="1"/>
  <c r="C641" i="3"/>
  <c r="I640" i="3"/>
  <c r="G640" i="3"/>
  <c r="C640" i="3"/>
  <c r="I638" i="3"/>
  <c r="H638" i="3"/>
  <c r="G638" i="3"/>
  <c r="I637" i="3"/>
  <c r="H637" i="3"/>
  <c r="G637" i="3"/>
  <c r="D637" i="3"/>
  <c r="C637" i="3"/>
  <c r="I633" i="3"/>
  <c r="H633" i="3"/>
  <c r="G633" i="3"/>
  <c r="D633" i="3"/>
  <c r="I632" i="3"/>
  <c r="H632" i="3"/>
  <c r="F632" i="3"/>
  <c r="D632" i="3"/>
  <c r="C632" i="3"/>
  <c r="G632" i="3" s="1"/>
  <c r="H631" i="3"/>
  <c r="G631" i="3"/>
  <c r="I630" i="3"/>
  <c r="H630" i="3"/>
  <c r="D630" i="3"/>
  <c r="H629" i="3"/>
  <c r="G629" i="3"/>
  <c r="G628" i="3"/>
  <c r="D628" i="3"/>
  <c r="D627" i="3" s="1"/>
  <c r="I627" i="3"/>
  <c r="F627" i="3"/>
  <c r="C627" i="3"/>
  <c r="G627" i="3" s="1"/>
  <c r="I626" i="3"/>
  <c r="H626" i="3"/>
  <c r="G626" i="3"/>
  <c r="D626" i="3"/>
  <c r="H625" i="3"/>
  <c r="G625" i="3"/>
  <c r="D625" i="3"/>
  <c r="I624" i="3"/>
  <c r="H624" i="3"/>
  <c r="G624" i="3"/>
  <c r="H623" i="3"/>
  <c r="G623" i="3"/>
  <c r="H622" i="3"/>
  <c r="G622" i="3"/>
  <c r="I621" i="3"/>
  <c r="F621" i="3"/>
  <c r="D621" i="3"/>
  <c r="H621" i="3" s="1"/>
  <c r="C621" i="3"/>
  <c r="G621" i="3" s="1"/>
  <c r="I620" i="3"/>
  <c r="H620" i="3"/>
  <c r="G620" i="3"/>
  <c r="I619" i="3"/>
  <c r="H619" i="3"/>
  <c r="G619" i="3"/>
  <c r="I618" i="3"/>
  <c r="F618" i="3"/>
  <c r="D618" i="3"/>
  <c r="H618" i="3" s="1"/>
  <c r="C618" i="3"/>
  <c r="G618" i="3" s="1"/>
  <c r="I615" i="3"/>
  <c r="H615" i="3"/>
  <c r="G615" i="3"/>
  <c r="D615" i="3"/>
  <c r="I614" i="3"/>
  <c r="H614" i="3"/>
  <c r="F614" i="3"/>
  <c r="D614" i="3"/>
  <c r="C614" i="3"/>
  <c r="G614" i="3" s="1"/>
  <c r="I613" i="3"/>
  <c r="F613" i="3"/>
  <c r="I611" i="3"/>
  <c r="H611" i="3"/>
  <c r="G611" i="3"/>
  <c r="D611" i="3"/>
  <c r="I610" i="3"/>
  <c r="I609" i="3"/>
  <c r="I608" i="3"/>
  <c r="G608" i="3"/>
  <c r="D608" i="3"/>
  <c r="D607" i="3" s="1"/>
  <c r="I607" i="3"/>
  <c r="F607" i="3"/>
  <c r="C607" i="3"/>
  <c r="G607" i="3" s="1"/>
  <c r="I606" i="3"/>
  <c r="I605" i="3"/>
  <c r="H605" i="3"/>
  <c r="G605" i="3"/>
  <c r="I604" i="3"/>
  <c r="H604" i="3"/>
  <c r="G604" i="3"/>
  <c r="D604" i="3"/>
  <c r="I603" i="3"/>
  <c r="H603" i="3"/>
  <c r="G603" i="3"/>
  <c r="I602" i="3"/>
  <c r="G602" i="3"/>
  <c r="F602" i="3"/>
  <c r="D602" i="3"/>
  <c r="H602" i="3" s="1"/>
  <c r="C602" i="3"/>
  <c r="I601" i="3"/>
  <c r="H601" i="3"/>
  <c r="D601" i="3"/>
  <c r="I600" i="3"/>
  <c r="H600" i="3"/>
  <c r="G600" i="3"/>
  <c r="I599" i="3"/>
  <c r="G599" i="3"/>
  <c r="D599" i="3"/>
  <c r="D598" i="3" s="1"/>
  <c r="H598" i="3" s="1"/>
  <c r="I598" i="3"/>
  <c r="G598" i="3"/>
  <c r="F598" i="3"/>
  <c r="C598" i="3"/>
  <c r="H597" i="3"/>
  <c r="G597" i="3"/>
  <c r="I596" i="3"/>
  <c r="G596" i="3"/>
  <c r="D596" i="3"/>
  <c r="D595" i="3" s="1"/>
  <c r="H595" i="3" s="1"/>
  <c r="I595" i="3"/>
  <c r="G595" i="3"/>
  <c r="F595" i="3"/>
  <c r="C595" i="3"/>
  <c r="H594" i="3"/>
  <c r="G594" i="3"/>
  <c r="I593" i="3"/>
  <c r="G593" i="3"/>
  <c r="D593" i="3"/>
  <c r="H593" i="3" s="1"/>
  <c r="I592" i="3"/>
  <c r="G592" i="3"/>
  <c r="D592" i="3"/>
  <c r="H592" i="3" s="1"/>
  <c r="I591" i="3"/>
  <c r="G591" i="3"/>
  <c r="F591" i="3"/>
  <c r="D591" i="3"/>
  <c r="H591" i="3" s="1"/>
  <c r="C591" i="3"/>
  <c r="I590" i="3"/>
  <c r="F590" i="3"/>
  <c r="D590" i="3"/>
  <c r="H590" i="3" s="1"/>
  <c r="C590" i="3"/>
  <c r="G590" i="3" s="1"/>
  <c r="I589" i="3"/>
  <c r="G589" i="3"/>
  <c r="F589" i="3"/>
  <c r="D589" i="3"/>
  <c r="H589" i="3" s="1"/>
  <c r="C589" i="3"/>
  <c r="I588" i="3"/>
  <c r="F588" i="3"/>
  <c r="D588" i="3"/>
  <c r="H588" i="3" s="1"/>
  <c r="C588" i="3"/>
  <c r="G588" i="3" s="1"/>
  <c r="I587" i="3"/>
  <c r="G587" i="3"/>
  <c r="D587" i="3"/>
  <c r="D586" i="3" s="1"/>
  <c r="I586" i="3"/>
  <c r="F586" i="3"/>
  <c r="H585" i="3"/>
  <c r="G585" i="3"/>
  <c r="H584" i="3"/>
  <c r="G584" i="3"/>
  <c r="I583" i="3"/>
  <c r="H583" i="3"/>
  <c r="G583" i="3"/>
  <c r="D583" i="3"/>
  <c r="I582" i="3"/>
  <c r="F582" i="3"/>
  <c r="D582" i="3"/>
  <c r="H582" i="3" s="1"/>
  <c r="C582" i="3"/>
  <c r="G582" i="3" s="1"/>
  <c r="H581" i="3"/>
  <c r="G581" i="3"/>
  <c r="H580" i="3"/>
  <c r="G580" i="3"/>
  <c r="I579" i="3"/>
  <c r="G579" i="3"/>
  <c r="D579" i="3"/>
  <c r="H579" i="3" s="1"/>
  <c r="C579" i="3"/>
  <c r="I578" i="3"/>
  <c r="F578" i="3"/>
  <c r="C578" i="3"/>
  <c r="G578" i="3" s="1"/>
  <c r="I576" i="3"/>
  <c r="H576" i="3"/>
  <c r="G576" i="3"/>
  <c r="I575" i="3"/>
  <c r="H575" i="3"/>
  <c r="G575" i="3"/>
  <c r="I574" i="3"/>
  <c r="H574" i="3"/>
  <c r="F574" i="3"/>
  <c r="D574" i="3"/>
  <c r="C574" i="3"/>
  <c r="G574" i="3" s="1"/>
  <c r="F573" i="3"/>
  <c r="D573" i="3"/>
  <c r="H573" i="3" s="1"/>
  <c r="C573" i="3"/>
  <c r="G573" i="3" s="1"/>
  <c r="I572" i="3"/>
  <c r="G572" i="3"/>
  <c r="F572" i="3"/>
  <c r="D572" i="3"/>
  <c r="H572" i="3" s="1"/>
  <c r="C572" i="3"/>
  <c r="I571" i="3"/>
  <c r="F571" i="3"/>
  <c r="D571" i="3"/>
  <c r="H571" i="3" s="1"/>
  <c r="C571" i="3"/>
  <c r="G571" i="3" s="1"/>
  <c r="I570" i="3"/>
  <c r="F570" i="3"/>
  <c r="D570" i="3"/>
  <c r="H570" i="3" s="1"/>
  <c r="I569" i="3"/>
  <c r="F569" i="3"/>
  <c r="I568" i="3"/>
  <c r="F568" i="3"/>
  <c r="D566" i="3"/>
  <c r="D564" i="3" s="1"/>
  <c r="H564" i="3" s="1"/>
  <c r="H565" i="3"/>
  <c r="G565" i="3"/>
  <c r="I564" i="3"/>
  <c r="C564" i="3"/>
  <c r="G564" i="3" s="1"/>
  <c r="I562" i="3"/>
  <c r="H562" i="3"/>
  <c r="G562" i="3"/>
  <c r="I561" i="3"/>
  <c r="H561" i="3"/>
  <c r="I560" i="3"/>
  <c r="F560" i="3"/>
  <c r="D560" i="3"/>
  <c r="H560" i="3" s="1"/>
  <c r="C560" i="3"/>
  <c r="G560" i="3" s="1"/>
  <c r="H558" i="3"/>
  <c r="G558" i="3"/>
  <c r="I557" i="3"/>
  <c r="H557" i="3"/>
  <c r="G557" i="3"/>
  <c r="I556" i="3"/>
  <c r="H556" i="3"/>
  <c r="G556" i="3"/>
  <c r="I555" i="3"/>
  <c r="H555" i="3"/>
  <c r="G555" i="3"/>
  <c r="I554" i="3"/>
  <c r="H554" i="3"/>
  <c r="G554" i="3"/>
  <c r="I553" i="3"/>
  <c r="F553" i="3"/>
  <c r="D553" i="3"/>
  <c r="H553" i="3" s="1"/>
  <c r="C553" i="3"/>
  <c r="G553" i="3" s="1"/>
  <c r="I552" i="3"/>
  <c r="H552" i="3"/>
  <c r="G552" i="3"/>
  <c r="I551" i="3"/>
  <c r="F551" i="3"/>
  <c r="D551" i="3"/>
  <c r="H551" i="3" s="1"/>
  <c r="C551" i="3"/>
  <c r="G551" i="3" s="1"/>
  <c r="I549" i="3"/>
  <c r="G549" i="3"/>
  <c r="D549" i="3"/>
  <c r="H549" i="3" s="1"/>
  <c r="I548" i="3"/>
  <c r="H548" i="3"/>
  <c r="G548" i="3"/>
  <c r="I547" i="3"/>
  <c r="G547" i="3"/>
  <c r="D547" i="3"/>
  <c r="H547" i="3" s="1"/>
  <c r="I546" i="3"/>
  <c r="H546" i="3"/>
  <c r="G546" i="3"/>
  <c r="I545" i="3"/>
  <c r="F545" i="3"/>
  <c r="D545" i="3"/>
  <c r="H545" i="3" s="1"/>
  <c r="C545" i="3"/>
  <c r="G545" i="3" s="1"/>
  <c r="I543" i="3"/>
  <c r="H543" i="3"/>
  <c r="G543" i="3"/>
  <c r="I542" i="3"/>
  <c r="D542" i="3"/>
  <c r="H542" i="3" s="1"/>
  <c r="C542" i="3"/>
  <c r="G542" i="3" s="1"/>
  <c r="I540" i="3"/>
  <c r="H540" i="3"/>
  <c r="G540" i="3"/>
  <c r="I539" i="3"/>
  <c r="D539" i="3"/>
  <c r="H539" i="3" s="1"/>
  <c r="C539" i="3"/>
  <c r="G539" i="3" s="1"/>
  <c r="H538" i="3"/>
  <c r="G538" i="3"/>
  <c r="H537" i="3"/>
  <c r="G537" i="3"/>
  <c r="D537" i="3"/>
  <c r="C537" i="3"/>
  <c r="H536" i="3"/>
  <c r="G536" i="3"/>
  <c r="H535" i="3"/>
  <c r="G535" i="3"/>
  <c r="H534" i="3"/>
  <c r="G534" i="3"/>
  <c r="H533" i="3"/>
  <c r="G533" i="3"/>
  <c r="I532" i="3"/>
  <c r="F532" i="3"/>
  <c r="D532" i="3"/>
  <c r="H532" i="3" s="1"/>
  <c r="C532" i="3"/>
  <c r="G532" i="3" s="1"/>
  <c r="G531" i="3"/>
  <c r="D531" i="3"/>
  <c r="H531" i="3" s="1"/>
  <c r="H530" i="3"/>
  <c r="G530" i="3"/>
  <c r="D530" i="3"/>
  <c r="I529" i="3"/>
  <c r="C529" i="3"/>
  <c r="G529" i="3" s="1"/>
  <c r="H528" i="3"/>
  <c r="G528" i="3"/>
  <c r="G527" i="3"/>
  <c r="D527" i="3"/>
  <c r="H527" i="3" s="1"/>
  <c r="C527" i="3"/>
  <c r="H526" i="3"/>
  <c r="G526" i="3"/>
  <c r="H525" i="3"/>
  <c r="G525" i="3"/>
  <c r="D525" i="3"/>
  <c r="H524" i="3"/>
  <c r="G524" i="3"/>
  <c r="G523" i="3"/>
  <c r="D523" i="3"/>
  <c r="H523" i="3" s="1"/>
  <c r="H522" i="3"/>
  <c r="G522" i="3"/>
  <c r="D522" i="3"/>
  <c r="I521" i="3"/>
  <c r="H521" i="3"/>
  <c r="F521" i="3"/>
  <c r="D521" i="3"/>
  <c r="C521" i="3"/>
  <c r="G521" i="3" s="1"/>
  <c r="I520" i="3"/>
  <c r="F520" i="3"/>
  <c r="H519" i="3"/>
  <c r="H518" i="3"/>
  <c r="F518" i="3"/>
  <c r="D518" i="3"/>
  <c r="C518" i="3"/>
  <c r="H517" i="3"/>
  <c r="F516" i="3"/>
  <c r="D516" i="3"/>
  <c r="H516" i="3" s="1"/>
  <c r="C516" i="3"/>
  <c r="G515" i="3"/>
  <c r="D515" i="3"/>
  <c r="H515" i="3" s="1"/>
  <c r="H514" i="3"/>
  <c r="G514" i="3"/>
  <c r="H513" i="3"/>
  <c r="G513" i="3"/>
  <c r="H512" i="3"/>
  <c r="G512" i="3"/>
  <c r="H511" i="3"/>
  <c r="G511" i="3"/>
  <c r="I510" i="3"/>
  <c r="G510" i="3"/>
  <c r="F510" i="3"/>
  <c r="D510" i="3"/>
  <c r="H510" i="3" s="1"/>
  <c r="C510" i="3"/>
  <c r="H509" i="3"/>
  <c r="G509" i="3"/>
  <c r="H508" i="3"/>
  <c r="G508" i="3"/>
  <c r="G507" i="3"/>
  <c r="D507" i="3"/>
  <c r="H507" i="3" s="1"/>
  <c r="G506" i="3"/>
  <c r="D506" i="3"/>
  <c r="H505" i="3"/>
  <c r="G505" i="3"/>
  <c r="D505" i="3"/>
  <c r="G504" i="3"/>
  <c r="D504" i="3"/>
  <c r="H503" i="3"/>
  <c r="G503" i="3"/>
  <c r="I502" i="3"/>
  <c r="G502" i="3"/>
  <c r="F502" i="3"/>
  <c r="C502" i="3"/>
  <c r="H501" i="3"/>
  <c r="G501" i="3"/>
  <c r="D501" i="3"/>
  <c r="H500" i="3"/>
  <c r="G500" i="3"/>
  <c r="D500" i="3"/>
  <c r="H499" i="3"/>
  <c r="H498" i="3"/>
  <c r="G498" i="3"/>
  <c r="H497" i="3"/>
  <c r="G497" i="3"/>
  <c r="H496" i="3"/>
  <c r="G496" i="3"/>
  <c r="H495" i="3"/>
  <c r="G495" i="3"/>
  <c r="H494" i="3"/>
  <c r="G494" i="3"/>
  <c r="G493" i="3"/>
  <c r="D493" i="3"/>
  <c r="H492" i="3"/>
  <c r="G492" i="3"/>
  <c r="H491" i="3"/>
  <c r="G491" i="3"/>
  <c r="H490" i="3"/>
  <c r="G490" i="3"/>
  <c r="D490" i="3"/>
  <c r="H489" i="3"/>
  <c r="G489" i="3"/>
  <c r="I488" i="3"/>
  <c r="F488" i="3"/>
  <c r="D488" i="3"/>
  <c r="G561" i="3" s="1"/>
  <c r="C488" i="3"/>
  <c r="G488" i="3" s="1"/>
  <c r="H487" i="3"/>
  <c r="G487" i="3"/>
  <c r="H486" i="3"/>
  <c r="G486" i="3"/>
  <c r="H485" i="3"/>
  <c r="G485" i="3"/>
  <c r="H484" i="3"/>
  <c r="G484" i="3"/>
  <c r="I483" i="3"/>
  <c r="G483" i="3"/>
  <c r="F483" i="3"/>
  <c r="D483" i="3"/>
  <c r="H483" i="3" s="1"/>
  <c r="C483" i="3"/>
  <c r="I482" i="3"/>
  <c r="F482" i="3"/>
  <c r="C482" i="3"/>
  <c r="G482" i="3" s="1"/>
  <c r="H481" i="3"/>
  <c r="G481" i="3"/>
  <c r="H480" i="3"/>
  <c r="D480" i="3"/>
  <c r="C480" i="3"/>
  <c r="G480" i="3" s="1"/>
  <c r="H479" i="3"/>
  <c r="G479" i="3"/>
  <c r="G478" i="3"/>
  <c r="D478" i="3"/>
  <c r="H478" i="3" s="1"/>
  <c r="D477" i="3"/>
  <c r="H477" i="3" s="1"/>
  <c r="C477" i="3"/>
  <c r="G477" i="3" s="1"/>
  <c r="H476" i="3"/>
  <c r="G476" i="3"/>
  <c r="H475" i="3"/>
  <c r="F475" i="3"/>
  <c r="D475" i="3"/>
  <c r="C475" i="3"/>
  <c r="G475" i="3" s="1"/>
  <c r="H474" i="3"/>
  <c r="G474" i="3"/>
  <c r="G473" i="3"/>
  <c r="D473" i="3"/>
  <c r="H473" i="3" s="1"/>
  <c r="C473" i="3"/>
  <c r="H472" i="3"/>
  <c r="G472" i="3"/>
  <c r="H471" i="3"/>
  <c r="D471" i="3"/>
  <c r="C471" i="3"/>
  <c r="C470" i="3" s="1"/>
  <c r="G470" i="3" s="1"/>
  <c r="F470" i="3"/>
  <c r="D470" i="3"/>
  <c r="H470" i="3" s="1"/>
  <c r="G469" i="3"/>
  <c r="D469" i="3"/>
  <c r="H469" i="3" s="1"/>
  <c r="H468" i="3"/>
  <c r="G468" i="3"/>
  <c r="D468" i="3"/>
  <c r="H467" i="3"/>
  <c r="F466" i="3"/>
  <c r="D466" i="3"/>
  <c r="H466" i="3" s="1"/>
  <c r="C466" i="3"/>
  <c r="G466" i="3" s="1"/>
  <c r="D465" i="3"/>
  <c r="H465" i="3" s="1"/>
  <c r="C465" i="3"/>
  <c r="G465" i="3" s="1"/>
  <c r="G464" i="3"/>
  <c r="D464" i="3"/>
  <c r="H464" i="3" s="1"/>
  <c r="H463" i="3"/>
  <c r="G463" i="3"/>
  <c r="D463" i="3"/>
  <c r="H462" i="3"/>
  <c r="G462" i="3"/>
  <c r="G461" i="3"/>
  <c r="D461" i="3"/>
  <c r="D460" i="3" s="1"/>
  <c r="I460" i="3"/>
  <c r="F460" i="3"/>
  <c r="C460" i="3"/>
  <c r="G460" i="3" s="1"/>
  <c r="H459" i="3"/>
  <c r="G459" i="3"/>
  <c r="H458" i="3"/>
  <c r="D458" i="3"/>
  <c r="C458" i="3"/>
  <c r="G458" i="3" s="1"/>
  <c r="H457" i="3"/>
  <c r="G457" i="3"/>
  <c r="H456" i="3"/>
  <c r="G456" i="3"/>
  <c r="F456" i="3"/>
  <c r="H455" i="3"/>
  <c r="G455" i="3"/>
  <c r="H454" i="3"/>
  <c r="F454" i="3"/>
  <c r="D454" i="3"/>
  <c r="C454" i="3"/>
  <c r="G454" i="3" s="1"/>
  <c r="I453" i="3"/>
  <c r="F453" i="3"/>
  <c r="I452" i="3"/>
  <c r="H452" i="3"/>
  <c r="G452" i="3"/>
  <c r="H451" i="3"/>
  <c r="D451" i="3"/>
  <c r="I450" i="3"/>
  <c r="H450" i="3"/>
  <c r="G450" i="3"/>
  <c r="D450" i="3"/>
  <c r="I449" i="3"/>
  <c r="H449" i="3"/>
  <c r="G449" i="3"/>
  <c r="D449" i="3"/>
  <c r="I448" i="3"/>
  <c r="H448" i="3"/>
  <c r="G448" i="3"/>
  <c r="I447" i="3"/>
  <c r="H447" i="3"/>
  <c r="F447" i="3"/>
  <c r="D447" i="3"/>
  <c r="C447" i="3"/>
  <c r="I446" i="3"/>
  <c r="G446" i="3"/>
  <c r="D446" i="3"/>
  <c r="H445" i="3"/>
  <c r="D445" i="3"/>
  <c r="G444" i="3"/>
  <c r="F444" i="3"/>
  <c r="C444" i="3"/>
  <c r="H443" i="3"/>
  <c r="D443" i="3"/>
  <c r="I442" i="3"/>
  <c r="F442" i="3"/>
  <c r="H441" i="3"/>
  <c r="G441" i="3"/>
  <c r="D441" i="3"/>
  <c r="G440" i="3"/>
  <c r="D440" i="3"/>
  <c r="H440" i="3" s="1"/>
  <c r="F439" i="3"/>
  <c r="D439" i="3"/>
  <c r="H439" i="3" s="1"/>
  <c r="C439" i="3"/>
  <c r="G439" i="3" s="1"/>
  <c r="H438" i="3"/>
  <c r="G438" i="3"/>
  <c r="F437" i="3"/>
  <c r="D437" i="3"/>
  <c r="H437" i="3" s="1"/>
  <c r="C437" i="3"/>
  <c r="G437" i="3" s="1"/>
  <c r="H436" i="3"/>
  <c r="G436" i="3"/>
  <c r="G435" i="3"/>
  <c r="D435" i="3"/>
  <c r="G434" i="3"/>
  <c r="D434" i="3"/>
  <c r="H434" i="3" s="1"/>
  <c r="H433" i="3"/>
  <c r="G433" i="3"/>
  <c r="D433" i="3"/>
  <c r="H432" i="3"/>
  <c r="G432" i="3"/>
  <c r="D432" i="3"/>
  <c r="H431" i="3"/>
  <c r="G431" i="3"/>
  <c r="H430" i="3"/>
  <c r="G430" i="3"/>
  <c r="H429" i="3"/>
  <c r="G429" i="3"/>
  <c r="F428" i="3"/>
  <c r="D428" i="3"/>
  <c r="H428" i="3" s="1"/>
  <c r="C428" i="3"/>
  <c r="G428" i="3" s="1"/>
  <c r="H427" i="3"/>
  <c r="G427" i="3"/>
  <c r="H426" i="3"/>
  <c r="G426" i="3"/>
  <c r="D426" i="3"/>
  <c r="H425" i="3"/>
  <c r="G425" i="3"/>
  <c r="H424" i="3"/>
  <c r="G424" i="3"/>
  <c r="D424" i="3"/>
  <c r="H423" i="3"/>
  <c r="G423" i="3"/>
  <c r="D423" i="3"/>
  <c r="H422" i="3"/>
  <c r="G422" i="3"/>
  <c r="H421" i="3"/>
  <c r="G421" i="3"/>
  <c r="G420" i="3"/>
  <c r="D420" i="3"/>
  <c r="H420" i="3" s="1"/>
  <c r="F419" i="3"/>
  <c r="D419" i="3"/>
  <c r="H419" i="3" s="1"/>
  <c r="C419" i="3"/>
  <c r="G419" i="3" s="1"/>
  <c r="F418" i="3"/>
  <c r="I417" i="3"/>
  <c r="H417" i="3"/>
  <c r="G417" i="3"/>
  <c r="I416" i="3"/>
  <c r="H416" i="3"/>
  <c r="G416" i="3"/>
  <c r="I415" i="3"/>
  <c r="G415" i="3"/>
  <c r="F415" i="3"/>
  <c r="D415" i="3"/>
  <c r="H415" i="3" s="1"/>
  <c r="C415" i="3"/>
  <c r="H414" i="3"/>
  <c r="G414" i="3"/>
  <c r="H413" i="3"/>
  <c r="G413" i="3"/>
  <c r="H412" i="3"/>
  <c r="G412" i="3"/>
  <c r="D412" i="3"/>
  <c r="G411" i="3"/>
  <c r="D411" i="3"/>
  <c r="H410" i="3"/>
  <c r="G410" i="3"/>
  <c r="D410" i="3"/>
  <c r="H409" i="3"/>
  <c r="G409" i="3"/>
  <c r="D409" i="3"/>
  <c r="H408" i="3"/>
  <c r="G408" i="3"/>
  <c r="H407" i="3"/>
  <c r="G407" i="3"/>
  <c r="D407" i="3"/>
  <c r="H406" i="3"/>
  <c r="G406" i="3"/>
  <c r="D406" i="3"/>
  <c r="I405" i="3"/>
  <c r="H405" i="3"/>
  <c r="G405" i="3"/>
  <c r="H404" i="3"/>
  <c r="G404" i="3"/>
  <c r="H403" i="3"/>
  <c r="G403" i="3"/>
  <c r="D403" i="3"/>
  <c r="G402" i="3"/>
  <c r="D402" i="3"/>
  <c r="H402" i="3" s="1"/>
  <c r="G401" i="3"/>
  <c r="D401" i="3"/>
  <c r="H401" i="3" s="1"/>
  <c r="H400" i="3"/>
  <c r="G400" i="3"/>
  <c r="G399" i="3"/>
  <c r="D399" i="3"/>
  <c r="H399" i="3" s="1"/>
  <c r="I398" i="3"/>
  <c r="G398" i="3"/>
  <c r="D398" i="3"/>
  <c r="H398" i="3" s="1"/>
  <c r="I397" i="3"/>
  <c r="G397" i="3"/>
  <c r="D397" i="3"/>
  <c r="H397" i="3" s="1"/>
  <c r="G396" i="3"/>
  <c r="D396" i="3"/>
  <c r="H396" i="3" s="1"/>
  <c r="H395" i="3"/>
  <c r="G395" i="3"/>
  <c r="I394" i="3"/>
  <c r="H394" i="3"/>
  <c r="G394" i="3"/>
  <c r="D394" i="3"/>
  <c r="I393" i="3"/>
  <c r="H393" i="3"/>
  <c r="G393" i="3"/>
  <c r="H392" i="3"/>
  <c r="G392" i="3"/>
  <c r="I391" i="3"/>
  <c r="H391" i="3"/>
  <c r="G391" i="3"/>
  <c r="G390" i="3"/>
  <c r="D390" i="3"/>
  <c r="H390" i="3" s="1"/>
  <c r="I389" i="3"/>
  <c r="H389" i="3"/>
  <c r="G389" i="3"/>
  <c r="I388" i="3"/>
  <c r="G388" i="3"/>
  <c r="D388" i="3"/>
  <c r="H388" i="3" s="1"/>
  <c r="H387" i="3"/>
  <c r="G387" i="3"/>
  <c r="I386" i="3"/>
  <c r="H386" i="3"/>
  <c r="G386" i="3"/>
  <c r="I385" i="3"/>
  <c r="F385" i="3"/>
  <c r="C385" i="3"/>
  <c r="G385" i="3" s="1"/>
  <c r="H384" i="3"/>
  <c r="G384" i="3"/>
  <c r="H383" i="3"/>
  <c r="G383" i="3"/>
  <c r="H382" i="3"/>
  <c r="G382" i="3"/>
  <c r="H381" i="3"/>
  <c r="G381" i="3"/>
  <c r="H380" i="3"/>
  <c r="G380" i="3"/>
  <c r="H379" i="3"/>
  <c r="G379" i="3"/>
  <c r="I378" i="3"/>
  <c r="G378" i="3"/>
  <c r="D378" i="3"/>
  <c r="H378" i="3" s="1"/>
  <c r="H377" i="3"/>
  <c r="G377" i="3"/>
  <c r="D377" i="3"/>
  <c r="G376" i="3"/>
  <c r="D376" i="3"/>
  <c r="H375" i="3"/>
  <c r="G375" i="3"/>
  <c r="H374" i="3"/>
  <c r="G374" i="3"/>
  <c r="H373" i="3"/>
  <c r="G373" i="3"/>
  <c r="H372" i="3"/>
  <c r="G372" i="3"/>
  <c r="D372" i="3"/>
  <c r="G371" i="3"/>
  <c r="D371" i="3"/>
  <c r="H371" i="3" s="1"/>
  <c r="H370" i="3"/>
  <c r="G370" i="3"/>
  <c r="H369" i="3"/>
  <c r="G369" i="3"/>
  <c r="H368" i="3"/>
  <c r="G368" i="3"/>
  <c r="I367" i="3"/>
  <c r="H367" i="3"/>
  <c r="G367" i="3"/>
  <c r="D367" i="3"/>
  <c r="I366" i="3"/>
  <c r="F366" i="3"/>
  <c r="D366" i="3"/>
  <c r="H366" i="3" s="1"/>
  <c r="C366" i="3"/>
  <c r="G366" i="3" s="1"/>
  <c r="I365" i="3"/>
  <c r="F365" i="3"/>
  <c r="H364" i="3"/>
  <c r="G364" i="3"/>
  <c r="D364" i="3"/>
  <c r="H363" i="3"/>
  <c r="G363" i="3"/>
  <c r="H362" i="3"/>
  <c r="G362" i="3"/>
  <c r="H361" i="3"/>
  <c r="G361" i="3"/>
  <c r="H360" i="3"/>
  <c r="G360" i="3"/>
  <c r="G359" i="3"/>
  <c r="D359" i="3"/>
  <c r="H359" i="3" s="1"/>
  <c r="I358" i="3"/>
  <c r="H358" i="3"/>
  <c r="G358" i="3"/>
  <c r="I357" i="3"/>
  <c r="F357" i="3"/>
  <c r="D357" i="3"/>
  <c r="H357" i="3" s="1"/>
  <c r="C357" i="3"/>
  <c r="G357" i="3" s="1"/>
  <c r="H356" i="3"/>
  <c r="G356" i="3"/>
  <c r="H355" i="3"/>
  <c r="G355" i="3"/>
  <c r="D354" i="3"/>
  <c r="D352" i="3" s="1"/>
  <c r="H353" i="3"/>
  <c r="D353" i="3"/>
  <c r="G352" i="3"/>
  <c r="F352" i="3"/>
  <c r="C352" i="3"/>
  <c r="I351" i="3"/>
  <c r="F351" i="3"/>
  <c r="C351" i="3"/>
  <c r="G351" i="3" s="1"/>
  <c r="I350" i="3"/>
  <c r="F350" i="3"/>
  <c r="H348" i="3"/>
  <c r="F348" i="3"/>
  <c r="H347" i="3"/>
  <c r="D347" i="3"/>
  <c r="I346" i="3"/>
  <c r="H346" i="3"/>
  <c r="G346" i="3"/>
  <c r="I345" i="3"/>
  <c r="H345" i="3"/>
  <c r="G345" i="3"/>
  <c r="I344" i="3"/>
  <c r="G344" i="3"/>
  <c r="D344" i="3"/>
  <c r="H344" i="3" s="1"/>
  <c r="C344" i="3"/>
  <c r="H343" i="3"/>
  <c r="G343" i="3"/>
  <c r="H342" i="3"/>
  <c r="D342" i="3"/>
  <c r="C342" i="3"/>
  <c r="G342" i="3" s="1"/>
  <c r="H341" i="3"/>
  <c r="G341" i="3"/>
  <c r="I340" i="3"/>
  <c r="H340" i="3"/>
  <c r="G340" i="3"/>
  <c r="I339" i="3"/>
  <c r="G339" i="3"/>
  <c r="D339" i="3"/>
  <c r="D338" i="3" s="1"/>
  <c r="H338" i="3" s="1"/>
  <c r="C339" i="3"/>
  <c r="I338" i="3"/>
  <c r="G338" i="3"/>
  <c r="C338" i="3"/>
  <c r="I337" i="3"/>
  <c r="F337" i="3"/>
  <c r="D337" i="3"/>
  <c r="H337" i="3" s="1"/>
  <c r="C337" i="3"/>
  <c r="G337" i="3" s="1"/>
  <c r="H336" i="3"/>
  <c r="G336" i="3"/>
  <c r="H335" i="3"/>
  <c r="G335" i="3"/>
  <c r="H334" i="3"/>
  <c r="G334" i="3"/>
  <c r="I333" i="3"/>
  <c r="H333" i="3"/>
  <c r="G333" i="3"/>
  <c r="H332" i="3"/>
  <c r="G332" i="3"/>
  <c r="H331" i="3"/>
  <c r="H330" i="3"/>
  <c r="I329" i="3"/>
  <c r="H329" i="3"/>
  <c r="G329" i="3"/>
  <c r="H328" i="3"/>
  <c r="D328" i="3"/>
  <c r="G327" i="3"/>
  <c r="D327" i="3"/>
  <c r="D326" i="3" s="1"/>
  <c r="H326" i="3" s="1"/>
  <c r="I326" i="3"/>
  <c r="G326" i="3"/>
  <c r="F326" i="3"/>
  <c r="C326" i="3"/>
  <c r="I325" i="3"/>
  <c r="H325" i="3"/>
  <c r="G325" i="3"/>
  <c r="D325" i="3"/>
  <c r="I324" i="3"/>
  <c r="H324" i="3"/>
  <c r="G324" i="3"/>
  <c r="G323" i="3"/>
  <c r="D323" i="3"/>
  <c r="H322" i="3"/>
  <c r="G322" i="3"/>
  <c r="H321" i="3"/>
  <c r="G321" i="3"/>
  <c r="I320" i="3"/>
  <c r="G320" i="3"/>
  <c r="F320" i="3"/>
  <c r="C320" i="3"/>
  <c r="H319" i="3"/>
  <c r="G319" i="3"/>
  <c r="D319" i="3"/>
  <c r="H318" i="3"/>
  <c r="G318" i="3"/>
  <c r="I317" i="3"/>
  <c r="H317" i="3"/>
  <c r="G317" i="3"/>
  <c r="I316" i="3"/>
  <c r="H316" i="3"/>
  <c r="G316" i="3"/>
  <c r="I315" i="3"/>
  <c r="H315" i="3"/>
  <c r="G315" i="3"/>
  <c r="H314" i="3"/>
  <c r="G314" i="3"/>
  <c r="I313" i="3"/>
  <c r="F313" i="3"/>
  <c r="D313" i="3"/>
  <c r="H313" i="3" s="1"/>
  <c r="C313" i="3"/>
  <c r="G313" i="3" s="1"/>
  <c r="H312" i="3"/>
  <c r="D312" i="3"/>
  <c r="H311" i="3"/>
  <c r="D311" i="3"/>
  <c r="C311" i="3"/>
  <c r="G310" i="3"/>
  <c r="D310" i="3"/>
  <c r="H310" i="3" s="1"/>
  <c r="I309" i="3"/>
  <c r="H309" i="3"/>
  <c r="G309" i="3"/>
  <c r="I308" i="3"/>
  <c r="G308" i="3"/>
  <c r="D308" i="3"/>
  <c r="H308" i="3" s="1"/>
  <c r="H307" i="3"/>
  <c r="G307" i="3"/>
  <c r="I306" i="3"/>
  <c r="H306" i="3"/>
  <c r="G306" i="3"/>
  <c r="I305" i="3"/>
  <c r="G305" i="3"/>
  <c r="F305" i="3"/>
  <c r="C305" i="3"/>
  <c r="H304" i="3"/>
  <c r="H303" i="3"/>
  <c r="D303" i="3"/>
  <c r="C303" i="3"/>
  <c r="H302" i="3"/>
  <c r="G302" i="3"/>
  <c r="D302" i="3"/>
  <c r="G301" i="3"/>
  <c r="D301" i="3"/>
  <c r="H301" i="3" s="1"/>
  <c r="I300" i="3"/>
  <c r="G300" i="3"/>
  <c r="D300" i="3"/>
  <c r="H300" i="3" s="1"/>
  <c r="I299" i="3"/>
  <c r="G299" i="3"/>
  <c r="D299" i="3"/>
  <c r="D298" i="3" s="1"/>
  <c r="I298" i="3"/>
  <c r="G298" i="3"/>
  <c r="F298" i="3"/>
  <c r="C298" i="3"/>
  <c r="I297" i="3"/>
  <c r="F297" i="3"/>
  <c r="C297" i="3"/>
  <c r="G297" i="3" s="1"/>
  <c r="I296" i="3"/>
  <c r="G296" i="3"/>
  <c r="D296" i="3"/>
  <c r="H296" i="3" s="1"/>
  <c r="G295" i="3"/>
  <c r="D295" i="3"/>
  <c r="I294" i="3"/>
  <c r="H294" i="3"/>
  <c r="G294" i="3"/>
  <c r="I293" i="3"/>
  <c r="H293" i="3"/>
  <c r="G293" i="3"/>
  <c r="H292" i="3"/>
  <c r="G292" i="3"/>
  <c r="H291" i="3"/>
  <c r="G291" i="3"/>
  <c r="D291" i="3"/>
  <c r="I290" i="3"/>
  <c r="H290" i="3"/>
  <c r="G290" i="3"/>
  <c r="D290" i="3"/>
  <c r="I289" i="3"/>
  <c r="H289" i="3"/>
  <c r="G289" i="3"/>
  <c r="I288" i="3"/>
  <c r="G288" i="3"/>
  <c r="D288" i="3"/>
  <c r="H288" i="3" s="1"/>
  <c r="C288" i="3"/>
  <c r="I287" i="3"/>
  <c r="F287" i="3"/>
  <c r="C287" i="3"/>
  <c r="G287" i="3" s="1"/>
  <c r="H286" i="3"/>
  <c r="G286" i="3"/>
  <c r="H285" i="3"/>
  <c r="G285" i="3"/>
  <c r="F284" i="3"/>
  <c r="D284" i="3"/>
  <c r="H284" i="3" s="1"/>
  <c r="C284" i="3"/>
  <c r="G284" i="3" s="1"/>
  <c r="I283" i="3"/>
  <c r="G283" i="3"/>
  <c r="D283" i="3"/>
  <c r="H283" i="3" s="1"/>
  <c r="G282" i="3"/>
  <c r="D282" i="3"/>
  <c r="D274" i="3" s="1"/>
  <c r="H274" i="3" s="1"/>
  <c r="H281" i="3"/>
  <c r="G281" i="3"/>
  <c r="H280" i="3"/>
  <c r="G280" i="3"/>
  <c r="H279" i="3"/>
  <c r="D279" i="3"/>
  <c r="H278" i="3"/>
  <c r="G278" i="3"/>
  <c r="H277" i="3"/>
  <c r="G277" i="3"/>
  <c r="H276" i="3"/>
  <c r="G276" i="3"/>
  <c r="H275" i="3"/>
  <c r="D275" i="3"/>
  <c r="C275" i="3"/>
  <c r="G275" i="3" s="1"/>
  <c r="I274" i="3"/>
  <c r="F274" i="3"/>
  <c r="I273" i="3"/>
  <c r="H273" i="3"/>
  <c r="G273" i="3"/>
  <c r="D273" i="3"/>
  <c r="G272" i="3"/>
  <c r="D272" i="3"/>
  <c r="H272" i="3" s="1"/>
  <c r="C272" i="3"/>
  <c r="H271" i="3"/>
  <c r="G271" i="3"/>
  <c r="I270" i="3"/>
  <c r="H270" i="3"/>
  <c r="G270" i="3"/>
  <c r="H269" i="3"/>
  <c r="G269" i="3"/>
  <c r="I268" i="3"/>
  <c r="G268" i="3"/>
  <c r="D268" i="3"/>
  <c r="H268" i="3" s="1"/>
  <c r="I267" i="3"/>
  <c r="H267" i="3"/>
  <c r="G267" i="3"/>
  <c r="H266" i="3"/>
  <c r="D266" i="3"/>
  <c r="C266" i="3"/>
  <c r="G266" i="3" s="1"/>
  <c r="H265" i="3"/>
  <c r="G265" i="3"/>
  <c r="D264" i="3"/>
  <c r="H264" i="3" s="1"/>
  <c r="G263" i="3"/>
  <c r="D263" i="3"/>
  <c r="H263" i="3" s="1"/>
  <c r="G262" i="3"/>
  <c r="D262" i="3"/>
  <c r="D261" i="3" s="1"/>
  <c r="I261" i="3"/>
  <c r="F261" i="3"/>
  <c r="I260" i="3"/>
  <c r="F260" i="3"/>
  <c r="H259" i="3"/>
  <c r="G259" i="3"/>
  <c r="H258" i="3"/>
  <c r="G258" i="3"/>
  <c r="F257" i="3"/>
  <c r="D257" i="3"/>
  <c r="H257" i="3" s="1"/>
  <c r="C257" i="3"/>
  <c r="G257" i="3" s="1"/>
  <c r="H256" i="3"/>
  <c r="G256" i="3"/>
  <c r="I255" i="3"/>
  <c r="H255" i="3"/>
  <c r="G255" i="3"/>
  <c r="I254" i="3"/>
  <c r="H254" i="3"/>
  <c r="G254" i="3"/>
  <c r="I253" i="3"/>
  <c r="H253" i="3"/>
  <c r="G253" i="3"/>
  <c r="I252" i="3"/>
  <c r="F252" i="3"/>
  <c r="D252" i="3"/>
  <c r="H252" i="3" s="1"/>
  <c r="C252" i="3"/>
  <c r="G252" i="3" s="1"/>
  <c r="G251" i="3"/>
  <c r="D251" i="3"/>
  <c r="H250" i="3"/>
  <c r="G250" i="3"/>
  <c r="I249" i="3"/>
  <c r="G249" i="3"/>
  <c r="D249" i="3"/>
  <c r="H248" i="3"/>
  <c r="G248" i="3"/>
  <c r="I247" i="3"/>
  <c r="F247" i="3"/>
  <c r="D247" i="3"/>
  <c r="H247" i="3" s="1"/>
  <c r="C247" i="3"/>
  <c r="G247" i="3" s="1"/>
  <c r="I246" i="3"/>
  <c r="F246" i="3"/>
  <c r="I245" i="3"/>
  <c r="F245" i="3"/>
  <c r="I243" i="3"/>
  <c r="F243" i="3"/>
  <c r="I239" i="3"/>
  <c r="I238" i="3"/>
  <c r="D238" i="3"/>
  <c r="C238" i="3"/>
  <c r="H237" i="3"/>
  <c r="G237" i="3"/>
  <c r="D237" i="3"/>
  <c r="C237" i="3"/>
  <c r="I236" i="3"/>
  <c r="H236" i="3"/>
  <c r="D236" i="3"/>
  <c r="C236" i="3"/>
  <c r="G236" i="3" s="1"/>
  <c r="I235" i="3"/>
  <c r="D235" i="3"/>
  <c r="H235" i="3" s="1"/>
  <c r="C235" i="3"/>
  <c r="G235" i="3" s="1"/>
  <c r="I234" i="3"/>
  <c r="F234" i="3"/>
  <c r="I232" i="3"/>
  <c r="F232" i="3"/>
  <c r="H230" i="3"/>
  <c r="G230" i="3"/>
  <c r="H229" i="3"/>
  <c r="G229" i="3"/>
  <c r="H227" i="3"/>
  <c r="I226" i="3"/>
  <c r="H226" i="3"/>
  <c r="G226" i="3"/>
  <c r="D226" i="3"/>
  <c r="C226" i="3"/>
  <c r="H225" i="3"/>
  <c r="H224" i="3"/>
  <c r="D223" i="3"/>
  <c r="H223" i="3" s="1"/>
  <c r="F222" i="3"/>
  <c r="C222" i="3"/>
  <c r="H221" i="3"/>
  <c r="G221" i="3"/>
  <c r="D220" i="3"/>
  <c r="H220" i="3" s="1"/>
  <c r="C220" i="3"/>
  <c r="G220" i="3" s="1"/>
  <c r="H217" i="3"/>
  <c r="G217" i="3"/>
  <c r="I216" i="3"/>
  <c r="H216" i="3"/>
  <c r="D216" i="3"/>
  <c r="C216" i="3"/>
  <c r="G216" i="3" s="1"/>
  <c r="I215" i="3"/>
  <c r="H215" i="3"/>
  <c r="K213" i="3"/>
  <c r="I213" i="3"/>
  <c r="D213" i="3"/>
  <c r="I212" i="3"/>
  <c r="D212" i="3"/>
  <c r="I211" i="3"/>
  <c r="D211" i="3"/>
  <c r="D210" i="3"/>
  <c r="H210" i="3" s="1"/>
  <c r="I209" i="3"/>
  <c r="H209" i="3"/>
  <c r="D208" i="3"/>
  <c r="H208" i="3" s="1"/>
  <c r="I207" i="3"/>
  <c r="H207" i="3"/>
  <c r="I206" i="3"/>
  <c r="F206" i="3"/>
  <c r="D206" i="3"/>
  <c r="H206" i="3" s="1"/>
  <c r="C206" i="3"/>
  <c r="I204" i="3"/>
  <c r="H204" i="3"/>
  <c r="G204" i="3"/>
  <c r="H203" i="3"/>
  <c r="G203" i="3"/>
  <c r="I202" i="3"/>
  <c r="H202" i="3"/>
  <c r="G202" i="3"/>
  <c r="I201" i="3"/>
  <c r="H201" i="3"/>
  <c r="G201" i="3"/>
  <c r="I200" i="3"/>
  <c r="H200" i="3"/>
  <c r="G200" i="3"/>
  <c r="H199" i="3"/>
  <c r="G199" i="3"/>
  <c r="I198" i="3"/>
  <c r="H198" i="3"/>
  <c r="G198" i="3"/>
  <c r="I197" i="3"/>
  <c r="G197" i="3"/>
  <c r="F197" i="3"/>
  <c r="D197" i="3"/>
  <c r="H197" i="3" s="1"/>
  <c r="C197" i="3"/>
  <c r="H196" i="3"/>
  <c r="G196" i="3"/>
  <c r="H195" i="3"/>
  <c r="H194" i="3"/>
  <c r="H193" i="3"/>
  <c r="D193" i="3"/>
  <c r="I192" i="3"/>
  <c r="H191" i="3"/>
  <c r="I190" i="3"/>
  <c r="F190" i="3"/>
  <c r="D190" i="3"/>
  <c r="H190" i="3" s="1"/>
  <c r="C190" i="3"/>
  <c r="G190" i="3" s="1"/>
  <c r="I189" i="3"/>
  <c r="G189" i="3"/>
  <c r="D189" i="3"/>
  <c r="H189" i="3" s="1"/>
  <c r="C189" i="3"/>
  <c r="H188" i="3"/>
  <c r="I187" i="3"/>
  <c r="H187" i="3"/>
  <c r="F186" i="3"/>
  <c r="D186" i="3"/>
  <c r="H186" i="3" s="1"/>
  <c r="C186" i="3"/>
  <c r="C185" i="3" s="1"/>
  <c r="I185" i="3"/>
  <c r="F185" i="3"/>
  <c r="H183" i="3"/>
  <c r="G183" i="3"/>
  <c r="H182" i="3"/>
  <c r="G182" i="3"/>
  <c r="G181" i="3"/>
  <c r="D181" i="3"/>
  <c r="G180" i="3"/>
  <c r="D180" i="3"/>
  <c r="G179" i="3"/>
  <c r="D179" i="3"/>
  <c r="D177" i="3" s="1"/>
  <c r="H177" i="3" s="1"/>
  <c r="H178" i="3"/>
  <c r="G178" i="3"/>
  <c r="F177" i="3"/>
  <c r="C177" i="3"/>
  <c r="G177" i="3" s="1"/>
  <c r="H176" i="3"/>
  <c r="G176" i="3"/>
  <c r="G175" i="3"/>
  <c r="D175" i="3"/>
  <c r="D165" i="3" s="1"/>
  <c r="C175" i="3"/>
  <c r="H174" i="3"/>
  <c r="G174" i="3"/>
  <c r="H173" i="3"/>
  <c r="G173" i="3"/>
  <c r="H172" i="3"/>
  <c r="G172" i="3"/>
  <c r="H171" i="3"/>
  <c r="G171" i="3"/>
  <c r="H170" i="3"/>
  <c r="G170" i="3"/>
  <c r="H169" i="3"/>
  <c r="G169" i="3"/>
  <c r="G168" i="3"/>
  <c r="F168" i="3"/>
  <c r="D168" i="3"/>
  <c r="H168" i="3" s="1"/>
  <c r="C168" i="3"/>
  <c r="I167" i="3"/>
  <c r="H167" i="3"/>
  <c r="G167" i="3"/>
  <c r="I166" i="3"/>
  <c r="H166" i="3"/>
  <c r="G166" i="3"/>
  <c r="I165" i="3"/>
  <c r="F165" i="3"/>
  <c r="H163" i="3"/>
  <c r="H162" i="3"/>
  <c r="G162" i="3"/>
  <c r="D162" i="3"/>
  <c r="I161" i="3"/>
  <c r="H160" i="3"/>
  <c r="G160" i="3"/>
  <c r="H159" i="3"/>
  <c r="G159" i="3"/>
  <c r="H158" i="3"/>
  <c r="G158" i="3"/>
  <c r="H157" i="3"/>
  <c r="G157" i="3"/>
  <c r="H156" i="3"/>
  <c r="G156" i="3"/>
  <c r="I155" i="3"/>
  <c r="H155" i="3"/>
  <c r="G155" i="3"/>
  <c r="I154" i="3"/>
  <c r="H154" i="3"/>
  <c r="G154" i="3"/>
  <c r="G152" i="3"/>
  <c r="D152" i="3"/>
  <c r="H151" i="3"/>
  <c r="G151" i="3"/>
  <c r="I150" i="3"/>
  <c r="H150" i="3"/>
  <c r="G150" i="3"/>
  <c r="I149" i="3"/>
  <c r="H149" i="3"/>
  <c r="H148" i="3"/>
  <c r="G148" i="3"/>
  <c r="H146" i="3"/>
  <c r="G146" i="3"/>
  <c r="I145" i="3"/>
  <c r="G145" i="3"/>
  <c r="F145" i="3"/>
  <c r="D145" i="3"/>
  <c r="H145" i="3" s="1"/>
  <c r="C145" i="3"/>
  <c r="I144" i="3"/>
  <c r="I143" i="3"/>
  <c r="H143" i="3"/>
  <c r="G143" i="3"/>
  <c r="I141" i="3"/>
  <c r="H141" i="3"/>
  <c r="G141" i="3"/>
  <c r="I140" i="3"/>
  <c r="H140" i="3"/>
  <c r="G140" i="3"/>
  <c r="I139" i="3"/>
  <c r="H139" i="3"/>
  <c r="I138" i="3"/>
  <c r="H138" i="3"/>
  <c r="G137" i="3"/>
  <c r="D137" i="3"/>
  <c r="I136" i="3"/>
  <c r="H136" i="3"/>
  <c r="G136" i="3"/>
  <c r="H135" i="3"/>
  <c r="I134" i="3"/>
  <c r="H134" i="3"/>
  <c r="G134" i="3"/>
  <c r="I133" i="3"/>
  <c r="H133" i="3"/>
  <c r="G133" i="3"/>
  <c r="D133" i="3"/>
  <c r="I132" i="3"/>
  <c r="H132" i="3"/>
  <c r="G132" i="3"/>
  <c r="I130" i="3"/>
  <c r="H130" i="3"/>
  <c r="G130" i="3"/>
  <c r="I129" i="3"/>
  <c r="H129" i="3"/>
  <c r="G129" i="3"/>
  <c r="I128" i="3"/>
  <c r="F128" i="3"/>
  <c r="D128" i="3"/>
  <c r="H128" i="3" s="1"/>
  <c r="C128" i="3"/>
  <c r="G128" i="3" s="1"/>
  <c r="I127" i="3"/>
  <c r="G127" i="3"/>
  <c r="D127" i="3"/>
  <c r="H127" i="3" s="1"/>
  <c r="I126" i="3"/>
  <c r="H126" i="3"/>
  <c r="G126" i="3"/>
  <c r="H124" i="3"/>
  <c r="D124" i="3"/>
  <c r="D123" i="3"/>
  <c r="H123" i="3" s="1"/>
  <c r="H122" i="3"/>
  <c r="D122" i="3"/>
  <c r="H121" i="3"/>
  <c r="I120" i="3"/>
  <c r="H120" i="3"/>
  <c r="D120" i="3"/>
  <c r="I119" i="3"/>
  <c r="H119" i="3"/>
  <c r="D119" i="3"/>
  <c r="I118" i="3"/>
  <c r="I117" i="3"/>
  <c r="H117" i="3"/>
  <c r="G117" i="3"/>
  <c r="D117" i="3"/>
  <c r="I116" i="3"/>
  <c r="H116" i="3"/>
  <c r="I115" i="3"/>
  <c r="H115" i="3"/>
  <c r="I114" i="3"/>
  <c r="H114" i="3"/>
  <c r="I113" i="3"/>
  <c r="D113" i="3"/>
  <c r="H113" i="3" s="1"/>
  <c r="H112" i="3"/>
  <c r="I111" i="3"/>
  <c r="G111" i="3"/>
  <c r="F111" i="3"/>
  <c r="D111" i="3"/>
  <c r="H111" i="3" s="1"/>
  <c r="C111" i="3"/>
  <c r="I109" i="3"/>
  <c r="H109" i="3"/>
  <c r="G109" i="3"/>
  <c r="I108" i="3"/>
  <c r="H108" i="3"/>
  <c r="G108" i="3"/>
  <c r="I107" i="3"/>
  <c r="H107" i="3"/>
  <c r="G107" i="3"/>
  <c r="I106" i="3"/>
  <c r="H106" i="3"/>
  <c r="H105" i="3"/>
  <c r="G105" i="3"/>
  <c r="H104" i="3"/>
  <c r="G104" i="3"/>
  <c r="H102" i="3"/>
  <c r="G102" i="3"/>
  <c r="I101" i="3"/>
  <c r="H101" i="3"/>
  <c r="G101" i="3"/>
  <c r="I100" i="3"/>
  <c r="H100" i="3"/>
  <c r="G100" i="3"/>
  <c r="I98" i="3"/>
  <c r="H98" i="3"/>
  <c r="G98" i="3"/>
  <c r="I97" i="3"/>
  <c r="H97" i="3"/>
  <c r="G97" i="3"/>
  <c r="I96" i="3"/>
  <c r="F96" i="3"/>
  <c r="D96" i="3"/>
  <c r="H96" i="3" s="1"/>
  <c r="C96" i="3"/>
  <c r="G96" i="3" s="1"/>
  <c r="I95" i="3"/>
  <c r="H95" i="3"/>
  <c r="G95" i="3"/>
  <c r="I94" i="3"/>
  <c r="H94" i="3"/>
  <c r="G94" i="3"/>
  <c r="I93" i="3"/>
  <c r="H93" i="3"/>
  <c r="G93" i="3"/>
  <c r="I91" i="3"/>
  <c r="H91" i="3"/>
  <c r="G91" i="3"/>
  <c r="D91" i="3"/>
  <c r="I90" i="3"/>
  <c r="H90" i="3"/>
  <c r="G90" i="3"/>
  <c r="I89" i="3"/>
  <c r="H89" i="3"/>
  <c r="G89" i="3"/>
  <c r="I88" i="3"/>
  <c r="H88" i="3"/>
  <c r="G88" i="3"/>
  <c r="I87" i="3"/>
  <c r="H87" i="3"/>
  <c r="G87" i="3"/>
  <c r="H86" i="3"/>
  <c r="G86" i="3"/>
  <c r="I85" i="3"/>
  <c r="H85" i="3"/>
  <c r="G85" i="3"/>
  <c r="I84" i="3"/>
  <c r="H84" i="3"/>
  <c r="G84" i="3"/>
  <c r="I83" i="3"/>
  <c r="H83" i="3"/>
  <c r="G83" i="3"/>
  <c r="I82" i="3"/>
  <c r="G82" i="3"/>
  <c r="F82" i="3"/>
  <c r="D82" i="3"/>
  <c r="H82" i="3" s="1"/>
  <c r="C82" i="3"/>
  <c r="I81" i="3"/>
  <c r="H81" i="3"/>
  <c r="G81" i="3"/>
  <c r="I80" i="3"/>
  <c r="H80" i="3"/>
  <c r="G80" i="3"/>
  <c r="D80" i="3"/>
  <c r="C80" i="3"/>
  <c r="I79" i="3"/>
  <c r="H79" i="3"/>
  <c r="G79" i="3"/>
  <c r="I78" i="3"/>
  <c r="H78" i="3"/>
  <c r="G78" i="3"/>
  <c r="H77" i="3"/>
  <c r="G77" i="3"/>
  <c r="I76" i="3"/>
  <c r="H76" i="3"/>
  <c r="G76" i="3"/>
  <c r="I74" i="3"/>
  <c r="H74" i="3"/>
  <c r="G74" i="3"/>
  <c r="I73" i="3"/>
  <c r="H73" i="3"/>
  <c r="G73" i="3"/>
  <c r="I72" i="3"/>
  <c r="H72" i="3"/>
  <c r="G72" i="3"/>
  <c r="I71" i="3"/>
  <c r="I70" i="3"/>
  <c r="H70" i="3"/>
  <c r="G70" i="3"/>
  <c r="I69" i="3"/>
  <c r="H69" i="3"/>
  <c r="G69" i="3"/>
  <c r="I68" i="3"/>
  <c r="I67" i="3"/>
  <c r="F67" i="3"/>
  <c r="D67" i="3"/>
  <c r="H67" i="3" s="1"/>
  <c r="C67" i="3"/>
  <c r="G67" i="3" s="1"/>
  <c r="I66" i="3"/>
  <c r="F66" i="3"/>
  <c r="I64" i="3"/>
  <c r="H64" i="3"/>
  <c r="G64" i="3"/>
  <c r="I61" i="3"/>
  <c r="H61" i="3"/>
  <c r="G61" i="3"/>
  <c r="D61" i="3"/>
  <c r="I60" i="3"/>
  <c r="H60" i="3"/>
  <c r="G60" i="3"/>
  <c r="I59" i="3"/>
  <c r="H59" i="3"/>
  <c r="G59" i="3"/>
  <c r="I58" i="3"/>
  <c r="H58" i="3"/>
  <c r="G58" i="3"/>
  <c r="I57" i="3"/>
  <c r="H57" i="3"/>
  <c r="G57" i="3"/>
  <c r="I56" i="3"/>
  <c r="H56" i="3"/>
  <c r="G56" i="3"/>
  <c r="I55" i="3"/>
  <c r="H55" i="3"/>
  <c r="G55" i="3"/>
  <c r="I54" i="3"/>
  <c r="H54" i="3"/>
  <c r="G54" i="3"/>
  <c r="I53" i="3"/>
  <c r="F53" i="3"/>
  <c r="D53" i="3"/>
  <c r="H53" i="3" s="1"/>
  <c r="C53" i="3"/>
  <c r="G53" i="3" s="1"/>
  <c r="I52" i="3"/>
  <c r="I51" i="3"/>
  <c r="H51" i="3"/>
  <c r="G51" i="3"/>
  <c r="I50" i="3"/>
  <c r="H50" i="3"/>
  <c r="G50" i="3"/>
  <c r="I49" i="3"/>
  <c r="H49" i="3"/>
  <c r="G49" i="3"/>
  <c r="I48" i="3"/>
  <c r="H48" i="3"/>
  <c r="G48" i="3"/>
  <c r="I47" i="3"/>
  <c r="H47" i="3"/>
  <c r="G47" i="3"/>
  <c r="I46" i="3"/>
  <c r="H46" i="3"/>
  <c r="G46" i="3"/>
  <c r="I45" i="3"/>
  <c r="H45" i="3"/>
  <c r="G45" i="3"/>
  <c r="I44" i="3"/>
  <c r="F44" i="3"/>
  <c r="D44" i="3"/>
  <c r="H44" i="3" s="1"/>
  <c r="C44" i="3"/>
  <c r="G44" i="3" s="1"/>
  <c r="I43" i="3"/>
  <c r="H43" i="3"/>
  <c r="G43" i="3"/>
  <c r="I42" i="3"/>
  <c r="H42" i="3"/>
  <c r="D42" i="3"/>
  <c r="I41" i="3"/>
  <c r="H41" i="3"/>
  <c r="G41" i="3"/>
  <c r="I40" i="3"/>
  <c r="H40" i="3"/>
  <c r="G40" i="3"/>
  <c r="I39" i="3"/>
  <c r="H39" i="3"/>
  <c r="G39" i="3"/>
  <c r="I38" i="3"/>
  <c r="G38" i="3"/>
  <c r="D38" i="3"/>
  <c r="H38" i="3" s="1"/>
  <c r="I37" i="3"/>
  <c r="D37" i="3"/>
  <c r="H37" i="3" s="1"/>
  <c r="C37" i="3"/>
  <c r="G37" i="3" s="1"/>
  <c r="I36" i="3"/>
  <c r="H36" i="3"/>
  <c r="G36" i="3"/>
  <c r="I35" i="3"/>
  <c r="H35" i="3"/>
  <c r="G35" i="3"/>
  <c r="I34" i="3"/>
  <c r="H34" i="3"/>
  <c r="G34" i="3"/>
  <c r="I33" i="3"/>
  <c r="H33" i="3"/>
  <c r="G33" i="3"/>
  <c r="I32" i="3"/>
  <c r="F32" i="3"/>
  <c r="D32" i="3"/>
  <c r="C32" i="3"/>
  <c r="G32" i="3" s="1"/>
  <c r="G3" i="3" s="1"/>
  <c r="I30" i="3"/>
  <c r="E30" i="3"/>
  <c r="I29" i="3"/>
  <c r="E29" i="3"/>
  <c r="I28" i="3"/>
  <c r="G28" i="3"/>
  <c r="E28" i="3"/>
  <c r="C28" i="3"/>
  <c r="I27" i="3"/>
  <c r="E27" i="3"/>
  <c r="I26" i="3"/>
  <c r="G26" i="3"/>
  <c r="E26" i="3"/>
  <c r="C26" i="3"/>
  <c r="I25" i="3"/>
  <c r="E25" i="3"/>
  <c r="I24" i="3"/>
  <c r="E24" i="3"/>
  <c r="I23" i="3"/>
  <c r="E23" i="3"/>
  <c r="I22" i="3"/>
  <c r="H22" i="3"/>
  <c r="G22" i="3"/>
  <c r="E22" i="3"/>
  <c r="D22" i="3"/>
  <c r="C22" i="3"/>
  <c r="I21" i="3"/>
  <c r="H21" i="3"/>
  <c r="E21" i="3"/>
  <c r="D21" i="3"/>
  <c r="I20" i="3"/>
  <c r="E20" i="3"/>
  <c r="I19" i="3"/>
  <c r="H19" i="3"/>
  <c r="G19" i="3"/>
  <c r="E19" i="3"/>
  <c r="D19" i="3"/>
  <c r="C19" i="3"/>
  <c r="I18" i="3"/>
  <c r="H18" i="3"/>
  <c r="G18" i="3"/>
  <c r="E18" i="3"/>
  <c r="D18" i="3"/>
  <c r="C18" i="3"/>
  <c r="I17" i="3"/>
  <c r="H17" i="3"/>
  <c r="G17" i="3"/>
  <c r="E17" i="3"/>
  <c r="D17" i="3"/>
  <c r="C17" i="3"/>
  <c r="I16" i="3"/>
  <c r="H16" i="3"/>
  <c r="G16" i="3"/>
  <c r="E16" i="3"/>
  <c r="D16" i="3"/>
  <c r="C16" i="3"/>
  <c r="I15" i="3"/>
  <c r="H15" i="3"/>
  <c r="G15" i="3"/>
  <c r="E15" i="3"/>
  <c r="D15" i="3"/>
  <c r="C15" i="3"/>
  <c r="I14" i="3"/>
  <c r="E14" i="3"/>
  <c r="I13" i="3"/>
  <c r="E13" i="3"/>
  <c r="I12" i="3"/>
  <c r="H12" i="3"/>
  <c r="G12" i="3"/>
  <c r="E11" i="3"/>
  <c r="I9" i="3"/>
  <c r="I885" i="3" s="1"/>
  <c r="E9" i="3"/>
  <c r="E885" i="3" s="1"/>
  <c r="I8" i="3"/>
  <c r="E8" i="3"/>
  <c r="I7" i="3"/>
  <c r="E7" i="3"/>
  <c r="I6" i="3"/>
  <c r="E6" i="3"/>
  <c r="I5" i="3"/>
  <c r="E5" i="3"/>
  <c r="I4" i="3"/>
  <c r="E4" i="3"/>
  <c r="I3" i="3"/>
  <c r="E3" i="3"/>
  <c r="D3" i="3"/>
  <c r="C3" i="3"/>
  <c r="G921" i="1"/>
  <c r="C920" i="1"/>
  <c r="G919" i="1"/>
  <c r="F919" i="1"/>
  <c r="E919" i="1"/>
  <c r="D919" i="1"/>
  <c r="C919" i="1"/>
  <c r="G913" i="1"/>
  <c r="F913" i="1"/>
  <c r="E913" i="1"/>
  <c r="D913" i="1"/>
  <c r="C913" i="1"/>
  <c r="G910" i="1"/>
  <c r="F910" i="1"/>
  <c r="E910" i="1"/>
  <c r="D910" i="1"/>
  <c r="C910" i="1"/>
  <c r="C907" i="1"/>
  <c r="G906" i="1"/>
  <c r="F906" i="1"/>
  <c r="E906" i="1"/>
  <c r="D906" i="1"/>
  <c r="C906" i="1"/>
  <c r="F902" i="1"/>
  <c r="E902" i="1"/>
  <c r="D902" i="1"/>
  <c r="G901" i="1"/>
  <c r="F901" i="1"/>
  <c r="E901" i="1"/>
  <c r="D901" i="1"/>
  <c r="C901" i="1"/>
  <c r="G899" i="1"/>
  <c r="F899" i="1"/>
  <c r="E899" i="1"/>
  <c r="D899" i="1"/>
  <c r="C899" i="1"/>
  <c r="G891" i="1"/>
  <c r="F891" i="1"/>
  <c r="E891" i="1"/>
  <c r="D891" i="1"/>
  <c r="C891" i="1"/>
  <c r="F886" i="1"/>
  <c r="E886" i="1"/>
  <c r="D886" i="1"/>
  <c r="C886" i="1"/>
  <c r="G885" i="1"/>
  <c r="F885" i="1"/>
  <c r="E885" i="1"/>
  <c r="D885" i="1"/>
  <c r="C885" i="1"/>
  <c r="C880" i="1"/>
  <c r="G879" i="1"/>
  <c r="F879" i="1"/>
  <c r="E879" i="1"/>
  <c r="D879" i="1"/>
  <c r="C879" i="1"/>
  <c r="D878" i="1"/>
  <c r="G876" i="1"/>
  <c r="F876" i="1"/>
  <c r="E876" i="1"/>
  <c r="E875" i="1" s="1"/>
  <c r="E702" i="1" s="1"/>
  <c r="D876" i="1"/>
  <c r="C876" i="1"/>
  <c r="G875" i="1"/>
  <c r="F875" i="1"/>
  <c r="D875" i="1"/>
  <c r="C875" i="1"/>
  <c r="E872" i="1"/>
  <c r="D872" i="1"/>
  <c r="C872" i="1"/>
  <c r="D862" i="1"/>
  <c r="D861" i="1"/>
  <c r="D860" i="1"/>
  <c r="D858" i="1"/>
  <c r="G854" i="1"/>
  <c r="G849" i="1" s="1"/>
  <c r="F854" i="1"/>
  <c r="E854" i="1"/>
  <c r="D854" i="1"/>
  <c r="C854" i="1"/>
  <c r="C849" i="1" s="1"/>
  <c r="F849" i="1"/>
  <c r="E849" i="1"/>
  <c r="D849" i="1"/>
  <c r="D848" i="1"/>
  <c r="C848" i="1"/>
  <c r="D847" i="1"/>
  <c r="D845" i="1"/>
  <c r="D844" i="1"/>
  <c r="G843" i="1"/>
  <c r="F843" i="1"/>
  <c r="E843" i="1"/>
  <c r="D843" i="1"/>
  <c r="C843" i="1"/>
  <c r="D842" i="1"/>
  <c r="D836" i="1"/>
  <c r="D835" i="1"/>
  <c r="C835" i="1"/>
  <c r="D833" i="1"/>
  <c r="G831" i="1"/>
  <c r="F831" i="1"/>
  <c r="E831" i="1"/>
  <c r="D831" i="1"/>
  <c r="C831" i="1"/>
  <c r="G829" i="1"/>
  <c r="F829" i="1"/>
  <c r="E829" i="1"/>
  <c r="D829" i="1"/>
  <c r="C829" i="1"/>
  <c r="D821" i="1"/>
  <c r="C821" i="1"/>
  <c r="G820" i="1"/>
  <c r="G818" i="1" s="1"/>
  <c r="G816" i="1" s="1"/>
  <c r="G782" i="1" s="1"/>
  <c r="F820" i="1"/>
  <c r="E820" i="1"/>
  <c r="D820" i="1"/>
  <c r="C820" i="1"/>
  <c r="C818" i="1" s="1"/>
  <c r="C816" i="1" s="1"/>
  <c r="C782" i="1" s="1"/>
  <c r="F818" i="1"/>
  <c r="E818" i="1"/>
  <c r="D818" i="1"/>
  <c r="D816" i="1" s="1"/>
  <c r="F816" i="1"/>
  <c r="E816" i="1"/>
  <c r="F811" i="1"/>
  <c r="D811" i="1"/>
  <c r="D808" i="1"/>
  <c r="C808" i="1"/>
  <c r="D805" i="1"/>
  <c r="G803" i="1"/>
  <c r="F803" i="1"/>
  <c r="E803" i="1"/>
  <c r="D803" i="1"/>
  <c r="C803" i="1"/>
  <c r="G798" i="1"/>
  <c r="F798" i="1"/>
  <c r="E798" i="1"/>
  <c r="D798" i="1"/>
  <c r="C798" i="1"/>
  <c r="D790" i="1"/>
  <c r="D787" i="1"/>
  <c r="D786" i="1"/>
  <c r="D784" i="1"/>
  <c r="D783" i="1" s="1"/>
  <c r="C784" i="1"/>
  <c r="G783" i="1"/>
  <c r="F783" i="1"/>
  <c r="E783" i="1"/>
  <c r="C783" i="1"/>
  <c r="F782" i="1"/>
  <c r="E782" i="1"/>
  <c r="F779" i="1"/>
  <c r="D778" i="1"/>
  <c r="D776" i="1"/>
  <c r="D773" i="1"/>
  <c r="D772" i="1"/>
  <c r="D771" i="1"/>
  <c r="D770" i="1"/>
  <c r="G768" i="1"/>
  <c r="F768" i="1"/>
  <c r="E768" i="1"/>
  <c r="D768" i="1"/>
  <c r="C768" i="1"/>
  <c r="G766" i="1"/>
  <c r="F766" i="1"/>
  <c r="E766" i="1"/>
  <c r="D766" i="1"/>
  <c r="C766" i="1"/>
  <c r="F764" i="1"/>
  <c r="E764" i="1"/>
  <c r="D764" i="1"/>
  <c r="C764" i="1"/>
  <c r="D760" i="1"/>
  <c r="F759" i="1"/>
  <c r="G758" i="1"/>
  <c r="G756" i="1" s="1"/>
  <c r="G746" i="1" s="1"/>
  <c r="G734" i="1" s="1"/>
  <c r="E758" i="1"/>
  <c r="D758" i="1"/>
  <c r="C758" i="1"/>
  <c r="D757" i="1"/>
  <c r="F756" i="1"/>
  <c r="E756" i="1"/>
  <c r="D756" i="1"/>
  <c r="C756" i="1"/>
  <c r="G753" i="1"/>
  <c r="F753" i="1"/>
  <c r="D753" i="1"/>
  <c r="D751" i="1" s="1"/>
  <c r="D746" i="1" s="1"/>
  <c r="C753" i="1"/>
  <c r="G751" i="1"/>
  <c r="F751" i="1"/>
  <c r="E751" i="1"/>
  <c r="C751" i="1"/>
  <c r="G747" i="1"/>
  <c r="F747" i="1"/>
  <c r="F746" i="1" s="1"/>
  <c r="E747" i="1"/>
  <c r="D747" i="1"/>
  <c r="C747" i="1"/>
  <c r="E746" i="1"/>
  <c r="C746" i="1"/>
  <c r="C738" i="1"/>
  <c r="D737" i="1"/>
  <c r="D736" i="1"/>
  <c r="C736" i="1"/>
  <c r="C735" i="1" s="1"/>
  <c r="C734" i="1" s="1"/>
  <c r="G735" i="1"/>
  <c r="F735" i="1"/>
  <c r="F734" i="1" s="1"/>
  <c r="E735" i="1"/>
  <c r="D735" i="1"/>
  <c r="D734" i="1" s="1"/>
  <c r="E734" i="1"/>
  <c r="G730" i="1"/>
  <c r="F730" i="1"/>
  <c r="D730" i="1"/>
  <c r="C730" i="1"/>
  <c r="D727" i="1"/>
  <c r="C727" i="1"/>
  <c r="G726" i="1"/>
  <c r="F726" i="1"/>
  <c r="D726" i="1"/>
  <c r="C726" i="1"/>
  <c r="D724" i="1"/>
  <c r="G723" i="1"/>
  <c r="F723" i="1"/>
  <c r="D723" i="1"/>
  <c r="D722" i="1" s="1"/>
  <c r="D704" i="1" s="1"/>
  <c r="C723" i="1"/>
  <c r="G722" i="1"/>
  <c r="F722" i="1"/>
  <c r="E722" i="1"/>
  <c r="C722" i="1"/>
  <c r="D719" i="1"/>
  <c r="C719" i="1"/>
  <c r="C718" i="1" s="1"/>
  <c r="C705" i="1" s="1"/>
  <c r="C704" i="1" s="1"/>
  <c r="C702" i="1" s="1"/>
  <c r="C46" i="1" s="1"/>
  <c r="G718" i="1"/>
  <c r="F718" i="1"/>
  <c r="E718" i="1"/>
  <c r="D718" i="1"/>
  <c r="D712" i="1"/>
  <c r="G711" i="1"/>
  <c r="F711" i="1"/>
  <c r="E711" i="1"/>
  <c r="D711" i="1"/>
  <c r="C711" i="1"/>
  <c r="D708" i="1"/>
  <c r="E707" i="1"/>
  <c r="D707" i="1"/>
  <c r="G706" i="1"/>
  <c r="F706" i="1"/>
  <c r="F705" i="1" s="1"/>
  <c r="F704" i="1" s="1"/>
  <c r="F702" i="1" s="1"/>
  <c r="F46" i="1" s="1"/>
  <c r="E706" i="1"/>
  <c r="D706" i="1"/>
  <c r="C706" i="1"/>
  <c r="G705" i="1"/>
  <c r="G704" i="1" s="1"/>
  <c r="G702" i="1" s="1"/>
  <c r="E705" i="1"/>
  <c r="D705" i="1"/>
  <c r="E704" i="1"/>
  <c r="G698" i="1"/>
  <c r="D697" i="1"/>
  <c r="D694" i="1" s="1"/>
  <c r="D679" i="1" s="1"/>
  <c r="D45" i="1" s="1"/>
  <c r="D696" i="1"/>
  <c r="G694" i="1"/>
  <c r="F694" i="1"/>
  <c r="E694" i="1"/>
  <c r="C694" i="1"/>
  <c r="D690" i="1"/>
  <c r="G689" i="1"/>
  <c r="G687" i="1" s="1"/>
  <c r="G679" i="1" s="1"/>
  <c r="G45" i="1" s="1"/>
  <c r="D688" i="1"/>
  <c r="F687" i="1"/>
  <c r="E687" i="1"/>
  <c r="D687" i="1"/>
  <c r="C687" i="1"/>
  <c r="F679" i="1"/>
  <c r="E679" i="1"/>
  <c r="C679" i="1"/>
  <c r="E677" i="1"/>
  <c r="E676" i="1"/>
  <c r="E675" i="1"/>
  <c r="G674" i="1"/>
  <c r="G673" i="1" s="1"/>
  <c r="G41" i="1" s="1"/>
  <c r="E674" i="1"/>
  <c r="C674" i="1"/>
  <c r="E673" i="1"/>
  <c r="C673" i="1"/>
  <c r="G663" i="1"/>
  <c r="F663" i="1"/>
  <c r="E663" i="1"/>
  <c r="D663" i="1"/>
  <c r="C663" i="1"/>
  <c r="G662" i="1"/>
  <c r="F662" i="1"/>
  <c r="E662" i="1"/>
  <c r="D662" i="1"/>
  <c r="C662" i="1"/>
  <c r="G655" i="1"/>
  <c r="F655" i="1"/>
  <c r="E655" i="1"/>
  <c r="D655" i="1"/>
  <c r="C655" i="1"/>
  <c r="G653" i="1"/>
  <c r="F653" i="1"/>
  <c r="E653" i="1"/>
  <c r="D653" i="1"/>
  <c r="C653" i="1"/>
  <c r="G651" i="1"/>
  <c r="F651" i="1"/>
  <c r="E651" i="1"/>
  <c r="D651" i="1"/>
  <c r="C651" i="1"/>
  <c r="G649" i="1"/>
  <c r="F649" i="1"/>
  <c r="E649" i="1"/>
  <c r="D649" i="1"/>
  <c r="C649" i="1"/>
  <c r="G646" i="1"/>
  <c r="F646" i="1"/>
  <c r="E646" i="1"/>
  <c r="D646" i="1"/>
  <c r="C646" i="1"/>
  <c r="G644" i="1"/>
  <c r="F644" i="1"/>
  <c r="E644" i="1"/>
  <c r="D644" i="1"/>
  <c r="C644" i="1"/>
  <c r="G642" i="1"/>
  <c r="F642" i="1"/>
  <c r="E642" i="1"/>
  <c r="D642" i="1"/>
  <c r="C642" i="1"/>
  <c r="G638" i="1"/>
  <c r="G634" i="1" s="1"/>
  <c r="F638" i="1"/>
  <c r="E638" i="1"/>
  <c r="E634" i="1" s="1"/>
  <c r="D638" i="1"/>
  <c r="C638" i="1"/>
  <c r="F634" i="1"/>
  <c r="F633" i="1" s="1"/>
  <c r="F38" i="1" s="1"/>
  <c r="D634" i="1"/>
  <c r="D633" i="1" s="1"/>
  <c r="D38" i="1" s="1"/>
  <c r="C634" i="1"/>
  <c r="C633" i="1"/>
  <c r="G630" i="1"/>
  <c r="C630" i="1"/>
  <c r="C629" i="1"/>
  <c r="C628" i="1"/>
  <c r="C627" i="1" s="1"/>
  <c r="G627" i="1"/>
  <c r="F627" i="1"/>
  <c r="E627" i="1"/>
  <c r="E625" i="1" s="1"/>
  <c r="E37" i="1" s="1"/>
  <c r="D627" i="1"/>
  <c r="C626" i="1"/>
  <c r="G625" i="1"/>
  <c r="F625" i="1"/>
  <c r="D625" i="1"/>
  <c r="C623" i="1"/>
  <c r="C622" i="1"/>
  <c r="G619" i="1"/>
  <c r="C619" i="1"/>
  <c r="C618" i="1"/>
  <c r="C617" i="1"/>
  <c r="C616" i="1"/>
  <c r="G615" i="1"/>
  <c r="G614" i="1" s="1"/>
  <c r="G608" i="1" s="1"/>
  <c r="G36" i="1" s="1"/>
  <c r="C615" i="1"/>
  <c r="C614" i="1" s="1"/>
  <c r="F614" i="1"/>
  <c r="E614" i="1"/>
  <c r="D614" i="1"/>
  <c r="D608" i="1" s="1"/>
  <c r="D36" i="1" s="1"/>
  <c r="C613" i="1"/>
  <c r="C611" i="1"/>
  <c r="C610" i="1"/>
  <c r="C608" i="1" s="1"/>
  <c r="C36" i="1" s="1"/>
  <c r="C609" i="1"/>
  <c r="F608" i="1"/>
  <c r="E608" i="1"/>
  <c r="G606" i="1"/>
  <c r="G605" i="1" s="1"/>
  <c r="C606" i="1"/>
  <c r="C605" i="1" s="1"/>
  <c r="G604" i="1"/>
  <c r="C604" i="1"/>
  <c r="G603" i="1"/>
  <c r="C603" i="1"/>
  <c r="G591" i="1"/>
  <c r="F591" i="1"/>
  <c r="F590" i="1" s="1"/>
  <c r="E591" i="1"/>
  <c r="D591" i="1"/>
  <c r="C591" i="1"/>
  <c r="G590" i="1"/>
  <c r="E590" i="1"/>
  <c r="D590" i="1"/>
  <c r="C590" i="1"/>
  <c r="G588" i="1"/>
  <c r="F588" i="1"/>
  <c r="E588" i="1"/>
  <c r="D588" i="1"/>
  <c r="C588" i="1"/>
  <c r="G587" i="1"/>
  <c r="C584" i="1"/>
  <c r="G583" i="1"/>
  <c r="G581" i="1" s="1"/>
  <c r="F583" i="1"/>
  <c r="E583" i="1"/>
  <c r="D583" i="1"/>
  <c r="C583" i="1"/>
  <c r="C581" i="1" s="1"/>
  <c r="C565" i="1" s="1"/>
  <c r="F581" i="1"/>
  <c r="E581" i="1"/>
  <c r="D581" i="1"/>
  <c r="G578" i="1"/>
  <c r="F578" i="1"/>
  <c r="E578" i="1"/>
  <c r="D578" i="1"/>
  <c r="C578" i="1"/>
  <c r="C577" i="1"/>
  <c r="G573" i="1"/>
  <c r="F573" i="1"/>
  <c r="E573" i="1"/>
  <c r="D573" i="1"/>
  <c r="C573" i="1"/>
  <c r="G571" i="1"/>
  <c r="G570" i="1"/>
  <c r="F570" i="1"/>
  <c r="E570" i="1"/>
  <c r="E565" i="1" s="1"/>
  <c r="D570" i="1"/>
  <c r="C570" i="1"/>
  <c r="C569" i="1"/>
  <c r="G568" i="1"/>
  <c r="G566" i="1" s="1"/>
  <c r="G565" i="1" s="1"/>
  <c r="C568" i="1"/>
  <c r="C567" i="1"/>
  <c r="F566" i="1"/>
  <c r="F565" i="1" s="1"/>
  <c r="E566" i="1"/>
  <c r="D566" i="1"/>
  <c r="C566" i="1"/>
  <c r="D565" i="1"/>
  <c r="G563" i="1"/>
  <c r="C563" i="1"/>
  <c r="C562" i="1"/>
  <c r="C561" i="1"/>
  <c r="C560" i="1" s="1"/>
  <c r="C559" i="1" s="1"/>
  <c r="G560" i="1"/>
  <c r="F560" i="1"/>
  <c r="E560" i="1"/>
  <c r="D560" i="1"/>
  <c r="D559" i="1" s="1"/>
  <c r="G559" i="1"/>
  <c r="F559" i="1"/>
  <c r="E559" i="1"/>
  <c r="G557" i="1"/>
  <c r="G554" i="1" s="1"/>
  <c r="C557" i="1"/>
  <c r="C554" i="1" s="1"/>
  <c r="C555" i="1"/>
  <c r="F554" i="1"/>
  <c r="E554" i="1"/>
  <c r="D554" i="1"/>
  <c r="G552" i="1"/>
  <c r="G537" i="1" s="1"/>
  <c r="G551" i="1"/>
  <c r="G549" i="1" s="1"/>
  <c r="C550" i="1"/>
  <c r="F549" i="1"/>
  <c r="E549" i="1"/>
  <c r="D549" i="1"/>
  <c r="C549" i="1"/>
  <c r="C545" i="1"/>
  <c r="G544" i="1"/>
  <c r="F544" i="1"/>
  <c r="E544" i="1"/>
  <c r="D544" i="1"/>
  <c r="C544" i="1"/>
  <c r="G542" i="1"/>
  <c r="C542" i="1"/>
  <c r="C537" i="1" s="1"/>
  <c r="C540" i="1"/>
  <c r="G539" i="1"/>
  <c r="F539" i="1"/>
  <c r="E539" i="1"/>
  <c r="D539" i="1"/>
  <c r="C539" i="1"/>
  <c r="F537" i="1"/>
  <c r="E537" i="1"/>
  <c r="D537" i="1"/>
  <c r="F536" i="1"/>
  <c r="E536" i="1"/>
  <c r="D536" i="1"/>
  <c r="C536" i="1"/>
  <c r="G535" i="1"/>
  <c r="F535" i="1"/>
  <c r="F533" i="1" s="1"/>
  <c r="E535" i="1"/>
  <c r="D535" i="1"/>
  <c r="C535" i="1"/>
  <c r="C534" i="1"/>
  <c r="E533" i="1"/>
  <c r="D533" i="1"/>
  <c r="C531" i="1"/>
  <c r="G530" i="1"/>
  <c r="G528" i="1" s="1"/>
  <c r="C530" i="1"/>
  <c r="C528" i="1" s="1"/>
  <c r="C529" i="1"/>
  <c r="F528" i="1"/>
  <c r="E528" i="1"/>
  <c r="D528" i="1"/>
  <c r="C524" i="1"/>
  <c r="G523" i="1"/>
  <c r="F523" i="1"/>
  <c r="E523" i="1"/>
  <c r="D523" i="1"/>
  <c r="C523" i="1"/>
  <c r="G521" i="1"/>
  <c r="G520" i="1"/>
  <c r="G518" i="1" s="1"/>
  <c r="C520" i="1"/>
  <c r="C519" i="1"/>
  <c r="C518" i="1" s="1"/>
  <c r="F518" i="1"/>
  <c r="E518" i="1"/>
  <c r="D518" i="1"/>
  <c r="G516" i="1"/>
  <c r="F516" i="1"/>
  <c r="E516" i="1"/>
  <c r="D516" i="1"/>
  <c r="C516" i="1"/>
  <c r="G515" i="1"/>
  <c r="F515" i="1"/>
  <c r="F513" i="1" s="1"/>
  <c r="F512" i="1" s="1"/>
  <c r="E515" i="1"/>
  <c r="D515" i="1"/>
  <c r="C515" i="1"/>
  <c r="G514" i="1"/>
  <c r="G513" i="1" s="1"/>
  <c r="F514" i="1"/>
  <c r="E514" i="1"/>
  <c r="D514" i="1"/>
  <c r="C514" i="1"/>
  <c r="C513" i="1" s="1"/>
  <c r="E513" i="1"/>
  <c r="D513" i="1"/>
  <c r="E512" i="1"/>
  <c r="G507" i="1"/>
  <c r="F507" i="1"/>
  <c r="E507" i="1"/>
  <c r="D507" i="1"/>
  <c r="C507" i="1"/>
  <c r="G503" i="1"/>
  <c r="E503" i="1"/>
  <c r="C503" i="1"/>
  <c r="G496" i="1"/>
  <c r="G492" i="1" s="1"/>
  <c r="G28" i="1" s="1"/>
  <c r="E496" i="1"/>
  <c r="D496" i="1"/>
  <c r="C496" i="1"/>
  <c r="C493" i="1"/>
  <c r="C492" i="1" s="1"/>
  <c r="C28" i="1" s="1"/>
  <c r="F492" i="1"/>
  <c r="E492" i="1"/>
  <c r="D492" i="1"/>
  <c r="C490" i="1"/>
  <c r="C487" i="1"/>
  <c r="C486" i="1" s="1"/>
  <c r="C27" i="1" s="1"/>
  <c r="G486" i="1"/>
  <c r="E486" i="1"/>
  <c r="G481" i="1"/>
  <c r="F481" i="1"/>
  <c r="E481" i="1"/>
  <c r="D481" i="1"/>
  <c r="C481" i="1"/>
  <c r="G476" i="1"/>
  <c r="F476" i="1"/>
  <c r="E476" i="1"/>
  <c r="D476" i="1"/>
  <c r="C476" i="1"/>
  <c r="G472" i="1"/>
  <c r="F472" i="1"/>
  <c r="E472" i="1"/>
  <c r="D472" i="1"/>
  <c r="C472" i="1"/>
  <c r="G469" i="1"/>
  <c r="F469" i="1"/>
  <c r="E469" i="1"/>
  <c r="D469" i="1"/>
  <c r="C469" i="1"/>
  <c r="G455" i="1"/>
  <c r="F455" i="1"/>
  <c r="E455" i="1"/>
  <c r="D455" i="1"/>
  <c r="C455" i="1"/>
  <c r="G449" i="1"/>
  <c r="G445" i="1" s="1"/>
  <c r="F449" i="1"/>
  <c r="E449" i="1"/>
  <c r="D449" i="1"/>
  <c r="C449" i="1"/>
  <c r="C445" i="1" s="1"/>
  <c r="C24" i="1" s="1"/>
  <c r="G446" i="1"/>
  <c r="F446" i="1"/>
  <c r="E446" i="1"/>
  <c r="D446" i="1"/>
  <c r="D445" i="1" s="1"/>
  <c r="D24" i="1" s="1"/>
  <c r="C446" i="1"/>
  <c r="F445" i="1"/>
  <c r="E445" i="1"/>
  <c r="G435" i="1"/>
  <c r="F435" i="1"/>
  <c r="F432" i="1" s="1"/>
  <c r="F23" i="1" s="1"/>
  <c r="E435" i="1"/>
  <c r="D435" i="1"/>
  <c r="C435" i="1"/>
  <c r="G433" i="1"/>
  <c r="G432" i="1" s="1"/>
  <c r="G23" i="1" s="1"/>
  <c r="F433" i="1"/>
  <c r="E433" i="1"/>
  <c r="D433" i="1"/>
  <c r="C433" i="1"/>
  <c r="C432" i="1" s="1"/>
  <c r="C23" i="1" s="1"/>
  <c r="E432" i="1"/>
  <c r="D432" i="1"/>
  <c r="G427" i="1"/>
  <c r="F427" i="1"/>
  <c r="E427" i="1"/>
  <c r="D427" i="1"/>
  <c r="C427" i="1"/>
  <c r="G392" i="1"/>
  <c r="F392" i="1"/>
  <c r="E392" i="1"/>
  <c r="D392" i="1"/>
  <c r="C392" i="1"/>
  <c r="C370" i="1" s="1"/>
  <c r="C22" i="1" s="1"/>
  <c r="G383" i="1"/>
  <c r="G371" i="1" s="1"/>
  <c r="G370" i="1" s="1"/>
  <c r="F371" i="1"/>
  <c r="E371" i="1"/>
  <c r="E370" i="1" s="1"/>
  <c r="E22" i="1" s="1"/>
  <c r="D371" i="1"/>
  <c r="D370" i="1" s="1"/>
  <c r="D22" i="1" s="1"/>
  <c r="C371" i="1"/>
  <c r="F370" i="1"/>
  <c r="G368" i="1"/>
  <c r="F368" i="1"/>
  <c r="E368" i="1"/>
  <c r="D368" i="1"/>
  <c r="C368" i="1"/>
  <c r="G361" i="1"/>
  <c r="G355" i="1" s="1"/>
  <c r="F361" i="1"/>
  <c r="E361" i="1"/>
  <c r="D361" i="1"/>
  <c r="C361" i="1"/>
  <c r="C355" i="1" s="1"/>
  <c r="G356" i="1"/>
  <c r="F356" i="1"/>
  <c r="E356" i="1"/>
  <c r="E355" i="1" s="1"/>
  <c r="D356" i="1"/>
  <c r="D355" i="1" s="1"/>
  <c r="C356" i="1"/>
  <c r="F355" i="1"/>
  <c r="F354" i="1" s="1"/>
  <c r="F20" i="1" s="1"/>
  <c r="G351" i="1"/>
  <c r="F351" i="1"/>
  <c r="E351" i="1"/>
  <c r="D351" i="1"/>
  <c r="C351" i="1"/>
  <c r="G348" i="1"/>
  <c r="F348" i="1"/>
  <c r="E348" i="1"/>
  <c r="D348" i="1"/>
  <c r="C348" i="1"/>
  <c r="G339" i="1"/>
  <c r="F339" i="1"/>
  <c r="F338" i="1" s="1"/>
  <c r="E339" i="1"/>
  <c r="E338" i="1" s="1"/>
  <c r="D339" i="1"/>
  <c r="C339" i="1"/>
  <c r="G338" i="1"/>
  <c r="D338" i="1"/>
  <c r="C338" i="1"/>
  <c r="G333" i="1"/>
  <c r="F333" i="1"/>
  <c r="E333" i="1"/>
  <c r="D333" i="1"/>
  <c r="C333" i="1"/>
  <c r="G325" i="1"/>
  <c r="F325" i="1"/>
  <c r="E325" i="1"/>
  <c r="D325" i="1"/>
  <c r="C325" i="1"/>
  <c r="G319" i="1"/>
  <c r="F319" i="1"/>
  <c r="E319" i="1"/>
  <c r="D319" i="1"/>
  <c r="C319" i="1"/>
  <c r="G316" i="1"/>
  <c r="G315" i="1" s="1"/>
  <c r="G19" i="1" s="1"/>
  <c r="F316" i="1"/>
  <c r="E316" i="1"/>
  <c r="D316" i="1"/>
  <c r="C316" i="1"/>
  <c r="C315" i="1" s="1"/>
  <c r="C19" i="1" s="1"/>
  <c r="D315" i="1"/>
  <c r="G302" i="1"/>
  <c r="F302" i="1"/>
  <c r="E302" i="1"/>
  <c r="E301" i="1" s="1"/>
  <c r="E18" i="1" s="1"/>
  <c r="D302" i="1"/>
  <c r="D301" i="1" s="1"/>
  <c r="D18" i="1" s="1"/>
  <c r="C302" i="1"/>
  <c r="G301" i="1"/>
  <c r="F301" i="1"/>
  <c r="C301" i="1"/>
  <c r="G298" i="1"/>
  <c r="F298" i="1"/>
  <c r="E298" i="1"/>
  <c r="D298" i="1"/>
  <c r="C298" i="1"/>
  <c r="G293" i="1"/>
  <c r="G280" i="1" s="1"/>
  <c r="G17" i="1" s="1"/>
  <c r="F293" i="1"/>
  <c r="E293" i="1"/>
  <c r="D293" i="1"/>
  <c r="C293" i="1"/>
  <c r="G282" i="1"/>
  <c r="F282" i="1"/>
  <c r="D282" i="1"/>
  <c r="D281" i="1" s="1"/>
  <c r="D280" i="1" s="1"/>
  <c r="D17" i="1" s="1"/>
  <c r="C282" i="1"/>
  <c r="C281" i="1" s="1"/>
  <c r="C280" i="1" s="1"/>
  <c r="C17" i="1" s="1"/>
  <c r="G281" i="1"/>
  <c r="F281" i="1"/>
  <c r="E281" i="1"/>
  <c r="E280" i="1" s="1"/>
  <c r="E17" i="1" s="1"/>
  <c r="F280" i="1"/>
  <c r="G277" i="1"/>
  <c r="F277" i="1"/>
  <c r="E277" i="1"/>
  <c r="D277" i="1"/>
  <c r="C277" i="1"/>
  <c r="C274" i="1"/>
  <c r="C272" i="1" s="1"/>
  <c r="G272" i="1"/>
  <c r="F272" i="1"/>
  <c r="E272" i="1"/>
  <c r="E267" i="1" s="1"/>
  <c r="D272" i="1"/>
  <c r="C270" i="1"/>
  <c r="G268" i="1"/>
  <c r="G267" i="1" s="1"/>
  <c r="F268" i="1"/>
  <c r="F267" i="1" s="1"/>
  <c r="E268" i="1"/>
  <c r="D268" i="1"/>
  <c r="C268" i="1"/>
  <c r="C267" i="1" s="1"/>
  <c r="D267" i="1"/>
  <c r="F261" i="1"/>
  <c r="F259" i="1" s="1"/>
  <c r="F254" i="1" s="1"/>
  <c r="F9" i="1" s="1"/>
  <c r="G259" i="1"/>
  <c r="E259" i="1"/>
  <c r="D259" i="1"/>
  <c r="C259" i="1"/>
  <c r="G255" i="1"/>
  <c r="D255" i="1"/>
  <c r="C255" i="1"/>
  <c r="C254" i="1" s="1"/>
  <c r="C9" i="1" s="1"/>
  <c r="G254" i="1"/>
  <c r="E254" i="1"/>
  <c r="D254" i="1"/>
  <c r="G246" i="1"/>
  <c r="F246" i="1"/>
  <c r="E246" i="1"/>
  <c r="D246" i="1"/>
  <c r="C246" i="1"/>
  <c r="G235" i="1"/>
  <c r="F235" i="1"/>
  <c r="E235" i="1"/>
  <c r="D235" i="1"/>
  <c r="C235" i="1"/>
  <c r="G230" i="1"/>
  <c r="F230" i="1"/>
  <c r="E230" i="1"/>
  <c r="D230" i="1"/>
  <c r="C230" i="1"/>
  <c r="F227" i="1"/>
  <c r="E227" i="1"/>
  <c r="G223" i="1"/>
  <c r="F223" i="1"/>
  <c r="E223" i="1"/>
  <c r="D223" i="1"/>
  <c r="C223" i="1"/>
  <c r="G215" i="1"/>
  <c r="F215" i="1"/>
  <c r="E215" i="1"/>
  <c r="D215" i="1"/>
  <c r="C215" i="1"/>
  <c r="G203" i="1"/>
  <c r="F203" i="1"/>
  <c r="E203" i="1"/>
  <c r="D203" i="1"/>
  <c r="C203" i="1"/>
  <c r="G202" i="1"/>
  <c r="E202" i="1"/>
  <c r="E198" i="1" s="1"/>
  <c r="D202" i="1"/>
  <c r="C202" i="1"/>
  <c r="G199" i="1"/>
  <c r="F199" i="1"/>
  <c r="F198" i="1" s="1"/>
  <c r="F7" i="1" s="1"/>
  <c r="E199" i="1"/>
  <c r="D199" i="1"/>
  <c r="C199" i="1"/>
  <c r="G198" i="1"/>
  <c r="D198" i="1"/>
  <c r="C198" i="1"/>
  <c r="G192" i="1"/>
  <c r="F192" i="1"/>
  <c r="E192" i="1"/>
  <c r="D192" i="1"/>
  <c r="C192" i="1"/>
  <c r="G182" i="1"/>
  <c r="G179" i="1"/>
  <c r="F179" i="1"/>
  <c r="F177" i="1" s="1"/>
  <c r="F6" i="1" s="1"/>
  <c r="E179" i="1"/>
  <c r="D179" i="1"/>
  <c r="C179" i="1"/>
  <c r="G178" i="1"/>
  <c r="G177" i="1" s="1"/>
  <c r="G6" i="1" s="1"/>
  <c r="E177" i="1"/>
  <c r="D177" i="1"/>
  <c r="C177" i="1"/>
  <c r="G163" i="1"/>
  <c r="F163" i="1"/>
  <c r="E163" i="1"/>
  <c r="D163" i="1"/>
  <c r="C163" i="1"/>
  <c r="F150" i="1"/>
  <c r="G145" i="1"/>
  <c r="F145" i="1"/>
  <c r="E145" i="1"/>
  <c r="D145" i="1"/>
  <c r="C145" i="1"/>
  <c r="F144" i="1"/>
  <c r="E144" i="1"/>
  <c r="G129" i="1"/>
  <c r="F129" i="1"/>
  <c r="E129" i="1"/>
  <c r="D129" i="1"/>
  <c r="C129" i="1"/>
  <c r="G117" i="1"/>
  <c r="F117" i="1"/>
  <c r="E117" i="1"/>
  <c r="D117" i="1"/>
  <c r="C117" i="1"/>
  <c r="F114" i="1"/>
  <c r="G112" i="1"/>
  <c r="D112" i="1"/>
  <c r="C112" i="1"/>
  <c r="C104" i="1" s="1"/>
  <c r="C87" i="1" s="1"/>
  <c r="C5" i="1" s="1"/>
  <c r="G110" i="1"/>
  <c r="G104" i="1"/>
  <c r="F104" i="1"/>
  <c r="E104" i="1"/>
  <c r="D104" i="1"/>
  <c r="G88" i="1"/>
  <c r="F88" i="1"/>
  <c r="F87" i="1" s="1"/>
  <c r="F5" i="1" s="1"/>
  <c r="E88" i="1"/>
  <c r="D88" i="1"/>
  <c r="C88" i="1"/>
  <c r="G87" i="1"/>
  <c r="E87" i="1"/>
  <c r="D87" i="1"/>
  <c r="E85" i="1"/>
  <c r="D85" i="1"/>
  <c r="C85" i="1"/>
  <c r="F82" i="1"/>
  <c r="D82" i="1"/>
  <c r="C78" i="1"/>
  <c r="C76" i="1" s="1"/>
  <c r="G76" i="1"/>
  <c r="F76" i="1"/>
  <c r="E76" i="1"/>
  <c r="D76" i="1"/>
  <c r="G70" i="1"/>
  <c r="F70" i="1"/>
  <c r="E70" i="1"/>
  <c r="D70" i="1"/>
  <c r="C70" i="1"/>
  <c r="G66" i="1"/>
  <c r="F66" i="1"/>
  <c r="E66" i="1"/>
  <c r="D66" i="1"/>
  <c r="C66" i="1"/>
  <c r="G60" i="1"/>
  <c r="E60" i="1"/>
  <c r="D60" i="1"/>
  <c r="C60" i="1"/>
  <c r="G58" i="1"/>
  <c r="E58" i="1"/>
  <c r="D58" i="1"/>
  <c r="C58" i="1"/>
  <c r="E57" i="1"/>
  <c r="D57" i="1"/>
  <c r="C57" i="1"/>
  <c r="G56" i="1"/>
  <c r="C56" i="1"/>
  <c r="G55" i="1"/>
  <c r="C55" i="1"/>
  <c r="G54" i="1"/>
  <c r="E54" i="1"/>
  <c r="E53" i="1" s="1"/>
  <c r="E252" i="1" s="1"/>
  <c r="E263" i="1" s="1"/>
  <c r="D54" i="1"/>
  <c r="C54" i="1"/>
  <c r="G53" i="1"/>
  <c r="G252" i="1" s="1"/>
  <c r="G263" i="1" s="1"/>
  <c r="F53" i="1"/>
  <c r="F252" i="1" s="1"/>
  <c r="D53" i="1"/>
  <c r="D252" i="1" s="1"/>
  <c r="G49" i="1"/>
  <c r="F49" i="1"/>
  <c r="E49" i="1"/>
  <c r="D49" i="1"/>
  <c r="C49" i="1"/>
  <c r="G48" i="1"/>
  <c r="F48" i="1"/>
  <c r="E48" i="1"/>
  <c r="D48" i="1"/>
  <c r="C48" i="1"/>
  <c r="G47" i="1"/>
  <c r="F47" i="1"/>
  <c r="E47" i="1"/>
  <c r="D47" i="1"/>
  <c r="C47" i="1"/>
  <c r="F45" i="1"/>
  <c r="E45" i="1"/>
  <c r="C45" i="1"/>
  <c r="G44" i="1"/>
  <c r="F44" i="1"/>
  <c r="E44" i="1"/>
  <c r="D44" i="1"/>
  <c r="C44" i="1"/>
  <c r="G43" i="1"/>
  <c r="F43" i="1"/>
  <c r="E43" i="1"/>
  <c r="D43" i="1"/>
  <c r="C43" i="1"/>
  <c r="G42" i="1"/>
  <c r="F42" i="1"/>
  <c r="E42" i="1"/>
  <c r="D42" i="1"/>
  <c r="C42" i="1"/>
  <c r="F41" i="1"/>
  <c r="E41" i="1"/>
  <c r="D41" i="1"/>
  <c r="C41" i="1"/>
  <c r="G40" i="1"/>
  <c r="F40" i="1"/>
  <c r="E40" i="1"/>
  <c r="D40" i="1"/>
  <c r="C40" i="1"/>
  <c r="F39" i="1"/>
  <c r="D39" i="1"/>
  <c r="C39" i="1"/>
  <c r="C38" i="1"/>
  <c r="G37" i="1"/>
  <c r="F37" i="1"/>
  <c r="D37" i="1"/>
  <c r="F36" i="1"/>
  <c r="E36" i="1"/>
  <c r="G35" i="1"/>
  <c r="F35" i="1"/>
  <c r="E35" i="1"/>
  <c r="D35" i="1"/>
  <c r="C35" i="1"/>
  <c r="F34" i="1"/>
  <c r="D34" i="1"/>
  <c r="F33" i="1"/>
  <c r="D33" i="1"/>
  <c r="E32" i="1"/>
  <c r="G31" i="1"/>
  <c r="G30" i="1"/>
  <c r="F30" i="1"/>
  <c r="E30" i="1"/>
  <c r="D30" i="1"/>
  <c r="C30" i="1"/>
  <c r="G29" i="1"/>
  <c r="F29" i="1"/>
  <c r="E29" i="1"/>
  <c r="D29" i="1"/>
  <c r="C29" i="1"/>
  <c r="F28" i="1"/>
  <c r="E28" i="1"/>
  <c r="D28" i="1"/>
  <c r="G26" i="1"/>
  <c r="F26" i="1"/>
  <c r="E26" i="1"/>
  <c r="D26" i="1"/>
  <c r="C26" i="1"/>
  <c r="G25" i="1"/>
  <c r="F25" i="1"/>
  <c r="E25" i="1"/>
  <c r="D25" i="1"/>
  <c r="C25" i="1"/>
  <c r="F24" i="1"/>
  <c r="E24" i="1"/>
  <c r="E23" i="1"/>
  <c r="D23" i="1"/>
  <c r="F22" i="1"/>
  <c r="F21" i="1"/>
  <c r="D19" i="1"/>
  <c r="G18" i="1"/>
  <c r="F18" i="1"/>
  <c r="C18" i="1"/>
  <c r="F17" i="1"/>
  <c r="D16" i="1"/>
  <c r="G12" i="1"/>
  <c r="E12" i="1"/>
  <c r="D9" i="1"/>
  <c r="D7" i="1"/>
  <c r="C7" i="1"/>
  <c r="D6" i="1"/>
  <c r="C6" i="1"/>
  <c r="D5" i="1"/>
  <c r="F4" i="1"/>
  <c r="D4" i="1"/>
  <c r="D8" i="1" l="1"/>
  <c r="D263" i="1"/>
  <c r="D10" i="1" s="1"/>
  <c r="D266" i="1"/>
  <c r="F16" i="1"/>
  <c r="E16" i="1"/>
  <c r="D21" i="1"/>
  <c r="D354" i="1"/>
  <c r="D20" i="1" s="1"/>
  <c r="C354" i="1"/>
  <c r="C20" i="1" s="1"/>
  <c r="C21" i="1"/>
  <c r="G354" i="1"/>
  <c r="G21" i="1"/>
  <c r="G20" i="1" s="1"/>
  <c r="D512" i="1"/>
  <c r="G633" i="1"/>
  <c r="G38" i="1" s="1"/>
  <c r="G39" i="1"/>
  <c r="H261" i="3"/>
  <c r="D260" i="3"/>
  <c r="H260" i="3" s="1"/>
  <c r="H298" i="3"/>
  <c r="F263" i="1"/>
  <c r="F10" i="1" s="1"/>
  <c r="F8" i="1"/>
  <c r="C266" i="1"/>
  <c r="C16" i="1"/>
  <c r="G266" i="1"/>
  <c r="G16" i="1"/>
  <c r="E21" i="1"/>
  <c r="E354" i="1"/>
  <c r="E20" i="1" s="1"/>
  <c r="D782" i="1"/>
  <c r="D702" i="1" s="1"/>
  <c r="D46" i="1" s="1"/>
  <c r="D320" i="3"/>
  <c r="H320" i="3" s="1"/>
  <c r="F511" i="1"/>
  <c r="F31" i="1" s="1"/>
  <c r="F32" i="1"/>
  <c r="E633" i="1"/>
  <c r="E38" i="1" s="1"/>
  <c r="E39" i="1"/>
  <c r="D5" i="3"/>
  <c r="H165" i="3"/>
  <c r="H5" i="3" s="1"/>
  <c r="G185" i="3"/>
  <c r="G6" i="3" s="1"/>
  <c r="C6" i="3"/>
  <c r="C53" i="1"/>
  <c r="F315" i="1"/>
  <c r="F19" i="1" s="1"/>
  <c r="E315" i="1"/>
  <c r="E19" i="1" s="1"/>
  <c r="E511" i="1"/>
  <c r="E31" i="1" s="1"/>
  <c r="C533" i="1"/>
  <c r="C512" i="1" s="1"/>
  <c r="C625" i="1"/>
  <c r="C37" i="1" s="1"/>
  <c r="D351" i="3"/>
  <c r="H352" i="3"/>
  <c r="G536" i="1"/>
  <c r="G533" i="1" s="1"/>
  <c r="G512" i="1" s="1"/>
  <c r="G511" i="1" s="1"/>
  <c r="I11" i="3"/>
  <c r="H32" i="3"/>
  <c r="H3" i="3" s="1"/>
  <c r="C66" i="3"/>
  <c r="C165" i="3"/>
  <c r="H175" i="3"/>
  <c r="C234" i="3"/>
  <c r="C246" i="3"/>
  <c r="D287" i="3"/>
  <c r="H287" i="3" s="1"/>
  <c r="H299" i="3"/>
  <c r="H323" i="3"/>
  <c r="H339" i="3"/>
  <c r="H354" i="3"/>
  <c r="C365" i="3"/>
  <c r="G365" i="3" s="1"/>
  <c r="D385" i="3"/>
  <c r="H385" i="3" s="1"/>
  <c r="G447" i="3"/>
  <c r="C442" i="3"/>
  <c r="G442" i="3" s="1"/>
  <c r="G748" i="3"/>
  <c r="C747" i="3"/>
  <c r="D66" i="3"/>
  <c r="D222" i="3"/>
  <c r="H222" i="3" s="1"/>
  <c r="D234" i="3"/>
  <c r="D246" i="3"/>
  <c r="C261" i="3"/>
  <c r="H262" i="3"/>
  <c r="C264" i="3"/>
  <c r="G264" i="3" s="1"/>
  <c r="C274" i="3"/>
  <c r="G274" i="3" s="1"/>
  <c r="H282" i="3"/>
  <c r="D305" i="3"/>
  <c r="H305" i="3" s="1"/>
  <c r="H446" i="3"/>
  <c r="D444" i="3"/>
  <c r="H444" i="3" s="1"/>
  <c r="H586" i="3"/>
  <c r="H715" i="3"/>
  <c r="D714" i="3"/>
  <c r="D721" i="3"/>
  <c r="H729" i="3"/>
  <c r="C232" i="3"/>
  <c r="D453" i="3"/>
  <c r="H453" i="3" s="1"/>
  <c r="H460" i="3"/>
  <c r="D613" i="3"/>
  <c r="H613" i="3" s="1"/>
  <c r="H627" i="3"/>
  <c r="C653" i="3"/>
  <c r="G654" i="3"/>
  <c r="C674" i="3"/>
  <c r="H607" i="3"/>
  <c r="D606" i="3"/>
  <c r="H606" i="3" s="1"/>
  <c r="H566" i="3"/>
  <c r="G676" i="3"/>
  <c r="D677" i="3"/>
  <c r="G679" i="3"/>
  <c r="H716" i="3"/>
  <c r="H730" i="3"/>
  <c r="D748" i="3"/>
  <c r="G749" i="3"/>
  <c r="D765" i="3"/>
  <c r="H765" i="3" s="1"/>
  <c r="C794" i="3"/>
  <c r="G794" i="3" s="1"/>
  <c r="G823" i="3"/>
  <c r="D855" i="3"/>
  <c r="D293" i="6"/>
  <c r="H293" i="6" s="1"/>
  <c r="H294" i="6"/>
  <c r="C418" i="3"/>
  <c r="G418" i="3" s="1"/>
  <c r="D502" i="3"/>
  <c r="C520" i="3"/>
  <c r="G520" i="3" s="1"/>
  <c r="D529" i="3"/>
  <c r="H529" i="3" s="1"/>
  <c r="C570" i="3"/>
  <c r="D578" i="3"/>
  <c r="H578" i="3" s="1"/>
  <c r="C586" i="3"/>
  <c r="G586" i="3" s="1"/>
  <c r="H587" i="3"/>
  <c r="H596" i="3"/>
  <c r="H599" i="3"/>
  <c r="C606" i="3"/>
  <c r="G606" i="3" s="1"/>
  <c r="C630" i="3"/>
  <c r="G630" i="3" s="1"/>
  <c r="C684" i="3"/>
  <c r="D794" i="3"/>
  <c r="H794" i="3" s="1"/>
  <c r="C877" i="3"/>
  <c r="G877" i="3" s="1"/>
  <c r="H331" i="6"/>
  <c r="D418" i="3"/>
  <c r="H418" i="3" s="1"/>
  <c r="C453" i="3"/>
  <c r="G453" i="3" s="1"/>
  <c r="H461" i="3"/>
  <c r="G471" i="3"/>
  <c r="H488" i="3"/>
  <c r="H608" i="3"/>
  <c r="C613" i="3"/>
  <c r="G613" i="3" s="1"/>
  <c r="H628" i="3"/>
  <c r="H654" i="3"/>
  <c r="G655" i="3"/>
  <c r="H266" i="6"/>
  <c r="D265" i="6"/>
  <c r="D279" i="6"/>
  <c r="H279" i="6" s="1"/>
  <c r="H280" i="6"/>
  <c r="D340" i="6"/>
  <c r="H340" i="6" s="1"/>
  <c r="D640" i="3"/>
  <c r="H640" i="3" s="1"/>
  <c r="D699" i="3"/>
  <c r="H699" i="3" s="1"/>
  <c r="C714" i="3"/>
  <c r="D757" i="3"/>
  <c r="H757" i="3" s="1"/>
  <c r="C765" i="3"/>
  <c r="G765" i="3" s="1"/>
  <c r="D864" i="3"/>
  <c r="H174" i="6"/>
  <c r="D171" i="6"/>
  <c r="H216" i="6"/>
  <c r="D192" i="6"/>
  <c r="H307" i="6"/>
  <c r="D306" i="6"/>
  <c r="H306" i="6" s="1"/>
  <c r="C3" i="6"/>
  <c r="D32" i="6"/>
  <c r="H116" i="6"/>
  <c r="H223" i="6"/>
  <c r="H332" i="6"/>
  <c r="C340" i="6"/>
  <c r="G340" i="6" s="1"/>
  <c r="D346" i="6"/>
  <c r="H346" i="6" s="1"/>
  <c r="D408" i="6"/>
  <c r="H408" i="6" s="1"/>
  <c r="D464" i="6"/>
  <c r="H464" i="6" s="1"/>
  <c r="D479" i="6"/>
  <c r="H480" i="6"/>
  <c r="H491" i="6"/>
  <c r="D490" i="6"/>
  <c r="H490" i="6" s="1"/>
  <c r="G546" i="6"/>
  <c r="C545" i="6"/>
  <c r="G545" i="6" s="1"/>
  <c r="C66" i="6"/>
  <c r="D130" i="6"/>
  <c r="H130" i="6" s="1"/>
  <c r="C254" i="6"/>
  <c r="H267" i="6"/>
  <c r="H308" i="6"/>
  <c r="C358" i="6"/>
  <c r="G358" i="6" s="1"/>
  <c r="G32" i="6"/>
  <c r="G3" i="6" s="1"/>
  <c r="D66" i="6"/>
  <c r="D254" i="6"/>
  <c r="C316" i="6"/>
  <c r="G316" i="6" s="1"/>
  <c r="D373" i="6"/>
  <c r="H387" i="6"/>
  <c r="G443" i="6"/>
  <c r="C442" i="6"/>
  <c r="G442" i="6" s="1"/>
  <c r="D442" i="6"/>
  <c r="H442" i="6" s="1"/>
  <c r="D452" i="6"/>
  <c r="H452" i="6" s="1"/>
  <c r="D467" i="6"/>
  <c r="H467" i="6" s="1"/>
  <c r="H468" i="6"/>
  <c r="D469" i="6"/>
  <c r="H469" i="6" s="1"/>
  <c r="H470" i="6"/>
  <c r="H540" i="6"/>
  <c r="D535" i="6"/>
  <c r="H535" i="6" s="1"/>
  <c r="H549" i="6"/>
  <c r="D546" i="6"/>
  <c r="D439" i="6"/>
  <c r="H439" i="6" s="1"/>
  <c r="H440" i="6"/>
  <c r="H513" i="6"/>
  <c r="D507" i="6"/>
  <c r="H507" i="6" s="1"/>
  <c r="D576" i="6"/>
  <c r="H578" i="6"/>
  <c r="C386" i="6"/>
  <c r="G386" i="6" s="1"/>
  <c r="H486" i="6"/>
  <c r="C507" i="6"/>
  <c r="G507" i="6" s="1"/>
  <c r="H571" i="6"/>
  <c r="H579" i="6"/>
  <c r="G590" i="6"/>
  <c r="D596" i="6"/>
  <c r="D598" i="6"/>
  <c r="H598" i="6" s="1"/>
  <c r="D603" i="6"/>
  <c r="H603" i="6" s="1"/>
  <c r="H608" i="6"/>
  <c r="H624" i="6"/>
  <c r="H628" i="6"/>
  <c r="G632" i="6"/>
  <c r="C631" i="6"/>
  <c r="G631" i="6" s="1"/>
  <c r="H639" i="6"/>
  <c r="H640" i="6"/>
  <c r="H644" i="6"/>
  <c r="H649" i="6"/>
  <c r="H653" i="6"/>
  <c r="C490" i="6"/>
  <c r="G490" i="6" s="1"/>
  <c r="H590" i="6"/>
  <c r="C595" i="6"/>
  <c r="C594" i="6" s="1"/>
  <c r="H600" i="6"/>
  <c r="H601" i="6"/>
  <c r="D613" i="6"/>
  <c r="H784" i="6"/>
  <c r="D665" i="6"/>
  <c r="H665" i="6" s="1"/>
  <c r="C666" i="6"/>
  <c r="D678" i="6"/>
  <c r="C679" i="6"/>
  <c r="I742" i="6"/>
  <c r="C774" i="6"/>
  <c r="D788" i="6"/>
  <c r="H788" i="6" s="1"/>
  <c r="D847" i="6"/>
  <c r="G907" i="6"/>
  <c r="C906" i="6"/>
  <c r="D689" i="6"/>
  <c r="C702" i="6"/>
  <c r="C708" i="6"/>
  <c r="D774" i="6"/>
  <c r="C783" i="6"/>
  <c r="G783" i="6" s="1"/>
  <c r="D794" i="6"/>
  <c r="H808" i="6"/>
  <c r="D829" i="6"/>
  <c r="H829" i="6" s="1"/>
  <c r="H852" i="6"/>
  <c r="D850" i="6"/>
  <c r="D702" i="6"/>
  <c r="D724" i="6"/>
  <c r="H724" i="6" s="1"/>
  <c r="D740" i="6"/>
  <c r="C747" i="6"/>
  <c r="C800" i="6"/>
  <c r="D821" i="6"/>
  <c r="G849" i="6"/>
  <c r="C845" i="6"/>
  <c r="G867" i="6"/>
  <c r="C862" i="6"/>
  <c r="G862" i="6" s="1"/>
  <c r="H882" i="6"/>
  <c r="D881" i="6"/>
  <c r="H903" i="6"/>
  <c r="D906" i="6"/>
  <c r="H906" i="6" s="1"/>
  <c r="C511" i="1" l="1"/>
  <c r="C31" i="1" s="1"/>
  <c r="C32" i="1"/>
  <c r="H881" i="6"/>
  <c r="H28" i="6" s="1"/>
  <c r="D28" i="6"/>
  <c r="G800" i="6"/>
  <c r="C794" i="6"/>
  <c r="D849" i="6"/>
  <c r="H849" i="6" s="1"/>
  <c r="H850" i="6"/>
  <c r="D791" i="6"/>
  <c r="H791" i="6" s="1"/>
  <c r="H794" i="6"/>
  <c r="C699" i="6"/>
  <c r="G702" i="6"/>
  <c r="G594" i="6"/>
  <c r="D545" i="6"/>
  <c r="H545" i="6" s="1"/>
  <c r="H546" i="6"/>
  <c r="D386" i="6"/>
  <c r="H386" i="6" s="1"/>
  <c r="H254" i="6"/>
  <c r="H8" i="6" s="1"/>
  <c r="D8" i="6"/>
  <c r="G714" i="3"/>
  <c r="G25" i="3" s="1"/>
  <c r="C25" i="3"/>
  <c r="D482" i="3"/>
  <c r="H482" i="3" s="1"/>
  <c r="H502" i="3"/>
  <c r="C260" i="3"/>
  <c r="G260" i="3" s="1"/>
  <c r="G261" i="3"/>
  <c r="D185" i="3"/>
  <c r="G747" i="3"/>
  <c r="C745" i="3"/>
  <c r="G246" i="3"/>
  <c r="C245" i="3"/>
  <c r="G66" i="3"/>
  <c r="G4" i="3" s="1"/>
  <c r="C4" i="3"/>
  <c r="C4" i="1"/>
  <c r="C252" i="1"/>
  <c r="C263" i="1" s="1"/>
  <c r="C10" i="1" s="1"/>
  <c r="G15" i="1"/>
  <c r="G922" i="1"/>
  <c r="C820" i="6"/>
  <c r="G820" i="6" s="1"/>
  <c r="G845" i="6"/>
  <c r="H702" i="6"/>
  <c r="D699" i="6"/>
  <c r="D682" i="6"/>
  <c r="H689" i="6"/>
  <c r="D845" i="6"/>
  <c r="H845" i="6" s="1"/>
  <c r="H847" i="6"/>
  <c r="C678" i="6"/>
  <c r="G679" i="6"/>
  <c r="D708" i="6"/>
  <c r="D611" i="6"/>
  <c r="H611" i="6" s="1"/>
  <c r="H613" i="6"/>
  <c r="H66" i="6"/>
  <c r="H4" i="6" s="1"/>
  <c r="D4" i="6"/>
  <c r="C4" i="6"/>
  <c r="G66" i="6"/>
  <c r="G4" i="6" s="1"/>
  <c r="H171" i="6"/>
  <c r="H5" i="6" s="1"/>
  <c r="D5" i="6"/>
  <c r="D862" i="3"/>
  <c r="H864" i="3"/>
  <c r="D316" i="6"/>
  <c r="H316" i="6" s="1"/>
  <c r="C683" i="3"/>
  <c r="G684" i="3"/>
  <c r="C569" i="3"/>
  <c r="G570" i="3"/>
  <c r="H855" i="3"/>
  <c r="D854" i="3"/>
  <c r="D683" i="3"/>
  <c r="G653" i="3"/>
  <c r="G21" i="3" s="1"/>
  <c r="C21" i="3"/>
  <c r="D569" i="3"/>
  <c r="H246" i="3"/>
  <c r="H66" i="3"/>
  <c r="H4" i="3" s="1"/>
  <c r="D4" i="3"/>
  <c r="G234" i="3"/>
  <c r="G8" i="3" s="1"/>
  <c r="C8" i="3"/>
  <c r="H351" i="3"/>
  <c r="D15" i="1"/>
  <c r="H821" i="6"/>
  <c r="D820" i="6"/>
  <c r="H820" i="6" s="1"/>
  <c r="G708" i="6"/>
  <c r="G24" i="6" s="1"/>
  <c r="C24" i="6"/>
  <c r="D889" i="6"/>
  <c r="G747" i="6"/>
  <c r="G26" i="6" s="1"/>
  <c r="C26" i="6"/>
  <c r="H774" i="6"/>
  <c r="H678" i="6"/>
  <c r="H21" i="6" s="1"/>
  <c r="D21" i="6"/>
  <c r="D783" i="6"/>
  <c r="H783" i="6" s="1"/>
  <c r="H373" i="6"/>
  <c r="D372" i="6"/>
  <c r="C264" i="6"/>
  <c r="H265" i="6"/>
  <c r="D264" i="6"/>
  <c r="C252" i="6"/>
  <c r="H748" i="3"/>
  <c r="D747" i="3"/>
  <c r="C862" i="3"/>
  <c r="D442" i="3"/>
  <c r="H442" i="3" s="1"/>
  <c r="H721" i="3"/>
  <c r="H26" i="3" s="1"/>
  <c r="D26" i="3"/>
  <c r="D365" i="3"/>
  <c r="H365" i="3" s="1"/>
  <c r="H234" i="3"/>
  <c r="H8" i="3" s="1"/>
  <c r="D8" i="3"/>
  <c r="D232" i="3"/>
  <c r="C15" i="1"/>
  <c r="C922" i="1"/>
  <c r="C50" i="1" s="1"/>
  <c r="C12" i="1" s="1"/>
  <c r="D297" i="3"/>
  <c r="H297" i="3" s="1"/>
  <c r="D32" i="1"/>
  <c r="D511" i="1"/>
  <c r="D31" i="1" s="1"/>
  <c r="E266" i="1"/>
  <c r="H740" i="6"/>
  <c r="H25" i="6" s="1"/>
  <c r="D25" i="6"/>
  <c r="G906" i="6"/>
  <c r="C889" i="6"/>
  <c r="G774" i="6"/>
  <c r="C773" i="6"/>
  <c r="G666" i="6"/>
  <c r="C665" i="6"/>
  <c r="G665" i="6" s="1"/>
  <c r="H596" i="6"/>
  <c r="D595" i="6"/>
  <c r="H576" i="6"/>
  <c r="H17" i="6" s="1"/>
  <c r="D17" i="6"/>
  <c r="C8" i="6"/>
  <c r="G254" i="6"/>
  <c r="G8" i="6" s="1"/>
  <c r="H479" i="6"/>
  <c r="D478" i="6"/>
  <c r="H478" i="6" s="1"/>
  <c r="H32" i="6"/>
  <c r="H3" i="6" s="1"/>
  <c r="D3" i="6"/>
  <c r="D252" i="6"/>
  <c r="H192" i="6"/>
  <c r="H6" i="6" s="1"/>
  <c r="D6" i="6"/>
  <c r="C371" i="6"/>
  <c r="H677" i="3"/>
  <c r="D674" i="3"/>
  <c r="G674" i="3"/>
  <c r="G23" i="3" s="1"/>
  <c r="C23" i="3"/>
  <c r="G232" i="3"/>
  <c r="G7" i="3" s="1"/>
  <c r="C7" i="3"/>
  <c r="C243" i="3"/>
  <c r="H714" i="3"/>
  <c r="H25" i="3" s="1"/>
  <c r="D25" i="3"/>
  <c r="D520" i="3"/>
  <c r="H520" i="3" s="1"/>
  <c r="C350" i="3"/>
  <c r="G165" i="3"/>
  <c r="G5" i="3" s="1"/>
  <c r="C5" i="3"/>
  <c r="F266" i="1"/>
  <c r="H252" i="6" l="1"/>
  <c r="H7" i="6" s="1"/>
  <c r="D7" i="6"/>
  <c r="D262" i="6"/>
  <c r="F15" i="1"/>
  <c r="F922" i="1"/>
  <c r="F50" i="1" s="1"/>
  <c r="F12" i="1" s="1"/>
  <c r="G371" i="6"/>
  <c r="G14" i="6" s="1"/>
  <c r="C14" i="6"/>
  <c r="H595" i="6"/>
  <c r="G595" i="6"/>
  <c r="D594" i="6"/>
  <c r="G773" i="6"/>
  <c r="H232" i="3"/>
  <c r="H7" i="3" s="1"/>
  <c r="D7" i="3"/>
  <c r="D243" i="3"/>
  <c r="H747" i="3"/>
  <c r="D745" i="3"/>
  <c r="D773" i="6"/>
  <c r="H889" i="6"/>
  <c r="H29" i="6" s="1"/>
  <c r="D29" i="6"/>
  <c r="D350" i="3"/>
  <c r="H569" i="3"/>
  <c r="D568" i="3"/>
  <c r="H683" i="3"/>
  <c r="H24" i="3" s="1"/>
  <c r="D24" i="3"/>
  <c r="G569" i="3"/>
  <c r="C568" i="3"/>
  <c r="G678" i="6"/>
  <c r="G21" i="6" s="1"/>
  <c r="C21" i="6"/>
  <c r="G245" i="3"/>
  <c r="G13" i="3" s="1"/>
  <c r="C13" i="3"/>
  <c r="H185" i="3"/>
  <c r="H6" i="3" s="1"/>
  <c r="D6" i="3"/>
  <c r="G243" i="3"/>
  <c r="G9" i="3" s="1"/>
  <c r="C9" i="3"/>
  <c r="G264" i="6"/>
  <c r="G13" i="6" s="1"/>
  <c r="C13" i="6"/>
  <c r="H854" i="3"/>
  <c r="H28" i="3" s="1"/>
  <c r="D28" i="3"/>
  <c r="H862" i="3"/>
  <c r="H29" i="3" s="1"/>
  <c r="D29" i="3"/>
  <c r="H682" i="6"/>
  <c r="H22" i="6" s="1"/>
  <c r="D22" i="6"/>
  <c r="G699" i="6"/>
  <c r="G23" i="6" s="1"/>
  <c r="C23" i="6"/>
  <c r="H674" i="3"/>
  <c r="H23" i="3" s="1"/>
  <c r="D23" i="3"/>
  <c r="G889" i="6"/>
  <c r="G29" i="6" s="1"/>
  <c r="C29" i="6"/>
  <c r="E15" i="1"/>
  <c r="E922" i="1"/>
  <c r="C262" i="6"/>
  <c r="G252" i="6"/>
  <c r="G7" i="6" s="1"/>
  <c r="C7" i="6"/>
  <c r="H372" i="6"/>
  <c r="D371" i="6"/>
  <c r="G683" i="3"/>
  <c r="G24" i="3" s="1"/>
  <c r="C24" i="3"/>
  <c r="H708" i="6"/>
  <c r="H24" i="6" s="1"/>
  <c r="D24" i="6"/>
  <c r="H699" i="6"/>
  <c r="H23" i="6" s="1"/>
  <c r="D23" i="6"/>
  <c r="G745" i="3"/>
  <c r="G27" i="3" s="1"/>
  <c r="C27" i="3"/>
  <c r="C593" i="6"/>
  <c r="G794" i="6"/>
  <c r="C791" i="6"/>
  <c r="G791" i="6" s="1"/>
  <c r="G350" i="3"/>
  <c r="G14" i="3" s="1"/>
  <c r="C14" i="3"/>
  <c r="G862" i="3"/>
  <c r="G29" i="3" s="1"/>
  <c r="C29" i="3"/>
  <c r="H264" i="6"/>
  <c r="H13" i="6" s="1"/>
  <c r="D13" i="6"/>
  <c r="D922" i="1"/>
  <c r="D50" i="1" s="1"/>
  <c r="D12" i="1" s="1"/>
  <c r="D245" i="3"/>
  <c r="D882" i="3" l="1"/>
  <c r="H245" i="3"/>
  <c r="H13" i="3" s="1"/>
  <c r="D13" i="3"/>
  <c r="C771" i="6"/>
  <c r="G593" i="6"/>
  <c r="G20" i="6" s="1"/>
  <c r="C20" i="6"/>
  <c r="G568" i="3"/>
  <c r="G20" i="3" s="1"/>
  <c r="C20" i="3"/>
  <c r="H568" i="3"/>
  <c r="H20" i="3" s="1"/>
  <c r="D20" i="3"/>
  <c r="D9" i="3"/>
  <c r="D885" i="3" s="1"/>
  <c r="H243" i="3"/>
  <c r="H9" i="3" s="1"/>
  <c r="H262" i="6"/>
  <c r="H9" i="6" s="1"/>
  <c r="D9" i="6"/>
  <c r="H371" i="6"/>
  <c r="H14" i="6" s="1"/>
  <c r="D14" i="6"/>
  <c r="G262" i="6"/>
  <c r="G9" i="6" s="1"/>
  <c r="C9" i="6"/>
  <c r="C882" i="3"/>
  <c r="H773" i="6"/>
  <c r="D771" i="6"/>
  <c r="H594" i="6"/>
  <c r="D593" i="6"/>
  <c r="D14" i="3"/>
  <c r="H350" i="3"/>
  <c r="H14" i="3" s="1"/>
  <c r="H745" i="3"/>
  <c r="H27" i="3" s="1"/>
  <c r="D27" i="3"/>
  <c r="G771" i="6" l="1"/>
  <c r="G27" i="6" s="1"/>
  <c r="C27" i="6"/>
  <c r="G882" i="3"/>
  <c r="C30" i="3"/>
  <c r="C11" i="3" s="1"/>
  <c r="G11" i="3" s="1"/>
  <c r="C911" i="6"/>
  <c r="H593" i="6"/>
  <c r="H20" i="6" s="1"/>
  <c r="D20" i="6"/>
  <c r="D911" i="6"/>
  <c r="C885" i="3"/>
  <c r="H771" i="6"/>
  <c r="H27" i="6" s="1"/>
  <c r="D27" i="6"/>
  <c r="C914" i="6"/>
  <c r="H882" i="3"/>
  <c r="H30" i="3" s="1"/>
  <c r="D30" i="3"/>
  <c r="D11" i="3" s="1"/>
  <c r="H11" i="3" s="1"/>
  <c r="G30" i="3" l="1"/>
  <c r="G885" i="3"/>
  <c r="H911" i="6"/>
  <c r="D30" i="6"/>
  <c r="D11" i="6" s="1"/>
  <c r="H11" i="6" s="1"/>
  <c r="G911" i="6"/>
  <c r="C30" i="6"/>
  <c r="C11" i="6" s="1"/>
  <c r="G11" i="6" s="1"/>
  <c r="H885" i="3"/>
  <c r="D914" i="6"/>
  <c r="H30" i="6" l="1"/>
  <c r="H914" i="6"/>
  <c r="G30" i="6"/>
  <c r="G914" i="6"/>
</calcChain>
</file>

<file path=xl/comments1.xml><?xml version="1.0" encoding="utf-8"?>
<comments xmlns="http://schemas.openxmlformats.org/spreadsheetml/2006/main">
  <authors>
    <author>tc={00C10003-004F-4DA2-87C3-00F300B70037}</author>
    <author>tc={00E7006D-00C3-4A7B-A73E-002900BE00EB}</author>
    <author>tc={008600AB-001C-43DD-9C8E-001200FC00B1}</author>
  </authors>
  <commentList>
    <comment ref="H628" authorId="0" shapeId="0">
      <text>
        <r>
          <rPr>
            <b/>
            <sz val="9"/>
            <rFont val="Tahoma"/>
          </rPr>
          <t xml:space="preserve"> :</t>
        </r>
        <r>
          <rPr>
            <sz val="9"/>
            <rFont val="Tahoma"/>
          </rPr>
          <t xml:space="preserve">
Jana Holíková:
0381 019 6171:
50xx  43.827.695
5424     247.607
5167     507.759,10
5173     122.275
5192-5     0
------------------------
cel     44.952.943,10
</t>
        </r>
      </text>
    </comment>
    <comment ref="D767" authorId="1" shapeId="0">
      <text>
        <r>
          <rPr>
            <b/>
            <sz val="9"/>
            <rFont val="Tahoma"/>
          </rPr>
          <t xml:space="preserve"> :</t>
        </r>
        <r>
          <rPr>
            <sz val="9"/>
            <rFont val="Tahoma"/>
          </rPr>
          <t xml:space="preserve">
Gabriela Vlčková:
+391 tis. dotace
</t>
        </r>
      </text>
    </comment>
    <comment ref="D812" authorId="2" shapeId="0">
      <text>
        <r>
          <rPr>
            <b/>
            <sz val="9"/>
            <rFont val="Tahoma"/>
          </rPr>
          <t xml:space="preserve"> :</t>
        </r>
        <r>
          <rPr>
            <sz val="9"/>
            <rFont val="Tahoma"/>
          </rPr>
          <t xml:space="preserve">
Gabriela Vlčková:
+10.450 mimoř. Př.
</t>
        </r>
      </text>
    </comment>
  </commentList>
</comments>
</file>

<file path=xl/comments2.xml><?xml version="1.0" encoding="utf-8"?>
<comments xmlns="http://schemas.openxmlformats.org/spreadsheetml/2006/main">
  <authors>
    <author>tc={004100AF-00FA-4970-8EF8-0010000B0045}</author>
    <author>tc={00480067-0007-4792-916E-003400FB0082}</author>
    <author>tc={001000D1-001C-419D-B4E3-00C700EB006C}</author>
    <author>tc={00F1004D-004B-4E3B-BAE1-0079001F00A0}</author>
    <author>tc={008D005C-00DD-42EC-ADC2-0084003700AE}</author>
    <author>tc={00840063-009D-4CDC-83F4-008D002900D9}</author>
    <author>tc={00070013-00FD-4A98-8481-00D200BE0010}</author>
    <author>tc={00CC00BB-0015-4B57-ACF3-00A800E00031}</author>
    <author>tc={0032000A-0053-48FA-A10A-0062003300BF}</author>
    <author>tc={0038006E-009B-424C-8AA2-009800FD000A}</author>
    <author>tc={000C00BC-00E3-495A-B4FE-007500970059}</author>
    <author>tc={00AA0042-0048-49EB-9E18-009D00CE00DF}</author>
    <author>tc={000200A8-0022-4EF8-8EEC-001800A4007B}</author>
    <author>tc={003400A4-001D-4FDB-8FA2-00AF00400020}</author>
    <author>tc={00DC001B-00C5-4FFD-87CD-0009001A00B4}</author>
    <author>tc={007C0028-00DB-4501-BD46-009800B80093}</author>
    <author>tc={0083007A-009A-4F63-A6EC-00F20041007F}</author>
    <author>tc={00FB00EA-0094-4947-953F-00F0002900DA}</author>
    <author>tc={004B0087-0025-46B8-B6C4-000A00F300AE}</author>
    <author>tc={007A005B-00F2-4FFB-801D-00CA002000DE}</author>
    <author>tc={00C3001A-006C-44E8-9DA5-00F2004E0033}</author>
    <author>tc={004D00D8-0062-489F-A19E-0078000A0095}</author>
    <author>tc={00E60059-0080-4A08-8E10-00F900E20055}</author>
    <author>tc={00490016-0020-4E15-B7BA-00C5002300A0}</author>
    <author>tc={0009001A-00FA-4074-9DC3-00E00008006E}</author>
    <author>tc={004A00F1-00BE-4FF5-98A4-00E600920005}</author>
    <author>tc={000B008E-00B1-496B-B74F-005800EA00A0}</author>
    <author>tc={00E20032-00BD-4074-92A7-00A7005300D4}</author>
    <author>tc={00120042-0053-4A0D-A27E-0039001200C5}</author>
    <author>tc={00870025-00A7-46E6-AF2F-00B6002800E6}</author>
    <author>tc={00020008-00BE-402E-9114-002F007D0092}</author>
    <author>tc={00310068-001E-406C-AF71-00EC00AF0011}</author>
    <author>tc={00DB0050-00AD-47F5-93C2-006A00A10031}</author>
    <author>tc={003F0043-00DB-4FAD-894C-00B6000600D5}</author>
    <author>tc={0042008A-0045-4130-BE53-003C00720059}</author>
    <author>tc={00C50092-002F-4294-B4BA-00C7007600F4}</author>
    <author>tc={007F00A1-0053-42AA-A230-000300FD00D1}</author>
    <author>tc={008B0046-007E-4732-B157-003B00570059}</author>
    <author>tc={00BC0063-009D-4AC8-B690-0013008300F1}</author>
    <author>tc={002B006D-00B0-455A-AD84-001D002B0013}</author>
    <author>tc={001D00D6-0092-44C4-A413-00F1007000AD}</author>
    <author>tc={008100A7-006B-4C90-9637-0024001200E9}</author>
    <author>tc={006A0072-0006-4F57-885A-00A300BA00EE}</author>
    <author>tc={00ED00B7-007F-4740-8932-001200900031}</author>
    <author>tc={002500D1-001A-413B-AFF4-004400A900EF}</author>
    <author>tc={004E003E-00E8-4260-B08C-004100F5002C}</author>
    <author>tc={00190065-0077-40E8-84C9-000400E100A3}</author>
    <author>tc={00E50034-005D-4BF6-8167-00A500770007}</author>
    <author>tc={00BF0066-006A-4092-AC2B-009900780006}</author>
    <author>tc={0033000E-00BA-4590-A38E-007C00A7005F}</author>
    <author>tc={0091009D-0092-4A8A-8426-002D0013009C}</author>
    <author>tc={00A600E5-000C-4AA0-AE7D-00D800430009}</author>
    <author>tc={004700D5-004E-4DE8-81E0-00E7007E0084}</author>
    <author>tc={00A800B8-0016-450C-90AE-0007005100F5}</author>
    <author>tc={00820044-00C9-4578-A95F-002C00E60029}</author>
    <author>tc={00AC0052-0066-4228-9171-0081001C000C}</author>
    <author>tc={007D0014-0098-4088-8BAE-00C2003A00E4}</author>
    <author>tc={005A009D-00BB-4F31-A182-0003001B00E9}</author>
    <author>tc={009F009C-0051-4693-AB05-000D00C900A1}</author>
    <author>tc={00680041-009E-4184-9531-004C001D006D}</author>
    <author>tc={008500DE-0049-429C-9B14-0035000400D8}</author>
    <author>tc={003E00F0-0018-479C-965B-007B00E10064}</author>
    <author>tc={00BD0014-00F4-4B4F-B339-005800FE00E2}</author>
    <author>tc={00D700FE-0094-4FFF-9EBF-005200600011}</author>
    <author>tc={00E000B9-0016-417C-AAC7-003800330098}</author>
    <author>tc={002F00D1-0067-424D-B9C7-0076003400F7}</author>
    <author>tc={002F0071-00B8-4D1D-962E-00A400290065}</author>
    <author>tc={00F000EF-00C2-4558-9FEC-00C400C40019}</author>
    <author>tc={00340052-00DD-4E3D-A95E-0024002700F5}</author>
    <author>tc={0094008E-0099-412F-A346-00C800C80012}</author>
    <author>tc={0003000F-00BA-41EA-9868-0049003200C3}</author>
    <author>tc={008C00C6-000B-4A96-8164-001B00D4007E}</author>
    <author>tc={00DA00A4-004F-4AC8-BC43-00FD00EA0032}</author>
    <author>tc={00C900DC-00C7-4D06-9B5C-0039006C0018}</author>
    <author>tc={005E00E7-00B9-40DF-8BAC-00A9002500F9}</author>
    <author>tc={004000AF-00FB-4F0D-8617-00340002008D}</author>
    <author>tc={00140087-0054-4CFC-8BF8-00B000AD00E5}</author>
    <author>tc={00800090-0038-4087-A0D1-005C00C000C1}</author>
    <author>tc={007F009A-004B-4AF2-8EF5-00640039005D}</author>
    <author>tc={00AF009B-0052-45CA-B52F-00A300CF004D}</author>
    <author>tc={00600010-00E4-469F-A7DF-005D004B00FF}</author>
    <author>tc={000100AD-00B7-48A4-81FD-0027006C00A5}</author>
    <author>tc={00A90063-00D8-4C5C-AACC-003E001100F1}</author>
    <author>tc={00580021-009F-4558-AEFF-0004000600A7}</author>
    <author>tc={000700EA-0064-4462-826F-0054007E00EA}</author>
    <author>tc={00BA0077-00E1-49C9-B457-0034001200D1}</author>
    <author>tc={003500F7-0001-498D-8449-009E00B500F2}</author>
    <author>tc={008600B7-00C7-499B-A90A-00A600FC0007}</author>
    <author>tc={00B60090-002D-47C4-B6F1-00B600E3000C}</author>
    <author>tc={003600A5-00FC-402F-8469-0004002E00E2}</author>
    <author>tc={00580019-004D-4413-B40F-0096004B00F8}</author>
    <author>tc={0030000A-00B0-4124-A82F-000000290059}</author>
    <author>tc={00D0000E-0097-4FEE-BDD9-000600C00093}</author>
    <author>tc={0007002B-00E5-4F0F-BA19-0040001300C5}</author>
    <author>tc={0068009C-00B4-4F0F-B0C8-009A00C10031}</author>
    <author>tc={00E00032-003B-474D-A85F-0031009D00DD}</author>
    <author>tc={009500BA-0047-40CF-9225-0038003800FB}</author>
    <author>tc={00110070-00B5-4AE0-82CB-008A00FA005A}</author>
    <author>tc={009C00EE-00F1-49BE-B758-0055000A0077}</author>
    <author>tc={005500BC-00CF-415A-8BB6-009D001F008E}</author>
    <author>tc={0095006C-00F9-4D3B-9086-003F00F40008}</author>
    <author>tc={002300E4-006E-46AC-8A70-00FE00F600F3}</author>
    <author>tc={00B900D3-0097-462B-8C34-00A900390079}</author>
    <author>tc={00480065-0051-4440-962C-0095007100B6}</author>
    <author>tc={00910016-008C-4B9D-B162-002000A40045}</author>
    <author>tc={00FC0052-0049-4783-A41F-006400150083}</author>
    <author>tc={00920001-00BD-434D-9A3C-005800FC0078}</author>
    <author>tc={00310090-002A-43AE-B7A6-001300210062}</author>
    <author>tc={00C000BF-00B2-453E-9AE9-006000F5003F}</author>
    <author>tc={00730087-00D5-42FA-942B-006E00F300AD}</author>
    <author>tc={00FE00B0-002D-4D9C-A189-002C00DF00D1}</author>
    <author>tc={002D002E-008E-49EE-814F-00FE00C4004F}</author>
    <author>tc={00ED0082-00AE-4E40-9640-00EF008E0083}</author>
    <author>tc={0096000F-00B3-4FC5-9763-002C00F000A1}</author>
    <author>tc={00B7002D-0064-4568-A314-00B4003B0092}</author>
    <author>tc={003D0043-00E2-4BB9-BAE8-00B4002B0028}</author>
    <author>tc={0083009D-0080-4AE1-BD91-00FE00330070}</author>
    <author>tc={000E00CB-002E-4A7C-8C45-001F00C90070}</author>
    <author>tc={000C0089-006A-4EE4-BA94-003D007F0069}</author>
    <author>tc={0090008B-0066-4E20-835C-0023003D0095}</author>
    <author>tc={007B00FE-00DE-4A0A-85B7-0041008A0099}</author>
    <author>tc={00B40033-007C-4D4B-A6D0-00B0001D00A8}</author>
    <author>tc={006F00EC-000E-4DDA-9022-0085007000FB}</author>
    <author>tc={000F00FC-0049-4F75-9C7E-00BD000F004C}</author>
    <author>tc={00C40058-0088-451C-BC39-008A003D00D3}</author>
    <author>tc={008000A4-001B-4B85-A5F1-00E8000900A5}</author>
    <author>tc={008400D4-004C-4B38-A7A5-00600029008B}</author>
    <author>tc={00AE00DF-00EC-45DB-A9DD-00F00092005B}</author>
    <author>tc={0096000A-00E4-49F1-BA97-008B0069002A}</author>
    <author>tc={009900F2-002A-480E-A94D-008600F200ED}</author>
    <author>tc={00F90010-00D3-4F9E-8AEB-00FF00520054}</author>
    <author>tc={001600EE-00A9-47EC-B551-00CA00000065}</author>
    <author>tc={004B009B-0066-475E-A779-005C007A0013}</author>
    <author>tc={00A00000-00AF-454C-9B17-00BD00210059}</author>
    <author>tc={0038009A-003C-46D3-8462-002C00FF0002}</author>
    <author>tc={0020003F-0067-4B0D-88FC-00790064003C}</author>
    <author>tc={005B008A-00C0-4402-952B-0025009B00E1}</author>
    <author>tc={00F900CD-00C2-46F7-A720-00C2004700E1}</author>
    <author>tc={007100CD-0033-4535-8873-009900F900C2}</author>
    <author>tc={008F00C5-00D9-42AE-B1BF-009A00460097}</author>
    <author>tc={008C00D1-0059-44AA-A090-00CF00EA0074}</author>
    <author>tc={00180091-0087-4856-80BF-00B9009300A1}</author>
    <author>tc={00F50027-007A-4D5E-9E8C-00AD002A0080}</author>
    <author>tc={000F00FE-0060-419A-9892-009A00C100C1}</author>
    <author>tc={00C80081-0057-4827-B4BF-008500CD004A}</author>
    <author>tc={00420058-00F1-4CC1-BEDC-0060003A00EA}</author>
    <author>tc={0041006F-001F-4F80-9ECF-00F80005001B}</author>
    <author>tc={00B4008A-00AE-4A69-A16F-00B0000900E1}</author>
    <author>tc={0051006B-002A-4A67-A63C-00A90010007C}</author>
    <author>tc={00D70068-00EA-4ABC-862C-009200CB0064}</author>
    <author>tc={006000B1-00C0-487F-A0A9-0051006000F0}</author>
    <author>tc={008B00E7-0066-460F-A004-00DC006100C9}</author>
    <author>tc={001E002F-0099-45BA-8E0F-002E00900076}</author>
    <author>tc={009B00F8-00AC-4DAB-9FCF-004400C10064}</author>
    <author>tc={00D200EC-00BC-4109-8E12-000B0049000C}</author>
    <author>tc={00A500B8-00EC-482F-B5F4-000500C8001D}</author>
    <author>tc={00E50055-00B2-4F80-BCD9-008300E7007C}</author>
    <author>tc={005200BA-00FD-4D46-AE29-000500990073}</author>
    <author>tc={009F0022-00CB-4482-AE8F-00DE00C50046}</author>
    <author>tc={00900068-0085-4E14-ADFB-00CC00270093}</author>
    <author>tc={001B004E-00E8-42D4-B147-002E00D700B5}</author>
    <author>tc={008B00CF-008C-44F7-B8A9-006A002C00AE}</author>
    <author>tc={008D0058-00B5-4921-836D-004D009C00B4}</author>
    <author>tc={00120011-003A-4264-ACFA-00EC007C0022}</author>
    <author>tc={00BC00E9-0012-4008-BE41-0042007C0067}</author>
    <author>tc={00420029-0018-4020-88FB-00CA00D500FC}</author>
    <author>tc={00B7000B-004A-4850-AFD1-003900150094}</author>
    <author>tc={000D008B-00FF-4A5F-ABF4-0015004D00C6}</author>
    <author>tc={00E900AF-0038-46ED-94C5-00DC00100036}</author>
    <author>tc={00260071-004A-4892-8D7C-0021007A000E}</author>
    <author>tc={00BB0067-0029-4CF4-A346-001E00AA0060}</author>
    <author>tc={00B100E4-0015-477B-97F6-008A007C0077}</author>
    <author>tc={000700FC-0083-45F9-A084-00D400C00025}</author>
    <author>tc={00C800B5-00A6-4068-81D6-0035001D00FD}</author>
    <author>tc={00740000-00DF-45FD-917D-007800D40050}</author>
    <author>tc={00C50088-002F-449F-9969-004B008A005B}</author>
    <author>tc={00DD00EF-00D3-49E0-9296-00D7005C00EF}</author>
    <author>tc={001C0021-0022-40CB-94DC-006D002500F1}</author>
    <author>tc={00D30068-0061-4778-9C97-0061009900F6}</author>
    <author>tc={00D2004F-0033-4CE2-BBB9-00AA00B300EB}</author>
    <author>tc={00EB004D-00AA-46FA-8489-00BA0027008F}</author>
    <author>tc={00D300B6-0065-45DC-9C16-004400BA00CF}</author>
    <author>tc={0063004A-002F-4978-B980-00C7001700FE}</author>
    <author>tc={00B70097-003D-4327-937C-00EE00F400E3}</author>
    <author>tc={00CB004A-0073-4DFC-AEEF-002600520064}</author>
    <author>tc={00F300DD-001C-4FF4-8640-0065008F002D}</author>
    <author>tc={00B6000F-00B3-48D3-814B-006900A40033}</author>
    <author>tc={009F0086-0013-473B-BB25-007C00FD00A8}</author>
    <author>tc={004E002C-0049-4D20-9219-00FE00AD0065}</author>
    <author>tc={00E100BF-0035-41AE-80FB-0058009200D8}</author>
    <author>tc={00580075-00DA-46F2-8633-005400DF009A}</author>
    <author>tc={009400F6-00E6-4BBC-9869-00B900730087}</author>
    <author>tc={005C0007-0020-4383-8DD8-0061004E0078}</author>
    <author>tc={00CC00AA-006B-4932-8C6E-000800950049}</author>
    <author>tc={00600095-0017-4DD9-B457-00A200FE004A}</author>
    <author>tc={00AC00DB-00FE-4D34-9F1C-0008004E008A}</author>
    <author>tc={00A6002B-00DA-4A5D-9889-00D2003C004C}</author>
    <author>tc={00EA006D-0077-419F-B363-00CC0034006F}</author>
    <author>tc={00B100AF-00BC-4726-9FD3-0027000F0075}</author>
    <author>tc={000200EB-00D3-42B6-B3FA-00F800B7000A}</author>
  </authors>
  <commentList>
    <comment ref="D38" authorId="0" shapeId="0">
      <text>
        <r>
          <rPr>
            <b/>
            <sz val="9"/>
            <rFont val="Tahoma"/>
          </rPr>
          <t>Jana Holíková:</t>
        </r>
        <r>
          <rPr>
            <sz val="9"/>
            <rFont val="Tahoma"/>
          </rPr>
          <t xml:space="preserve">
24049/04 +16.435.050
</t>
        </r>
      </text>
    </comment>
    <comment ref="D42" authorId="1" shapeId="0">
      <text>
        <r>
          <rPr>
            <b/>
            <sz val="9"/>
            <rFont val="Tahoma"/>
          </rPr>
          <t>Jana Holíková:</t>
        </r>
        <r>
          <rPr>
            <sz val="9"/>
            <rFont val="Tahoma"/>
          </rPr>
          <t xml:space="preserve">
24045.03 +32.200
</t>
        </r>
      </text>
    </comment>
    <comment ref="D61" authorId="2" shapeId="0">
      <text>
        <r>
          <rPr>
            <b/>
            <sz val="9"/>
            <rFont val="Tahoma"/>
          </rPr>
          <t>Jana Holíková:</t>
        </r>
        <r>
          <rPr>
            <sz val="9"/>
            <rFont val="Tahoma"/>
          </rPr>
          <t xml:space="preserve">
24045/03 +3.000.000
</t>
        </r>
      </text>
    </comment>
    <comment ref="D62" authorId="3" shapeId="0">
      <text>
        <r>
          <rPr>
            <b/>
            <sz val="9"/>
            <rFont val="Tahoma"/>
          </rPr>
          <t>Jana Holíková:</t>
        </r>
        <r>
          <rPr>
            <sz val="9"/>
            <rFont val="Tahoma"/>
          </rPr>
          <t xml:space="preserve">
24045/03 +3.000.000
</t>
        </r>
      </text>
    </comment>
    <comment ref="D63" authorId="4" shapeId="0">
      <text>
        <r>
          <rPr>
            <b/>
            <sz val="9"/>
            <rFont val="Tahoma"/>
          </rPr>
          <t>Jana Holíková:</t>
        </r>
        <r>
          <rPr>
            <sz val="9"/>
            <rFont val="Tahoma"/>
          </rPr>
          <t xml:space="preserve">
24045/03 +3.000.000
</t>
        </r>
      </text>
    </comment>
    <comment ref="D80" authorId="5" shapeId="0">
      <text>
        <r>
          <rPr>
            <b/>
            <sz val="9"/>
            <rFont val="Tahoma"/>
          </rPr>
          <t>Jana Holíková:</t>
        </r>
        <r>
          <rPr>
            <sz val="9"/>
            <rFont val="Tahoma"/>
          </rPr>
          <t xml:space="preserve">
24012/01 +192.228 (309)
24046/04
+1.009.024,72 (0501)
+ 835.189,98 (0504)
24048/04 -1.196
</t>
        </r>
      </text>
    </comment>
    <comment ref="D91" authorId="6" shapeId="0">
      <text>
        <r>
          <rPr>
            <b/>
            <sz val="9"/>
            <rFont val="Tahoma"/>
          </rPr>
          <t>Jana Holíková:</t>
        </r>
        <r>
          <rPr>
            <sz val="9"/>
            <rFont val="Tahoma"/>
          </rPr>
          <t xml:space="preserve">
24017/02 +289.333
</t>
        </r>
      </text>
    </comment>
    <comment ref="D92" authorId="7" shapeId="0">
      <text>
        <r>
          <rPr>
            <b/>
            <sz val="9"/>
            <rFont val="Tahoma"/>
          </rPr>
          <t>Jana Holíková:</t>
        </r>
        <r>
          <rPr>
            <sz val="9"/>
            <rFont val="Tahoma"/>
          </rPr>
          <t xml:space="preserve">
24017/02 +289.333
</t>
        </r>
      </text>
    </comment>
    <comment ref="D106" authorId="8" shapeId="0">
      <text>
        <r>
          <rPr>
            <b/>
            <sz val="9"/>
            <rFont val="Tahoma"/>
          </rPr>
          <t>Jana Holíková:</t>
        </r>
        <r>
          <rPr>
            <sz val="9"/>
            <rFont val="Tahoma"/>
          </rPr>
          <t xml:space="preserve">
24045/03 +50.700
</t>
        </r>
      </text>
    </comment>
    <comment ref="D112" authorId="9" shapeId="0">
      <text>
        <r>
          <rPr>
            <b/>
            <sz val="9"/>
            <rFont val="Tahoma"/>
          </rPr>
          <t>Jana Holíková:</t>
        </r>
        <r>
          <rPr>
            <sz val="9"/>
            <rFont val="Tahoma"/>
          </rPr>
          <t xml:space="preserve">
24045/03 +1.600.000
</t>
        </r>
      </text>
    </comment>
    <comment ref="D113" authorId="10" shapeId="0">
      <text>
        <r>
          <rPr>
            <b/>
            <sz val="9"/>
            <rFont val="Tahoma"/>
          </rPr>
          <t>Jana Holíková:</t>
        </r>
        <r>
          <rPr>
            <sz val="9"/>
            <rFont val="Tahoma"/>
          </rPr>
          <t xml:space="preserve">
24015/02 
+13.779,02 (0309)
+87.878,61 (0305)
+201.127,47 (0307)
</t>
        </r>
      </text>
    </comment>
    <comment ref="D114" authorId="11" shapeId="0">
      <text>
        <r>
          <rPr>
            <b/>
            <sz val="9"/>
            <rFont val="Tahoma"/>
          </rPr>
          <t>Jana Holíková:</t>
        </r>
        <r>
          <rPr>
            <sz val="9"/>
            <rFont val="Tahoma"/>
          </rPr>
          <t xml:space="preserve">
24015/02 +236.709,36
</t>
        </r>
      </text>
    </comment>
    <comment ref="D115" authorId="12" shapeId="0">
      <text>
        <r>
          <rPr>
            <b/>
            <sz val="9"/>
            <rFont val="Tahoma"/>
          </rPr>
          <t>Jana Holíková:</t>
        </r>
        <r>
          <rPr>
            <sz val="9"/>
            <rFont val="Tahoma"/>
          </rPr>
          <t xml:space="preserve">
24015/02 +159.713,55
</t>
        </r>
      </text>
    </comment>
    <comment ref="D116" authorId="13" shapeId="0">
      <text>
        <r>
          <rPr>
            <b/>
            <sz val="9"/>
            <rFont val="Tahoma"/>
          </rPr>
          <t>Jana Holíková:</t>
        </r>
        <r>
          <rPr>
            <sz val="9"/>
            <rFont val="Tahoma"/>
          </rPr>
          <t xml:space="preserve">
24015/02 +391.374,39
</t>
        </r>
      </text>
    </comment>
    <comment ref="D117" authorId="14" shapeId="0">
      <text>
        <r>
          <rPr>
            <b/>
            <sz val="9"/>
            <rFont val="Tahoma"/>
          </rPr>
          <t>Jana Holíková:</t>
        </r>
        <r>
          <rPr>
            <sz val="9"/>
            <rFont val="Tahoma"/>
          </rPr>
          <t xml:space="preserve">
24026.03 +3.226.272,84
</t>
        </r>
      </text>
    </comment>
    <comment ref="D119" authorId="15" shapeId="0">
      <text>
        <r>
          <rPr>
            <b/>
            <sz val="9"/>
            <rFont val="Tahoma"/>
          </rPr>
          <t>Jana Holíková:</t>
        </r>
        <r>
          <rPr>
            <sz val="9"/>
            <rFont val="Tahoma"/>
          </rPr>
          <t xml:space="preserve">
24045/03 +25.251
</t>
        </r>
      </text>
    </comment>
    <comment ref="D120" authorId="16" shapeId="0">
      <text>
        <r>
          <rPr>
            <b/>
            <sz val="9"/>
            <rFont val="Tahoma"/>
          </rPr>
          <t>Jana Holíková:</t>
        </r>
        <r>
          <rPr>
            <sz val="9"/>
            <rFont val="Tahoma"/>
          </rPr>
          <t xml:space="preserve">
24045/03 org 1180
+74.693,50  § 3111
+40.293      § 3113
</t>
        </r>
      </text>
    </comment>
    <comment ref="D121" authorId="17" shapeId="0">
      <text>
        <r>
          <rPr>
            <b/>
            <sz val="9"/>
            <rFont val="Tahoma"/>
          </rPr>
          <t>Jana Holíková:</t>
        </r>
        <r>
          <rPr>
            <sz val="9"/>
            <rFont val="Tahoma"/>
          </rPr>
          <t xml:space="preserve">
24045/03 +900.000
</t>
        </r>
      </text>
    </comment>
    <comment ref="D122" authorId="18" shapeId="0">
      <text>
        <r>
          <rPr>
            <b/>
            <sz val="9"/>
            <rFont val="Tahoma"/>
          </rPr>
          <t>Jana Holíková:</t>
        </r>
        <r>
          <rPr>
            <sz val="9"/>
            <rFont val="Tahoma"/>
          </rPr>
          <t xml:space="preserve">
24022/02  0321
+ 1.835,40  253 1441
+16.518,60 911 1445
</t>
        </r>
      </text>
    </comment>
    <comment ref="D123" authorId="19" shapeId="0">
      <text>
        <r>
          <rPr>
            <b/>
            <sz val="9"/>
            <rFont val="Tahoma"/>
          </rPr>
          <t>Jana Holíková:</t>
        </r>
        <r>
          <rPr>
            <sz val="9"/>
            <rFont val="Tahoma"/>
          </rPr>
          <t xml:space="preserve">
24039/03 
+ 5.068,40 úz 253 1441
+45.615,60 úz 911 1445
</t>
        </r>
      </text>
    </comment>
    <comment ref="D124" authorId="20" shapeId="0">
      <text>
        <r>
          <rPr>
            <b/>
            <sz val="9"/>
            <rFont val="Tahoma"/>
          </rPr>
          <t>Jana Holíková:</t>
        </r>
        <r>
          <rPr>
            <sz val="9"/>
            <rFont val="Tahoma"/>
          </rPr>
          <t xml:space="preserve">
24040/03 
+ 4.089 úz 253 1441
+36.801 úz 911 1445
</t>
        </r>
      </text>
    </comment>
    <comment ref="D126" authorId="21" shapeId="0">
      <text>
        <r>
          <rPr>
            <b/>
            <sz val="9"/>
            <rFont val="Tahoma"/>
          </rPr>
          <t>Jana Holíková:</t>
        </r>
        <r>
          <rPr>
            <sz val="9"/>
            <rFont val="Tahoma"/>
          </rPr>
          <t xml:space="preserve">
24014/02 
-50.000 (741)
+50.000 (528)
24023/02 
-50.000 (741)
+50.000 (416)
</t>
        </r>
      </text>
    </comment>
    <comment ref="D127" authorId="22" shapeId="0">
      <text>
        <r>
          <rPr>
            <b/>
            <sz val="9"/>
            <rFont val="Tahoma"/>
          </rPr>
          <t>Jana Holíková:</t>
        </r>
        <r>
          <rPr>
            <sz val="9"/>
            <rFont val="Tahoma"/>
          </rPr>
          <t xml:space="preserve">
24052/04 +112.397
24074/06 +186.860
</t>
        </r>
      </text>
    </comment>
    <comment ref="D133" authorId="23" shapeId="0">
      <text>
        <r>
          <rPr>
            <b/>
            <sz val="9"/>
            <rFont val="Tahoma"/>
          </rPr>
          <t>Jana Holíková:</t>
        </r>
        <r>
          <rPr>
            <sz val="9"/>
            <rFont val="Tahoma"/>
          </rPr>
          <t xml:space="preserve">
24045/03 +180.000
</t>
        </r>
      </text>
    </comment>
    <comment ref="D135" authorId="24" shapeId="0">
      <text>
        <r>
          <rPr>
            <b/>
            <sz val="9"/>
            <rFont val="Tahoma"/>
          </rPr>
          <t>Jana Holíková:</t>
        </r>
        <r>
          <rPr>
            <sz val="9"/>
            <rFont val="Tahoma"/>
          </rPr>
          <t xml:space="preserve">
24005/01 +250.000
</t>
        </r>
      </text>
    </comment>
    <comment ref="D137" authorId="25" shapeId="0">
      <text>
        <r>
          <rPr>
            <b/>
            <sz val="9"/>
            <rFont val="Tahoma"/>
          </rPr>
          <t>Jana Holíková:</t>
        </r>
        <r>
          <rPr>
            <sz val="9"/>
            <rFont val="Tahoma"/>
          </rPr>
          <t xml:space="preserve">
24044/03 -3.000.000
</t>
        </r>
      </text>
    </comment>
    <comment ref="D138" authorId="26" shapeId="0">
      <text>
        <r>
          <rPr>
            <b/>
            <sz val="9"/>
            <rFont val="Tahoma"/>
          </rPr>
          <t>Jana Holíková:</t>
        </r>
        <r>
          <rPr>
            <sz val="9"/>
            <rFont val="Tahoma"/>
          </rPr>
          <t xml:space="preserve">
24044/03 +3.000.000
</t>
        </r>
      </text>
    </comment>
    <comment ref="D139" authorId="27" shapeId="0">
      <text>
        <r>
          <rPr>
            <b/>
            <sz val="9"/>
            <rFont val="Tahoma"/>
          </rPr>
          <t>Jana Holíková:</t>
        </r>
        <r>
          <rPr>
            <sz val="9"/>
            <rFont val="Tahoma"/>
          </rPr>
          <t xml:space="preserve">
24045/03 +1.000
</t>
        </r>
      </text>
    </comment>
    <comment ref="D149" authorId="28" shapeId="0">
      <text>
        <r>
          <rPr>
            <b/>
            <sz val="9"/>
            <rFont val="Tahoma"/>
          </rPr>
          <t>Jana Holíková:</t>
        </r>
        <r>
          <rPr>
            <sz val="9"/>
            <rFont val="Tahoma"/>
          </rPr>
          <t xml:space="preserve">
24045/03 +250.000
</t>
        </r>
      </text>
    </comment>
    <comment ref="D152" authorId="29" shapeId="0">
      <text>
        <r>
          <rPr>
            <b/>
            <sz val="9"/>
            <rFont val="Tahoma"/>
          </rPr>
          <t>Jana Holíková:</t>
        </r>
        <r>
          <rPr>
            <sz val="9"/>
            <rFont val="Tahoma"/>
          </rPr>
          <t xml:space="preserve">
24045/03 -250.000 chata Jič
</t>
        </r>
      </text>
    </comment>
    <comment ref="D162" authorId="30" shapeId="0">
      <text>
        <r>
          <rPr>
            <b/>
            <sz val="9"/>
            <rFont val="Tahoma"/>
          </rPr>
          <t>Jana Holíková:</t>
        </r>
        <r>
          <rPr>
            <sz val="9"/>
            <rFont val="Tahoma"/>
          </rPr>
          <t xml:space="preserve">
24065/05 -500.000 EP 
</t>
        </r>
      </text>
    </comment>
    <comment ref="D163" authorId="31" shapeId="0">
      <text>
        <r>
          <rPr>
            <b/>
            <sz val="9"/>
            <rFont val="Tahoma"/>
          </rPr>
          <t>Jana Holíková:</t>
        </r>
        <r>
          <rPr>
            <sz val="9"/>
            <rFont val="Tahoma"/>
          </rPr>
          <t xml:space="preserve">
24073/06 +16.164.266,27 
</t>
        </r>
      </text>
    </comment>
    <comment ref="D179" authorId="32" shapeId="0">
      <text>
        <r>
          <rPr>
            <b/>
            <sz val="9"/>
            <rFont val="Tahoma"/>
          </rPr>
          <t>Jana Holíková:</t>
        </r>
        <r>
          <rPr>
            <sz val="9"/>
            <rFont val="Tahoma"/>
          </rPr>
          <t xml:space="preserve">
24005/01 -522.932
</t>
        </r>
      </text>
    </comment>
    <comment ref="D180" authorId="33" shapeId="0">
      <text>
        <r>
          <rPr>
            <b/>
            <sz val="9"/>
            <rFont val="Tahoma"/>
          </rPr>
          <t>Jana Holíková:</t>
        </r>
        <r>
          <rPr>
            <sz val="9"/>
            <rFont val="Tahoma"/>
          </rPr>
          <t xml:space="preserve">
24062/05-400.000
</t>
        </r>
      </text>
    </comment>
    <comment ref="D181" authorId="34" shapeId="0">
      <text>
        <r>
          <rPr>
            <b/>
            <sz val="9"/>
            <rFont val="Tahoma"/>
          </rPr>
          <t>Jana Holíková:</t>
        </r>
        <r>
          <rPr>
            <sz val="9"/>
            <rFont val="Tahoma"/>
          </rPr>
          <t xml:space="preserve">
24072/05 -1.002.336,01
</t>
        </r>
      </text>
    </comment>
    <comment ref="D187" authorId="35" shapeId="0">
      <text>
        <r>
          <rPr>
            <b/>
            <sz val="9"/>
            <rFont val="Tahoma"/>
          </rPr>
          <t>Jana Holíková:</t>
        </r>
        <r>
          <rPr>
            <sz val="9"/>
            <rFont val="Tahoma"/>
          </rPr>
          <t xml:space="preserve">
24018/02 +124.612,64
24050/04 +-124.612,64
</t>
        </r>
      </text>
    </comment>
    <comment ref="D188" authorId="36" shapeId="0">
      <text>
        <r>
          <rPr>
            <b/>
            <sz val="9"/>
            <rFont val="Tahoma"/>
          </rPr>
          <t>Jana Holíková:</t>
        </r>
        <r>
          <rPr>
            <sz val="9"/>
            <rFont val="Tahoma"/>
          </rPr>
          <t xml:space="preserve">
24065/05 +724.000
</t>
        </r>
      </text>
    </comment>
    <comment ref="D191" authorId="37" shapeId="0">
      <text>
        <r>
          <rPr>
            <b/>
            <sz val="9"/>
            <rFont val="Tahoma"/>
          </rPr>
          <t>Jana Holíková:</t>
        </r>
        <r>
          <rPr>
            <sz val="9"/>
            <rFont val="Tahoma"/>
          </rPr>
          <t xml:space="preserve">
24018/02 +625.431,35
</t>
        </r>
      </text>
    </comment>
    <comment ref="D193" authorId="38" shapeId="0">
      <text>
        <r>
          <rPr>
            <b/>
            <sz val="9"/>
            <rFont val="Tahoma"/>
          </rPr>
          <t>Jana Holíková:</t>
        </r>
        <r>
          <rPr>
            <sz val="9"/>
            <rFont val="Tahoma"/>
          </rPr>
          <t xml:space="preserve">
24066/05 
+   261.245,45 úz17084 1491
+4.441.172,63 úz17085 1495
</t>
        </r>
      </text>
    </comment>
    <comment ref="D194" authorId="39" shapeId="0">
      <text>
        <r>
          <rPr>
            <b/>
            <sz val="9"/>
            <rFont val="Tahoma"/>
          </rPr>
          <t>Jana Holíková:</t>
        </r>
        <r>
          <rPr>
            <sz val="9"/>
            <rFont val="Tahoma"/>
          </rPr>
          <t xml:space="preserve">
24072/05 
+   61.704,81 úz17085 1495
</t>
        </r>
      </text>
    </comment>
    <comment ref="D195" authorId="40" shapeId="0">
      <text>
        <r>
          <rPr>
            <b/>
            <sz val="9"/>
            <rFont val="Tahoma"/>
          </rPr>
          <t>Jana Holíková:</t>
        </r>
        <r>
          <rPr>
            <sz val="9"/>
            <rFont val="Tahoma"/>
          </rPr>
          <t xml:space="preserve">
24062/05 +400.000
</t>
        </r>
      </text>
    </comment>
    <comment ref="D202" authorId="41" shapeId="0">
      <text>
        <r>
          <rPr>
            <b/>
            <sz val="9"/>
            <rFont val="Tahoma"/>
          </rPr>
          <t>Jana Holíková:</t>
        </r>
        <r>
          <rPr>
            <sz val="9"/>
            <rFont val="Tahoma"/>
          </rPr>
          <t xml:space="preserve">
24041/03 -+ 354.926
z ORJ 541 na 029
</t>
        </r>
      </text>
    </comment>
    <comment ref="D207" authorId="42" shapeId="0">
      <text>
        <r>
          <rPr>
            <b/>
            <sz val="9"/>
            <rFont val="Tahoma"/>
          </rPr>
          <t>Jana Holíková:</t>
        </r>
        <r>
          <rPr>
            <sz val="9"/>
            <rFont val="Tahoma"/>
          </rPr>
          <t xml:space="preserve">
24001/01 +4.743.000
</t>
        </r>
      </text>
    </comment>
    <comment ref="D208" authorId="43" shapeId="0">
      <text>
        <r>
          <rPr>
            <b/>
            <sz val="9"/>
            <rFont val="Tahoma"/>
          </rPr>
          <t>Jana Holíková:</t>
        </r>
        <r>
          <rPr>
            <sz val="9"/>
            <rFont val="Tahoma"/>
          </rPr>
          <t xml:space="preserve">
24056/04 +80.000
</t>
        </r>
      </text>
    </comment>
    <comment ref="D209" authorId="44" shapeId="0">
      <text>
        <r>
          <rPr>
            <b/>
            <sz val="9"/>
            <rFont val="Tahoma"/>
          </rPr>
          <t>Jana Holíková:</t>
        </r>
        <r>
          <rPr>
            <sz val="9"/>
            <rFont val="Tahoma"/>
          </rPr>
          <t xml:space="preserve">
24055/04 +210.200
</t>
        </r>
      </text>
    </comment>
    <comment ref="D210" authorId="45" shapeId="0">
      <text>
        <r>
          <rPr>
            <b/>
            <sz val="9"/>
            <rFont val="Tahoma"/>
          </rPr>
          <t>Jana Holíková:</t>
        </r>
        <r>
          <rPr>
            <sz val="9"/>
            <rFont val="Tahoma"/>
          </rPr>
          <t xml:space="preserve">
24030/03 
+ 3.419,60  úz253 1441
+30.776,40 úz911 1445
</t>
        </r>
      </text>
    </comment>
    <comment ref="D211" authorId="46" shapeId="0">
      <text>
        <r>
          <rPr>
            <b/>
            <sz val="9"/>
            <rFont val="Tahoma"/>
          </rPr>
          <t>Jana Holíková:</t>
        </r>
        <r>
          <rPr>
            <sz val="9"/>
            <rFont val="Tahoma"/>
          </rPr>
          <t xml:space="preserve">
24027/03 
+ 4.890  úz253 1441
+44.010 úz911 1445
</t>
        </r>
      </text>
    </comment>
    <comment ref="D212" authorId="47" shapeId="0">
      <text>
        <r>
          <rPr>
            <b/>
            <sz val="9"/>
            <rFont val="Tahoma"/>
          </rPr>
          <t>Jana Holíková:</t>
        </r>
        <r>
          <rPr>
            <sz val="9"/>
            <rFont val="Tahoma"/>
          </rPr>
          <t xml:space="preserve">
24027/03 
+ 7.519  úz253 1441
+67.671 úz911 1445
</t>
        </r>
      </text>
    </comment>
    <comment ref="D213" authorId="48" shapeId="0">
      <text>
        <r>
          <rPr>
            <b/>
            <sz val="9"/>
            <rFont val="Tahoma"/>
          </rPr>
          <t>Jana Holíková:</t>
        </r>
        <r>
          <rPr>
            <sz val="9"/>
            <rFont val="Tahoma"/>
          </rPr>
          <t xml:space="preserve">
24029/03 
+ 6.180  úz253 1441
+55.620 úz911 1445
</t>
        </r>
      </text>
    </comment>
    <comment ref="D215" authorId="49" shapeId="0">
      <text>
        <r>
          <rPr>
            <b/>
            <sz val="9"/>
            <rFont val="Tahoma"/>
          </rPr>
          <t>Jana Holíková:</t>
        </r>
        <r>
          <rPr>
            <sz val="9"/>
            <rFont val="Tahoma"/>
          </rPr>
          <t xml:space="preserve">
24031/03 +4.573.000
24570/05
oprava úz na 914
</t>
        </r>
      </text>
    </comment>
    <comment ref="D223" authorId="50" shapeId="0">
      <text>
        <r>
          <rPr>
            <b/>
            <sz val="9"/>
            <rFont val="Tahoma"/>
          </rPr>
          <t>Jana Holíková:</t>
        </r>
        <r>
          <rPr>
            <sz val="9"/>
            <rFont val="Tahoma"/>
          </rPr>
          <t xml:space="preserve">
24066/05 
+  336.616,61 úz17518 1491
+5.722.482,44 úz17519 1495
</t>
        </r>
      </text>
    </comment>
    <comment ref="D224" authorId="51" shapeId="0">
      <text>
        <r>
          <rPr>
            <b/>
            <sz val="9"/>
            <rFont val="Tahoma"/>
          </rPr>
          <t>Jana Holíková:</t>
        </r>
        <r>
          <rPr>
            <sz val="9"/>
            <rFont val="Tahoma"/>
          </rPr>
          <t xml:space="preserve">
24072/05 
+  881.497,39 úz17519 1495
</t>
        </r>
      </text>
    </comment>
    <comment ref="D225" authorId="52" shapeId="0">
      <text>
        <r>
          <rPr>
            <b/>
            <sz val="9"/>
            <rFont val="Tahoma"/>
          </rPr>
          <t>Jana Holíková:</t>
        </r>
        <r>
          <rPr>
            <sz val="9"/>
            <rFont val="Tahoma"/>
          </rPr>
          <t xml:space="preserve">
24035/03 + 5.514.060
</t>
        </r>
      </text>
    </comment>
    <comment ref="D227" authorId="53" shapeId="0">
      <text>
        <r>
          <rPr>
            <b/>
            <sz val="9"/>
            <rFont val="Tahoma"/>
          </rPr>
          <t>Jana Holíková:</t>
        </r>
        <r>
          <rPr>
            <sz val="9"/>
            <rFont val="Tahoma"/>
          </rPr>
          <t xml:space="preserve">
24057/04 +300.000
</t>
        </r>
      </text>
    </comment>
    <comment ref="D235" authorId="54" shapeId="0">
      <text>
        <r>
          <rPr>
            <b/>
            <sz val="9"/>
            <rFont val="Tahoma"/>
          </rPr>
          <t>Jana Holíková:</t>
        </r>
        <r>
          <rPr>
            <sz val="9"/>
            <rFont val="Tahoma"/>
          </rPr>
          <t xml:space="preserve">
24073 -+16.164.266,27
</t>
        </r>
      </text>
    </comment>
    <comment ref="D249" authorId="55" shapeId="0">
      <text>
        <r>
          <rPr>
            <b/>
            <sz val="9"/>
            <rFont val="Tahoma"/>
          </rPr>
          <t>Jana Holíková:</t>
        </r>
        <r>
          <rPr>
            <sz val="9"/>
            <rFont val="Tahoma"/>
          </rPr>
          <t xml:space="preserve">
24009/01 -200.000
</t>
        </r>
      </text>
    </comment>
    <comment ref="D251" authorId="56" shapeId="0">
      <text>
        <r>
          <rPr>
            <b/>
            <sz val="9"/>
            <rFont val="Tahoma"/>
          </rPr>
          <t>Jana Holíková:</t>
        </r>
        <r>
          <rPr>
            <sz val="9"/>
            <rFont val="Tahoma"/>
          </rPr>
          <t xml:space="preserve">
24009/01 -1.500.000
</t>
        </r>
      </text>
    </comment>
    <comment ref="D262" authorId="57" shapeId="0">
      <text>
        <r>
          <rPr>
            <b/>
            <sz val="9"/>
            <rFont val="Tahoma"/>
          </rPr>
          <t>Jana Holíková:</t>
        </r>
        <r>
          <rPr>
            <sz val="9"/>
            <rFont val="Tahoma"/>
          </rPr>
          <t xml:space="preserve">
24508/01 -42.086
</t>
        </r>
      </text>
    </comment>
    <comment ref="D263" authorId="58" shapeId="0">
      <text>
        <r>
          <rPr>
            <b/>
            <sz val="9"/>
            <rFont val="Tahoma"/>
          </rPr>
          <t>Jana Holíková:</t>
        </r>
        <r>
          <rPr>
            <sz val="9"/>
            <rFont val="Tahoma"/>
          </rPr>
          <t xml:space="preserve">
24508/01 +42.086
</t>
        </r>
      </text>
    </comment>
    <comment ref="D268" authorId="59" shapeId="0">
      <text>
        <r>
          <rPr>
            <b/>
            <sz val="9"/>
            <rFont val="Tahoma"/>
          </rPr>
          <t>Jana Holíková:</t>
        </r>
        <r>
          <rPr>
            <sz val="9"/>
            <rFont val="Tahoma"/>
          </rPr>
          <t xml:space="preserve">
24076/06 -353.320
</t>
        </r>
      </text>
    </comment>
    <comment ref="D273" authorId="60" shapeId="0">
      <text>
        <r>
          <rPr>
            <b/>
            <sz val="9"/>
            <rFont val="Tahoma"/>
          </rPr>
          <t>Jana Holíková:</t>
        </r>
        <r>
          <rPr>
            <sz val="9"/>
            <rFont val="Tahoma"/>
          </rPr>
          <t xml:space="preserve">
24060/05 +1.100.000
lávka Novosady
</t>
        </r>
      </text>
    </comment>
    <comment ref="D279" authorId="61" shapeId="0">
      <text>
        <r>
          <rPr>
            <b/>
            <sz val="9"/>
            <rFont val="Tahoma"/>
          </rPr>
          <t>Jana Holíková:</t>
        </r>
        <r>
          <rPr>
            <sz val="9"/>
            <rFont val="Tahoma"/>
          </rPr>
          <t xml:space="preserve">
24010/01 +100.000
24580/06 +76.452,36
</t>
        </r>
      </text>
    </comment>
    <comment ref="D282" authorId="62" shapeId="0">
      <text>
        <r>
          <rPr>
            <b/>
            <sz val="9"/>
            <rFont val="Tahoma"/>
          </rPr>
          <t>Jana Holíková:</t>
        </r>
        <r>
          <rPr>
            <sz val="9"/>
            <rFont val="Tahoma"/>
          </rPr>
          <t xml:space="preserve">
24580/06 -76.452,36
</t>
        </r>
      </text>
    </comment>
    <comment ref="D283" authorId="63" shapeId="0">
      <text>
        <r>
          <rPr>
            <b/>
            <sz val="9"/>
            <rFont val="Tahoma"/>
          </rPr>
          <t>Jana Holíková:</t>
        </r>
        <r>
          <rPr>
            <sz val="9"/>
            <rFont val="Tahoma"/>
          </rPr>
          <t xml:space="preserve">
24019/02 +266.805
</t>
        </r>
      </text>
    </comment>
    <comment ref="D285" authorId="64" shapeId="0">
      <text>
        <r>
          <rPr>
            <b/>
            <sz val="9"/>
            <rFont val="Tahoma"/>
          </rPr>
          <t>Jana Holíková:</t>
        </r>
        <r>
          <rPr>
            <sz val="9"/>
            <rFont val="Tahoma"/>
          </rPr>
          <t xml:space="preserve">
24582/06 +-16.044,60
z 5169 na 5139
</t>
        </r>
      </text>
    </comment>
    <comment ref="D290" authorId="65" shapeId="0">
      <text>
        <r>
          <rPr>
            <b/>
            <sz val="9"/>
            <rFont val="Tahoma"/>
          </rPr>
          <t>Jana Holíková:</t>
        </r>
        <r>
          <rPr>
            <sz val="9"/>
            <rFont val="Tahoma"/>
          </rPr>
          <t xml:space="preserve">
24581/06 -5.000
</t>
        </r>
      </text>
    </comment>
    <comment ref="D291" authorId="66" shapeId="0">
      <text>
        <r>
          <rPr>
            <b/>
            <sz val="9"/>
            <rFont val="Tahoma"/>
          </rPr>
          <t>Jana Holíková:</t>
        </r>
        <r>
          <rPr>
            <sz val="9"/>
            <rFont val="Tahoma"/>
          </rPr>
          <t xml:space="preserve">
24581/06 +5.000
</t>
        </r>
      </text>
    </comment>
    <comment ref="D295" authorId="67" shapeId="0">
      <text>
        <r>
          <rPr>
            <b/>
            <sz val="9"/>
            <rFont val="Tahoma"/>
          </rPr>
          <t>Jana Holíková:</t>
        </r>
        <r>
          <rPr>
            <sz val="9"/>
            <rFont val="Tahoma"/>
          </rPr>
          <t xml:space="preserve">
24569/05 -10.000
</t>
        </r>
      </text>
    </comment>
    <comment ref="D296" authorId="68" shapeId="0">
      <text>
        <r>
          <rPr>
            <b/>
            <sz val="9"/>
            <rFont val="Tahoma"/>
          </rPr>
          <t>Jana Holíková:</t>
        </r>
        <r>
          <rPr>
            <sz val="9"/>
            <rFont val="Tahoma"/>
          </rPr>
          <t xml:space="preserve">
24569/05 +10.000
</t>
        </r>
      </text>
    </comment>
    <comment ref="D299" authorId="69" shapeId="0">
      <text>
        <r>
          <rPr>
            <b/>
            <sz val="9"/>
            <rFont val="Tahoma"/>
          </rPr>
          <t>Jana Holíková:</t>
        </r>
        <r>
          <rPr>
            <sz val="9"/>
            <rFont val="Tahoma"/>
          </rPr>
          <t xml:space="preserve">
24513/01 -1230
</t>
        </r>
      </text>
    </comment>
    <comment ref="D300" authorId="70" shapeId="0">
      <text>
        <r>
          <rPr>
            <b/>
            <sz val="9"/>
            <rFont val="Tahoma"/>
          </rPr>
          <t>Jana Holíková:</t>
        </r>
        <r>
          <rPr>
            <sz val="9"/>
            <rFont val="Tahoma"/>
          </rPr>
          <t xml:space="preserve">
24513/01 +1.230
</t>
        </r>
      </text>
    </comment>
    <comment ref="D301" authorId="71" shapeId="0">
      <text>
        <r>
          <rPr>
            <b/>
            <sz val="9"/>
            <rFont val="Tahoma"/>
          </rPr>
          <t>Jana Holíková:</t>
        </r>
        <r>
          <rPr>
            <sz val="9"/>
            <rFont val="Tahoma"/>
          </rPr>
          <t xml:space="preserve">
24578/06 +29.142
</t>
        </r>
      </text>
    </comment>
    <comment ref="D302" authorId="72" shapeId="0">
      <text>
        <r>
          <rPr>
            <b/>
            <sz val="9"/>
            <rFont val="Tahoma"/>
          </rPr>
          <t>Jana Holíková:</t>
        </r>
        <r>
          <rPr>
            <sz val="9"/>
            <rFont val="Tahoma"/>
          </rPr>
          <t xml:space="preserve">
24512/01 +-600.000
z 6121 na 6122
24578/06 -29.142
</t>
        </r>
      </text>
    </comment>
    <comment ref="D308" authorId="73" shapeId="0">
      <text>
        <r>
          <rPr>
            <b/>
            <sz val="9"/>
            <rFont val="Tahoma"/>
          </rPr>
          <t>Jana Holíková:</t>
        </r>
        <r>
          <rPr>
            <sz val="9"/>
            <rFont val="Tahoma"/>
          </rPr>
          <t xml:space="preserve">
24078/06 -39.446
</t>
        </r>
      </text>
    </comment>
    <comment ref="D310" authorId="74" shapeId="0">
      <text>
        <r>
          <rPr>
            <b/>
            <sz val="9"/>
            <rFont val="Tahoma"/>
          </rPr>
          <t>Jana Holíková:</t>
        </r>
        <r>
          <rPr>
            <sz val="9"/>
            <rFont val="Tahoma"/>
          </rPr>
          <t xml:space="preserve">
24054/04 -287.641,20
24082/06 -33.226,60
</t>
        </r>
      </text>
    </comment>
    <comment ref="D312" authorId="75" shapeId="0">
      <text>
        <r>
          <rPr>
            <b/>
            <sz val="9"/>
            <rFont val="Tahoma"/>
          </rPr>
          <t>Jana Holíková:</t>
        </r>
        <r>
          <rPr>
            <sz val="9"/>
            <rFont val="Tahoma"/>
          </rPr>
          <t xml:space="preserve">
24057/04 +287.641,20
24078/06 +39.446
</t>
        </r>
      </text>
    </comment>
    <comment ref="D319" authorId="76" shapeId="0">
      <text>
        <r>
          <rPr>
            <b/>
            <sz val="9"/>
            <rFont val="Tahoma"/>
          </rPr>
          <t>Jana Holíková:</t>
        </r>
        <r>
          <rPr>
            <sz val="9"/>
            <rFont val="Tahoma"/>
          </rPr>
          <t xml:space="preserve">
24074/06 +144.474 poj.událost-oploc Hükc.v.
</t>
        </r>
      </text>
    </comment>
    <comment ref="D323" authorId="77" shapeId="0">
      <text>
        <r>
          <rPr>
            <b/>
            <sz val="9"/>
            <rFont val="Tahoma"/>
          </rPr>
          <t>Jana Holíková:</t>
        </r>
        <r>
          <rPr>
            <sz val="9"/>
            <rFont val="Tahoma"/>
          </rPr>
          <t xml:space="preserve">
24511/01 -102.752,67
24550/04 -51.376,34
24074/06 +42.386 poj.u
</t>
        </r>
      </text>
    </comment>
    <comment ref="D325" authorId="78" shapeId="0">
      <text>
        <r>
          <rPr>
            <b/>
            <sz val="9"/>
            <rFont val="Tahoma"/>
          </rPr>
          <t>Jana Holíková:</t>
        </r>
        <r>
          <rPr>
            <sz val="9"/>
            <rFont val="Tahoma"/>
          </rPr>
          <t xml:space="preserve">
24063/05 +75.138
</t>
        </r>
      </text>
    </comment>
    <comment ref="D327" authorId="79" shapeId="0">
      <text>
        <r>
          <rPr>
            <b/>
            <sz val="9"/>
            <rFont val="Tahoma"/>
          </rPr>
          <t>Jana Holíková:</t>
        </r>
        <r>
          <rPr>
            <sz val="9"/>
            <rFont val="Tahoma"/>
          </rPr>
          <t xml:space="preserve">
24063/05 -84.000
</t>
        </r>
      </text>
    </comment>
    <comment ref="D328" authorId="80" shapeId="0">
      <text>
        <r>
          <rPr>
            <b/>
            <sz val="9"/>
            <rFont val="Tahoma"/>
          </rPr>
          <t>Jana Holíková:</t>
        </r>
        <r>
          <rPr>
            <sz val="9"/>
            <rFont val="Tahoma"/>
          </rPr>
          <t xml:space="preserve">
24511/01 +102.752,67
24550/04 + 51.376,34
</t>
        </r>
      </text>
    </comment>
    <comment ref="D330" authorId="81" shapeId="0">
      <text>
        <r>
          <rPr>
            <b/>
            <sz val="9"/>
            <rFont val="Tahoma"/>
          </rPr>
          <t>Jana Holíková:</t>
        </r>
        <r>
          <rPr>
            <sz val="9"/>
            <rFont val="Tahoma"/>
          </rPr>
          <t xml:space="preserve">
24020/02 +70.301
</t>
        </r>
      </text>
    </comment>
    <comment ref="D331" authorId="82" shapeId="0">
      <text>
        <r>
          <rPr>
            <b/>
            <sz val="9"/>
            <rFont val="Tahoma"/>
          </rPr>
          <t>Jana Holíková:</t>
        </r>
        <r>
          <rPr>
            <sz val="9"/>
            <rFont val="Tahoma"/>
          </rPr>
          <t xml:space="preserve">
24020/02 +26.257
</t>
        </r>
      </text>
    </comment>
    <comment ref="D353" authorId="83" shapeId="0">
      <text>
        <r>
          <rPr>
            <b/>
            <sz val="9"/>
            <rFont val="Tahoma"/>
          </rPr>
          <t>Jana Holíková:</t>
        </r>
        <r>
          <rPr>
            <sz val="9"/>
            <rFont val="Tahoma"/>
          </rPr>
          <t xml:space="preserve">
24009/01 +200.000
24541/03 +40.000
</t>
        </r>
      </text>
    </comment>
    <comment ref="D354" authorId="84" shapeId="0">
      <text>
        <r>
          <rPr>
            <b/>
            <sz val="9"/>
            <rFont val="Tahoma"/>
          </rPr>
          <t>Jana Holíková:</t>
        </r>
        <r>
          <rPr>
            <sz val="9"/>
            <rFont val="Tahoma"/>
          </rPr>
          <t xml:space="preserve">
24009/01 +1.500.000
24541/03 -40.000
</t>
        </r>
      </text>
    </comment>
    <comment ref="D359" authorId="85" shapeId="0">
      <text>
        <r>
          <rPr>
            <b/>
            <sz val="9"/>
            <rFont val="Tahoma"/>
          </rPr>
          <t>Jana Holíková:</t>
        </r>
        <r>
          <rPr>
            <sz val="9"/>
            <rFont val="Tahoma"/>
          </rPr>
          <t xml:space="preserve">
24549/04 -300
</t>
        </r>
      </text>
    </comment>
    <comment ref="D364" authorId="86" shapeId="0">
      <text>
        <r>
          <rPr>
            <b/>
            <sz val="9"/>
            <rFont val="Tahoma"/>
          </rPr>
          <t>Jana Holíková:</t>
        </r>
        <r>
          <rPr>
            <sz val="9"/>
            <rFont val="Tahoma"/>
          </rPr>
          <t xml:space="preserve">
24549/04 +300
</t>
        </r>
      </text>
    </comment>
    <comment ref="D367" authorId="87" shapeId="0">
      <text>
        <r>
          <rPr>
            <b/>
            <sz val="9"/>
            <rFont val="Tahoma"/>
          </rPr>
          <t>Jana Holíková:</t>
        </r>
        <r>
          <rPr>
            <sz val="9"/>
            <rFont val="Tahoma"/>
          </rPr>
          <t xml:space="preserve">
24574/06 -160.000
</t>
        </r>
      </text>
    </comment>
    <comment ref="D371" authorId="88" shapeId="0">
      <text>
        <r>
          <rPr>
            <b/>
            <sz val="9"/>
            <rFont val="Tahoma"/>
          </rPr>
          <t>Jana Holíková:</t>
        </r>
        <r>
          <rPr>
            <sz val="9"/>
            <rFont val="Tahoma"/>
          </rPr>
          <t xml:space="preserve">
24574/06 +160.000
</t>
        </r>
      </text>
    </comment>
    <comment ref="D372" authorId="89" shapeId="0">
      <text>
        <r>
          <rPr>
            <b/>
            <sz val="9"/>
            <rFont val="Tahoma"/>
          </rPr>
          <t>Jana Holíková:</t>
        </r>
        <r>
          <rPr>
            <sz val="9"/>
            <rFont val="Tahoma"/>
          </rPr>
          <t xml:space="preserve">
24563/05 +400.000
</t>
        </r>
      </text>
    </comment>
    <comment ref="D376" authorId="90" shapeId="0">
      <text>
        <r>
          <rPr>
            <b/>
            <sz val="9"/>
            <rFont val="Tahoma"/>
          </rPr>
          <t>Jana Holíková:</t>
        </r>
        <r>
          <rPr>
            <sz val="9"/>
            <rFont val="Tahoma"/>
          </rPr>
          <t xml:space="preserve">
24060/05 -1.100.000
24563/05 - 400.000
</t>
        </r>
      </text>
    </comment>
    <comment ref="D377" authorId="91" shapeId="0">
      <text>
        <r>
          <rPr>
            <b/>
            <sz val="9"/>
            <rFont val="Tahoma"/>
          </rPr>
          <t>Jana Holíková:</t>
        </r>
        <r>
          <rPr>
            <sz val="9"/>
            <rFont val="Tahoma"/>
          </rPr>
          <t xml:space="preserve">
24038/03 +8.000.000
</t>
        </r>
      </text>
    </comment>
    <comment ref="D378" authorId="92" shapeId="0">
      <text>
        <r>
          <rPr>
            <b/>
            <sz val="9"/>
            <rFont val="Tahoma"/>
          </rPr>
          <t>Jana Holíková:</t>
        </r>
        <r>
          <rPr>
            <sz val="9"/>
            <rFont val="Tahoma"/>
          </rPr>
          <t xml:space="preserve">
24080/06 -400.000
</t>
        </r>
      </text>
    </comment>
    <comment ref="D388" authorId="93" shapeId="0">
      <text>
        <r>
          <rPr>
            <b/>
            <sz val="9"/>
            <rFont val="Tahoma"/>
          </rPr>
          <t>Jana Holíková:</t>
        </r>
        <r>
          <rPr>
            <sz val="9"/>
            <rFont val="Tahoma"/>
          </rPr>
          <t xml:space="preserve">
24522/02 +481.000
</t>
        </r>
      </text>
    </comment>
    <comment ref="D390" authorId="94" shapeId="0">
      <text>
        <r>
          <rPr>
            <b/>
            <sz val="9"/>
            <rFont val="Tahoma"/>
          </rPr>
          <t>Jana Holíková:</t>
        </r>
        <r>
          <rPr>
            <sz val="9"/>
            <rFont val="Tahoma"/>
          </rPr>
          <t xml:space="preserve">
24080/06 -500.000
</t>
        </r>
      </text>
    </comment>
    <comment ref="D394" authorId="95" shapeId="0">
      <text>
        <r>
          <rPr>
            <b/>
            <sz val="9"/>
            <rFont val="Tahoma"/>
          </rPr>
          <t>Jana Holíková:</t>
        </r>
        <r>
          <rPr>
            <sz val="9"/>
            <rFont val="Tahoma"/>
          </rPr>
          <t xml:space="preserve">
24503/01 +11.390
</t>
        </r>
      </text>
    </comment>
    <comment ref="D396" authorId="96" shapeId="0">
      <text>
        <r>
          <rPr>
            <b/>
            <sz val="9"/>
            <rFont val="Tahoma"/>
          </rPr>
          <t>Jana Holíková:</t>
        </r>
        <r>
          <rPr>
            <sz val="9"/>
            <rFont val="Tahoma"/>
          </rPr>
          <t xml:space="preserve">
24543/03 +181.000
</t>
        </r>
      </text>
    </comment>
    <comment ref="D397" authorId="97" shapeId="0">
      <text>
        <r>
          <rPr>
            <b/>
            <sz val="9"/>
            <rFont val="Tahoma"/>
          </rPr>
          <t>Jana Holíková:</t>
        </r>
        <r>
          <rPr>
            <sz val="9"/>
            <rFont val="Tahoma"/>
          </rPr>
          <t xml:space="preserve">
24037/03 -500.000
24568/05 -12.000
</t>
        </r>
      </text>
    </comment>
    <comment ref="D398" authorId="98" shapeId="0">
      <text>
        <r>
          <rPr>
            <b/>
            <sz val="9"/>
            <rFont val="Tahoma"/>
          </rPr>
          <t>Jana Holíková:</t>
        </r>
        <r>
          <rPr>
            <sz val="9"/>
            <rFont val="Tahoma"/>
          </rPr>
          <t xml:space="preserve">
24037/03 -500.000
</t>
        </r>
      </text>
    </comment>
    <comment ref="D399" authorId="99" shapeId="0">
      <text>
        <r>
          <rPr>
            <b/>
            <sz val="9"/>
            <rFont val="Tahoma"/>
          </rPr>
          <t>Jana Holíková:</t>
        </r>
        <r>
          <rPr>
            <sz val="9"/>
            <rFont val="Tahoma"/>
          </rPr>
          <t xml:space="preserve">
24504/01 -1.055.000
24562/05 +1.255.000
</t>
        </r>
      </text>
    </comment>
    <comment ref="D401" authorId="100" shapeId="0">
      <text>
        <r>
          <rPr>
            <b/>
            <sz val="9"/>
            <rFont val="Tahoma"/>
          </rPr>
          <t>Jana Holíková:</t>
        </r>
        <r>
          <rPr>
            <sz val="9"/>
            <rFont val="Tahoma"/>
          </rPr>
          <t xml:space="preserve">
24522/02 -158.000
24537/03 - 34.000
</t>
        </r>
      </text>
    </comment>
    <comment ref="D402" authorId="101" shapeId="0">
      <text>
        <r>
          <rPr>
            <b/>
            <sz val="9"/>
            <rFont val="Tahoma"/>
          </rPr>
          <t>Jana Holíková:</t>
        </r>
        <r>
          <rPr>
            <sz val="9"/>
            <rFont val="Tahoma"/>
          </rPr>
          <t xml:space="preserve">
24522/02 -323.000
24568/05 +12.000
</t>
        </r>
      </text>
    </comment>
    <comment ref="D406" authorId="102" shapeId="0">
      <text>
        <r>
          <rPr>
            <b/>
            <sz val="9"/>
            <rFont val="Tahoma"/>
          </rPr>
          <t>Jana Holíková:</t>
        </r>
        <r>
          <rPr>
            <sz val="9"/>
            <rFont val="Tahoma"/>
          </rPr>
          <t xml:space="preserve">
24504/01 +540.500
24537/03 + 34.000
</t>
        </r>
      </text>
    </comment>
    <comment ref="D407" authorId="103" shapeId="0">
      <text>
        <r>
          <rPr>
            <b/>
            <sz val="9"/>
            <rFont val="Tahoma"/>
          </rPr>
          <t>Jana Holíková:</t>
        </r>
        <r>
          <rPr>
            <sz val="9"/>
            <rFont val="Tahoma"/>
          </rPr>
          <t xml:space="preserve">
24504/01 +514.500
</t>
        </r>
      </text>
    </comment>
    <comment ref="D409" authorId="104" shapeId="0">
      <text>
        <r>
          <rPr>
            <b/>
            <sz val="9"/>
            <rFont val="Tahoma"/>
          </rPr>
          <t>Jana Holíková:</t>
        </r>
        <r>
          <rPr>
            <sz val="9"/>
            <rFont val="Tahoma"/>
          </rPr>
          <t xml:space="preserve">
24503/01 -11.390
24565/05 -30.000
</t>
        </r>
      </text>
    </comment>
    <comment ref="D410" authorId="105" shapeId="0">
      <text>
        <r>
          <rPr>
            <b/>
            <sz val="9"/>
            <rFont val="Tahoma"/>
          </rPr>
          <t>Jana Holíková:</t>
        </r>
        <r>
          <rPr>
            <sz val="9"/>
            <rFont val="Tahoma"/>
          </rPr>
          <t xml:space="preserve">
24565/05 +30.000
</t>
        </r>
      </text>
    </comment>
    <comment ref="D411" authorId="106" shapeId="0">
      <text>
        <r>
          <rPr>
            <b/>
            <sz val="9"/>
            <rFont val="Tahoma"/>
          </rPr>
          <t>Jana Holíková:</t>
        </r>
        <r>
          <rPr>
            <sz val="9"/>
            <rFont val="Tahoma"/>
          </rPr>
          <t xml:space="preserve">
24010/01 -100.000
</t>
        </r>
      </text>
    </comment>
    <comment ref="D412" authorId="107" shapeId="0">
      <text>
        <r>
          <rPr>
            <b/>
            <sz val="9"/>
            <rFont val="Tahoma"/>
          </rPr>
          <t>Jana Holíková:</t>
        </r>
        <r>
          <rPr>
            <sz val="9"/>
            <rFont val="Tahoma"/>
          </rPr>
          <t xml:space="preserve">
24543/03 -181.000
24562/05 -1.255.000
</t>
        </r>
      </text>
    </comment>
    <comment ref="D420" authorId="108" shapeId="0">
      <text>
        <r>
          <rPr>
            <b/>
            <sz val="9"/>
            <rFont val="Tahoma"/>
          </rPr>
          <t>Jana Holíková:</t>
        </r>
        <r>
          <rPr>
            <sz val="9"/>
            <rFont val="Tahoma"/>
          </rPr>
          <t xml:space="preserve">
24080/06 -500.000
</t>
        </r>
      </text>
    </comment>
    <comment ref="D423" authorId="109" shapeId="0">
      <text>
        <r>
          <rPr>
            <b/>
            <sz val="9"/>
            <rFont val="Tahoma"/>
          </rPr>
          <t>Jana Holíková:</t>
        </r>
        <r>
          <rPr>
            <sz val="9"/>
            <rFont val="Tahoma"/>
          </rPr>
          <t xml:space="preserve">
24530/03 +27.000
</t>
        </r>
      </text>
    </comment>
    <comment ref="D424" authorId="110" shapeId="0">
      <text>
        <r>
          <rPr>
            <b/>
            <sz val="9"/>
            <rFont val="Tahoma"/>
          </rPr>
          <t>Jana Holíková:</t>
        </r>
        <r>
          <rPr>
            <sz val="9"/>
            <rFont val="Tahoma"/>
          </rPr>
          <t xml:space="preserve">
24530/03 +17.000
24534/03 +12.000
</t>
        </r>
      </text>
    </comment>
    <comment ref="D426" authorId="111" shapeId="0">
      <text>
        <r>
          <rPr>
            <b/>
            <sz val="9"/>
            <rFont val="Tahoma"/>
          </rPr>
          <t>Jana Holíková:</t>
        </r>
        <r>
          <rPr>
            <sz val="9"/>
            <rFont val="Tahoma"/>
          </rPr>
          <t xml:space="preserve">
24530/03 -44.000
24534/03 -12.000
</t>
        </r>
      </text>
    </comment>
    <comment ref="D431" authorId="112" shapeId="0">
      <text>
        <r>
          <rPr>
            <b/>
            <sz val="9"/>
            <rFont val="Tahoma"/>
          </rPr>
          <t>Jana Holíková:</t>
        </r>
        <r>
          <rPr>
            <sz val="9"/>
            <rFont val="Tahoma"/>
          </rPr>
          <t xml:space="preserve">
34546/04 
+-27.929.601,32
dopl. úz, NáZ
</t>
        </r>
      </text>
    </comment>
    <comment ref="D432" authorId="113" shapeId="0">
      <text>
        <r>
          <rPr>
            <b/>
            <sz val="9"/>
            <rFont val="Tahoma"/>
          </rPr>
          <t>Jana Holíková:</t>
        </r>
        <r>
          <rPr>
            <sz val="9"/>
            <rFont val="Tahoma"/>
          </rPr>
          <t xml:space="preserve">
24061/05 +70.000
</t>
        </r>
      </text>
    </comment>
    <comment ref="D433" authorId="114" shapeId="0">
      <text>
        <r>
          <rPr>
            <b/>
            <sz val="9"/>
            <rFont val="Tahoma"/>
          </rPr>
          <t>Jana Holíková:</t>
        </r>
        <r>
          <rPr>
            <sz val="9"/>
            <rFont val="Tahoma"/>
          </rPr>
          <t xml:space="preserve">
24526.02 -10.000
</t>
        </r>
      </text>
    </comment>
    <comment ref="D434" authorId="115" shapeId="0">
      <text>
        <r>
          <rPr>
            <b/>
            <sz val="9"/>
            <rFont val="Tahoma"/>
          </rPr>
          <t>Jana Holíková:</t>
        </r>
        <r>
          <rPr>
            <sz val="9"/>
            <rFont val="Tahoma"/>
          </rPr>
          <t xml:space="preserve">
24526/02 +10.000
</t>
        </r>
      </text>
    </comment>
    <comment ref="D435" authorId="116" shapeId="0">
      <text>
        <r>
          <rPr>
            <b/>
            <sz val="9"/>
            <rFont val="Tahoma"/>
          </rPr>
          <t>Jana Holíková:</t>
        </r>
        <r>
          <rPr>
            <sz val="9"/>
            <rFont val="Tahoma"/>
          </rPr>
          <t xml:space="preserve">
24007/01 -850.000
</t>
        </r>
      </text>
    </comment>
    <comment ref="D440" authorId="117" shapeId="0">
      <text>
        <r>
          <rPr>
            <b/>
            <sz val="9"/>
            <rFont val="Tahoma"/>
          </rPr>
          <t>Jana Holíková:</t>
        </r>
        <r>
          <rPr>
            <sz val="9"/>
            <rFont val="Tahoma"/>
          </rPr>
          <t xml:space="preserve">
24501/01 +40.000
24514/01 +4.000
</t>
        </r>
      </text>
    </comment>
    <comment ref="D441" authorId="118" shapeId="0">
      <text>
        <r>
          <rPr>
            <b/>
            <sz val="9"/>
            <rFont val="Tahoma"/>
          </rPr>
          <t>Jana Holíková:</t>
        </r>
        <r>
          <rPr>
            <sz val="9"/>
            <rFont val="Tahoma"/>
          </rPr>
          <t xml:space="preserve">
24501/01 -40.000
24514/01 -4.000
24038/03 -5.700.000
24080/06 -1.000.000
</t>
        </r>
      </text>
    </comment>
    <comment ref="D443" authorId="119" shapeId="0">
      <text>
        <r>
          <rPr>
            <b/>
            <sz val="9"/>
            <rFont val="Tahoma"/>
          </rPr>
          <t>Jana Holíková:</t>
        </r>
        <r>
          <rPr>
            <sz val="9"/>
            <rFont val="Tahoma"/>
          </rPr>
          <t xml:space="preserve">
24036/03 
+1.000.000+100.000
</t>
        </r>
      </text>
    </comment>
    <comment ref="D445" authorId="120" shapeId="0">
      <text>
        <r>
          <rPr>
            <b/>
            <sz val="9"/>
            <rFont val="Tahoma"/>
          </rPr>
          <t>Jana Holíková:</t>
        </r>
        <r>
          <rPr>
            <sz val="9"/>
            <rFont val="Tahoma"/>
          </rPr>
          <t xml:space="preserve">
24502/01 +200.000
</t>
        </r>
      </text>
    </comment>
    <comment ref="D446" authorId="121" shapeId="0">
      <text>
        <r>
          <rPr>
            <b/>
            <sz val="9"/>
            <rFont val="Tahoma"/>
          </rPr>
          <t>Jana Holíková:</t>
        </r>
        <r>
          <rPr>
            <sz val="9"/>
            <rFont val="Tahoma"/>
          </rPr>
          <t xml:space="preserve">
24502/01 -200.000
</t>
        </r>
      </text>
    </comment>
    <comment ref="D450" authorId="122" shapeId="0">
      <text>
        <r>
          <rPr>
            <b/>
            <sz val="9"/>
            <rFont val="Tahoma"/>
          </rPr>
          <t>Jana Holíková:</t>
        </r>
        <r>
          <rPr>
            <sz val="9"/>
            <rFont val="Tahoma"/>
          </rPr>
          <t xml:space="preserve">
24024/03 -400.000 part.rozp
24036/03 -1.000.000 -100.000
24586/06 -59.290
</t>
        </r>
      </text>
    </comment>
    <comment ref="D451" authorId="123" shapeId="0">
      <text>
        <r>
          <rPr>
            <b/>
            <sz val="9"/>
            <rFont val="Tahoma"/>
          </rPr>
          <t>Jana Holíková:</t>
        </r>
        <r>
          <rPr>
            <sz val="9"/>
            <rFont val="Tahoma"/>
          </rPr>
          <t xml:space="preserve">
24586/06
+ 41.503 úz 15017 1701
+ 17.787 bez úz     1701
</t>
        </r>
      </text>
    </comment>
    <comment ref="D455" authorId="124" shapeId="0">
      <text>
        <r>
          <rPr>
            <b/>
            <sz val="9"/>
            <rFont val="Tahoma"/>
          </rPr>
          <t>Jana Holíková:</t>
        </r>
        <r>
          <rPr>
            <sz val="9"/>
            <rFont val="Tahoma"/>
          </rPr>
          <t xml:space="preserve">
24529/03 - oprava pol na 6121
</t>
        </r>
      </text>
    </comment>
    <comment ref="D456" authorId="125" shapeId="0">
      <text>
        <r>
          <rPr>
            <b/>
            <sz val="9"/>
            <rFont val="Tahoma"/>
          </rPr>
          <t>Jana Holíková:</t>
        </r>
        <r>
          <rPr>
            <sz val="9"/>
            <rFont val="Tahoma"/>
          </rPr>
          <t xml:space="preserve">
24506/01 -+250.000 
z 5169 na 6122
</t>
        </r>
      </text>
    </comment>
    <comment ref="D459" authorId="126" shapeId="0">
      <text>
        <r>
          <rPr>
            <b/>
            <sz val="9"/>
            <rFont val="Tahoma"/>
          </rPr>
          <t>Jana Holíková:</t>
        </r>
        <r>
          <rPr>
            <sz val="9"/>
            <rFont val="Tahoma"/>
          </rPr>
          <t xml:space="preserve">
24535/03 
-20.000 5171
+20.000 5169
</t>
        </r>
      </text>
    </comment>
    <comment ref="D461" authorId="127" shapeId="0">
      <text>
        <r>
          <rPr>
            <b/>
            <sz val="9"/>
            <rFont val="Tahoma"/>
          </rPr>
          <t>Jana Holíková:</t>
        </r>
        <r>
          <rPr>
            <sz val="9"/>
            <rFont val="Tahoma"/>
          </rPr>
          <t xml:space="preserve">
24532/03 -6.000
</t>
        </r>
      </text>
    </comment>
    <comment ref="D463" authorId="128" shapeId="0">
      <text>
        <r>
          <rPr>
            <b/>
            <sz val="9"/>
            <rFont val="Tahoma"/>
          </rPr>
          <t>Jana Holíková:</t>
        </r>
        <r>
          <rPr>
            <sz val="9"/>
            <rFont val="Tahoma"/>
          </rPr>
          <t xml:space="preserve">
24532/03 +6.000
</t>
        </r>
      </text>
    </comment>
    <comment ref="D464" authorId="129" shapeId="0">
      <text>
        <r>
          <rPr>
            <b/>
            <sz val="9"/>
            <rFont val="Tahoma"/>
          </rPr>
          <t>Jana Holíková:</t>
        </r>
        <r>
          <rPr>
            <sz val="9"/>
            <rFont val="Tahoma"/>
          </rPr>
          <t xml:space="preserve">
24079/06 +160.000
</t>
        </r>
      </text>
    </comment>
    <comment ref="D467" authorId="130" shapeId="0">
      <text>
        <r>
          <rPr>
            <b/>
            <sz val="9"/>
            <rFont val="Tahoma"/>
          </rPr>
          <t>Jana Holíková:</t>
        </r>
        <r>
          <rPr>
            <sz val="9"/>
            <rFont val="Tahoma"/>
          </rPr>
          <t xml:space="preserve">
240518.02 +150.470
</t>
        </r>
      </text>
    </comment>
    <comment ref="D468" authorId="131" shapeId="0">
      <text>
        <r>
          <rPr>
            <b/>
            <sz val="9"/>
            <rFont val="Tahoma"/>
          </rPr>
          <t>Jana Holíková:</t>
        </r>
        <r>
          <rPr>
            <sz val="9"/>
            <rFont val="Tahoma"/>
          </rPr>
          <t xml:space="preserve">
24505/01 -20.000
24518/02 -150.470
24080/06 +4.500.000
</t>
        </r>
      </text>
    </comment>
    <comment ref="D469" authorId="132" shapeId="0">
      <text>
        <r>
          <rPr>
            <b/>
            <sz val="9"/>
            <rFont val="Tahoma"/>
          </rPr>
          <t>Jana Holíková:</t>
        </r>
        <r>
          <rPr>
            <sz val="9"/>
            <rFont val="Tahoma"/>
          </rPr>
          <t xml:space="preserve">
24505/01 +20.000
</t>
        </r>
      </text>
    </comment>
    <comment ref="D478" authorId="133" shapeId="0">
      <text>
        <r>
          <rPr>
            <b/>
            <sz val="9"/>
            <rFont val="Tahoma"/>
          </rPr>
          <t>Jana Holíková:</t>
        </r>
        <r>
          <rPr>
            <sz val="9"/>
            <rFont val="Tahoma"/>
          </rPr>
          <t xml:space="preserve">
24061/05 -70.000
</t>
        </r>
      </text>
    </comment>
    <comment ref="D490" authorId="134" shapeId="0">
      <text>
        <r>
          <rPr>
            <b/>
            <sz val="9"/>
            <rFont val="Tahoma"/>
          </rPr>
          <t>Jana Holíková:</t>
        </r>
        <r>
          <rPr>
            <sz val="9"/>
            <rFont val="Tahoma"/>
          </rPr>
          <t xml:space="preserve">
24037/03 -1.000.000
</t>
        </r>
      </text>
    </comment>
    <comment ref="D493" authorId="135" shapeId="0">
      <text>
        <r>
          <rPr>
            <b/>
            <sz val="9"/>
            <rFont val="Tahoma"/>
          </rPr>
          <t>Jana Holíková:</t>
        </r>
        <r>
          <rPr>
            <sz val="9"/>
            <rFont val="Tahoma"/>
          </rPr>
          <t xml:space="preserve">
24536/03 
-550.000 5169
</t>
        </r>
      </text>
    </comment>
    <comment ref="D499" authorId="136" shapeId="0">
      <text>
        <r>
          <rPr>
            <b/>
            <sz val="9"/>
            <rFont val="Tahoma"/>
          </rPr>
          <t>Jana Holíková:</t>
        </r>
        <r>
          <rPr>
            <sz val="9"/>
            <rFont val="Tahoma"/>
          </rPr>
          <t xml:space="preserve">
24536/03 +550.000
</t>
        </r>
      </text>
    </comment>
    <comment ref="D500" authorId="137" shapeId="0">
      <text>
        <r>
          <rPr>
            <b/>
            <sz val="9"/>
            <rFont val="Tahoma"/>
          </rPr>
          <t>Jana Holíková:</t>
        </r>
        <r>
          <rPr>
            <sz val="9"/>
            <rFont val="Tahoma"/>
          </rPr>
          <t xml:space="preserve">
24080/06 -1.900.000
</t>
        </r>
      </text>
    </comment>
    <comment ref="D501" authorId="138" shapeId="0">
      <text>
        <r>
          <rPr>
            <b/>
            <sz val="9"/>
            <rFont val="Tahoma"/>
          </rPr>
          <t>Jana Holíková:</t>
        </r>
        <r>
          <rPr>
            <sz val="9"/>
            <rFont val="Tahoma"/>
          </rPr>
          <t xml:space="preserve">
24079/06 -160.000
</t>
        </r>
      </text>
    </comment>
    <comment ref="D504" authorId="139" shapeId="0">
      <text>
        <r>
          <rPr>
            <b/>
            <sz val="9"/>
            <rFont val="Tahoma"/>
          </rPr>
          <t>Jana Holíková:</t>
        </r>
        <r>
          <rPr>
            <sz val="9"/>
            <rFont val="Tahoma"/>
          </rPr>
          <t xml:space="preserve">
24008/01 -3.500.000
</t>
        </r>
      </text>
    </comment>
    <comment ref="D505" authorId="140" shapeId="0">
      <text>
        <r>
          <rPr>
            <b/>
            <sz val="9"/>
            <rFont val="Tahoma"/>
          </rPr>
          <t>Jana Holíková:</t>
        </r>
        <r>
          <rPr>
            <sz val="9"/>
            <rFont val="Tahoma"/>
          </rPr>
          <t xml:space="preserve">
23037/03 +5.600.000
</t>
        </r>
      </text>
    </comment>
    <comment ref="D506" authorId="141" shapeId="0">
      <text>
        <r>
          <rPr>
            <b/>
            <sz val="9"/>
            <rFont val="Tahoma"/>
          </rPr>
          <t>Jana Holíková:</t>
        </r>
        <r>
          <rPr>
            <sz val="9"/>
            <rFont val="Tahoma"/>
          </rPr>
          <t xml:space="preserve">
24008/01 -500.000
</t>
        </r>
      </text>
    </comment>
    <comment ref="D507" authorId="142" shapeId="0">
      <text>
        <r>
          <rPr>
            <b/>
            <sz val="9"/>
            <rFont val="Tahoma"/>
          </rPr>
          <t>Jana Holíková:</t>
        </r>
        <r>
          <rPr>
            <sz val="9"/>
            <rFont val="Tahoma"/>
          </rPr>
          <t xml:space="preserve">
24037/03 -900.000 -200.000
24038/03 -2.300.000
</t>
        </r>
      </text>
    </comment>
    <comment ref="D515" authorId="143" shapeId="0">
      <text>
        <r>
          <rPr>
            <b/>
            <sz val="9"/>
            <rFont val="Tahoma"/>
          </rPr>
          <t>Jana Holíková:</t>
        </r>
        <r>
          <rPr>
            <sz val="9"/>
            <rFont val="Tahoma"/>
          </rPr>
          <t xml:space="preserve">
24037/03 -2.500.000
24080/06 -200.000
</t>
        </r>
      </text>
    </comment>
    <comment ref="D517" authorId="144" shapeId="0">
      <text>
        <r>
          <rPr>
            <b/>
            <sz val="9"/>
            <rFont val="Tahoma"/>
          </rPr>
          <t>Jana Holíková:</t>
        </r>
        <r>
          <rPr>
            <sz val="9"/>
            <rFont val="Tahoma"/>
          </rPr>
          <t xml:space="preserve">
24008/01 +3.500.000
</t>
        </r>
      </text>
    </comment>
    <comment ref="D519" authorId="145" shapeId="0">
      <text>
        <r>
          <rPr>
            <b/>
            <sz val="9"/>
            <rFont val="Tahoma"/>
          </rPr>
          <t>Jana Holíková:</t>
        </r>
        <r>
          <rPr>
            <sz val="9"/>
            <rFont val="Tahoma"/>
          </rPr>
          <t xml:space="preserve">
24008/01 +500.000
</t>
        </r>
      </text>
    </comment>
    <comment ref="D522" authorId="146" shapeId="0">
      <text>
        <r>
          <rPr>
            <b/>
            <sz val="9"/>
            <rFont val="Tahoma"/>
          </rPr>
          <t>Jana Holíková:</t>
        </r>
        <r>
          <rPr>
            <sz val="9"/>
            <rFont val="Tahoma"/>
          </rPr>
          <t xml:space="preserve">
24583/06 +380.000
</t>
        </r>
      </text>
    </comment>
    <comment ref="D523" authorId="147" shapeId="0">
      <text>
        <r>
          <rPr>
            <b/>
            <sz val="9"/>
            <rFont val="Tahoma"/>
          </rPr>
          <t>Jana Holíková:</t>
        </r>
        <r>
          <rPr>
            <sz val="9"/>
            <rFont val="Tahoma"/>
          </rPr>
          <t xml:space="preserve">
24583/06 +100.000
</t>
        </r>
      </text>
    </comment>
    <comment ref="D525" authorId="148" shapeId="0">
      <text>
        <r>
          <rPr>
            <b/>
            <sz val="9"/>
            <rFont val="Tahoma"/>
          </rPr>
          <t>Jana Holíková:</t>
        </r>
        <r>
          <rPr>
            <sz val="9"/>
            <rFont val="Tahoma"/>
          </rPr>
          <t xml:space="preserve">
24583/06 -480.000
</t>
        </r>
      </text>
    </comment>
    <comment ref="D530" authorId="149" shapeId="0">
      <text>
        <r>
          <rPr>
            <b/>
            <sz val="9"/>
            <rFont val="Tahoma"/>
          </rPr>
          <t>Jana Holíková:</t>
        </r>
        <r>
          <rPr>
            <sz val="9"/>
            <rFont val="Tahoma"/>
          </rPr>
          <t xml:space="preserve">
24035/03 +- 5.514.060
dozn úz22504 NáZ1705
24548/04 +110.000
</t>
        </r>
      </text>
    </comment>
    <comment ref="D531" authorId="150" shapeId="0">
      <text>
        <r>
          <rPr>
            <b/>
            <sz val="9"/>
            <rFont val="Tahoma"/>
          </rPr>
          <t>Jana Holíková:</t>
        </r>
        <r>
          <rPr>
            <sz val="9"/>
            <rFont val="Tahoma"/>
          </rPr>
          <t xml:space="preserve">
24548/04 -110.000
</t>
        </r>
      </text>
    </comment>
    <comment ref="D535" authorId="151" shapeId="0">
      <text>
        <r>
          <rPr>
            <b/>
            <sz val="9"/>
            <rFont val="Tahoma"/>
          </rPr>
          <t>Jana Holíková:</t>
        </r>
        <r>
          <rPr>
            <sz val="9"/>
            <rFont val="Tahoma"/>
          </rPr>
          <t xml:space="preserve">
24539/03 +- 250.000
dopl. úz42
</t>
        </r>
      </text>
    </comment>
    <comment ref="D547" authorId="152" shapeId="0">
      <text>
        <r>
          <rPr>
            <b/>
            <sz val="9"/>
            <rFont val="Tahoma"/>
          </rPr>
          <t>Jana Holíková:</t>
        </r>
        <r>
          <rPr>
            <sz val="9"/>
            <rFont val="Tahoma"/>
          </rPr>
          <t xml:space="preserve">
24538/03 +-231.352,61 
dopl. Úz 15501 NáZ 1481,5
245051/04 
+196.649,72 úz 15501 1485
+ 34.702,89 1481
24053/04 -535.000
24056/04 +80.000 úz673
24057/04 +300.000 úz392
24554/04 +-231.352,61 zpět
</t>
        </r>
      </text>
    </comment>
    <comment ref="D549" authorId="153" shapeId="0">
      <text>
        <r>
          <rPr>
            <b/>
            <sz val="9"/>
            <rFont val="Tahoma"/>
          </rPr>
          <t>Jana Holíková:</t>
        </r>
        <r>
          <rPr>
            <sz val="9"/>
            <rFont val="Tahoma"/>
          </rPr>
          <t xml:space="preserve">
24053/04 +535.000
</t>
        </r>
      </text>
    </comment>
    <comment ref="D566" authorId="154" shapeId="0">
      <text>
        <r>
          <rPr>
            <b/>
            <sz val="9"/>
            <rFont val="Tahoma"/>
          </rPr>
          <t>Jana Holíková:</t>
        </r>
        <r>
          <rPr>
            <sz val="9"/>
            <rFont val="Tahoma"/>
          </rPr>
          <t xml:space="preserve">
24065/05 
+724.000 úz98348
-500.000 bez úz
</t>
        </r>
      </text>
    </comment>
    <comment ref="D583" authorId="155" shapeId="0">
      <text>
        <r>
          <rPr>
            <b/>
            <sz val="9"/>
            <rFont val="Tahoma"/>
          </rPr>
          <t>Jana Holíková:</t>
        </r>
        <r>
          <rPr>
            <sz val="9"/>
            <rFont val="Tahoma"/>
          </rPr>
          <t xml:space="preserve">
24011/01 +192.228
24030/03 
 +3.419,60 úz253 1441
+30.776,40 úz911 1445
24047/04 -1.284
24048/04 -1.196
</t>
        </r>
      </text>
    </comment>
    <comment ref="D592" authorId="156" shapeId="0">
      <text>
        <r>
          <rPr>
            <b/>
            <sz val="9"/>
            <rFont val="Tahoma"/>
          </rPr>
          <t>Jana Holíková:</t>
        </r>
        <r>
          <rPr>
            <sz val="9"/>
            <rFont val="Tahoma"/>
          </rPr>
          <t xml:space="preserve">
24016/02 +90.488 odpisy
24027/03 
+ 4.890 úz253 1441
+44.010 úz911 1445 
</t>
        </r>
      </text>
    </comment>
    <comment ref="D593" authorId="157" shapeId="0">
      <text>
        <r>
          <rPr>
            <b/>
            <sz val="9"/>
            <rFont val="Tahoma"/>
          </rPr>
          <t>Jana Holíková:</t>
        </r>
        <r>
          <rPr>
            <sz val="9"/>
            <rFont val="Tahoma"/>
          </rPr>
          <t xml:space="preserve">
24052/04 +72.208
</t>
        </r>
      </text>
    </comment>
    <comment ref="D596" authorId="158" shapeId="0">
      <text>
        <r>
          <rPr>
            <b/>
            <sz val="9"/>
            <rFont val="Tahoma"/>
          </rPr>
          <t>Jana Holíková:</t>
        </r>
        <r>
          <rPr>
            <sz val="9"/>
            <rFont val="Tahoma"/>
          </rPr>
          <t xml:space="preserve">
24028/03
 +7.519 ÚZ253 1441
+67.671 úz911 1445
</t>
        </r>
      </text>
    </comment>
    <comment ref="D599" authorId="159" shapeId="0">
      <text>
        <r>
          <rPr>
            <b/>
            <sz val="9"/>
            <rFont val="Tahoma"/>
          </rPr>
          <t>Jana Holíková:</t>
        </r>
        <r>
          <rPr>
            <sz val="9"/>
            <rFont val="Tahoma"/>
          </rPr>
          <t xml:space="preserve">
24029/03
 +6.180 ÚZ253 1441
+55.620 úz911 1445
24064/05 +313.948
24066/05 
+  261.245,45 úz 17084 1491
+4.441.172,63 úz 17085 1495
24077/06 -13.443,03
</t>
        </r>
      </text>
    </comment>
    <comment ref="D601" authorId="160" shapeId="0">
      <text>
        <r>
          <rPr>
            <b/>
            <sz val="9"/>
            <rFont val="Tahoma"/>
          </rPr>
          <t>Jana Holíková:</t>
        </r>
        <r>
          <rPr>
            <sz val="9"/>
            <rFont val="Tahoma"/>
          </rPr>
          <t xml:space="preserve">
24066/05 
+  336.616,61 úz17518 1491
+5.722.482,44 úz 17519 1491
</t>
        </r>
      </text>
    </comment>
    <comment ref="D604" authorId="161" shapeId="0">
      <text>
        <r>
          <rPr>
            <b/>
            <sz val="9"/>
            <rFont val="Tahoma"/>
          </rPr>
          <t>Jana Holíková:</t>
        </r>
        <r>
          <rPr>
            <sz val="9"/>
            <rFont val="Tahoma"/>
          </rPr>
          <t xml:space="preserve">
24007/01 +850.000
</t>
        </r>
      </text>
    </comment>
    <comment ref="D608" authorId="162" shapeId="0">
      <text>
        <r>
          <rPr>
            <b/>
            <sz val="9"/>
            <rFont val="Tahoma"/>
          </rPr>
          <t>Jana Holíková:</t>
        </r>
        <r>
          <rPr>
            <sz val="9"/>
            <rFont val="Tahoma"/>
          </rPr>
          <t xml:space="preserve">
24055/04 +210.200 úz 833
</t>
        </r>
      </text>
    </comment>
    <comment ref="D611" authorId="163" shapeId="0">
      <text>
        <r>
          <rPr>
            <b/>
            <sz val="9"/>
            <rFont val="Tahoma"/>
          </rPr>
          <t>Jana Holíková:</t>
        </r>
        <r>
          <rPr>
            <sz val="9"/>
            <rFont val="Tahoma"/>
          </rPr>
          <t xml:space="preserve">
24059/05 +134.310
</t>
        </r>
      </text>
    </comment>
    <comment ref="D615" authorId="164" shapeId="0">
      <text>
        <r>
          <rPr>
            <b/>
            <sz val="9"/>
            <rFont val="Tahoma"/>
          </rPr>
          <t>Jana Holíková:</t>
        </r>
        <r>
          <rPr>
            <sz val="9"/>
            <rFont val="Tahoma"/>
          </rPr>
          <t xml:space="preserve">
24043/03 -1.548
</t>
        </r>
      </text>
    </comment>
    <comment ref="D625" authorId="165" shapeId="0">
      <text>
        <r>
          <rPr>
            <b/>
            <sz val="9"/>
            <rFont val="Tahoma"/>
          </rPr>
          <t>Jana Holíková:</t>
        </r>
        <r>
          <rPr>
            <sz val="9"/>
            <rFont val="Tahoma"/>
          </rPr>
          <t xml:space="preserve">
24021/02 -25.000
</t>
        </r>
      </text>
    </comment>
    <comment ref="D626" authorId="166" shapeId="0">
      <text>
        <r>
          <rPr>
            <b/>
            <sz val="9"/>
            <rFont val="Tahoma"/>
          </rPr>
          <t>Jana Holíková:</t>
        </r>
        <r>
          <rPr>
            <sz val="9"/>
            <rFont val="Tahoma"/>
          </rPr>
          <t xml:space="preserve">
24021/02 -170.000
</t>
        </r>
      </text>
    </comment>
    <comment ref="D628" authorId="167" shapeId="0">
      <text>
        <r>
          <rPr>
            <b/>
            <sz val="9"/>
            <rFont val="Tahoma"/>
          </rPr>
          <t>Jana Holíková:</t>
        </r>
        <r>
          <rPr>
            <sz val="9"/>
            <rFont val="Tahoma"/>
          </rPr>
          <t xml:space="preserve">
24021/02 +195.000
</t>
        </r>
      </text>
    </comment>
    <comment ref="D633" authorId="168" shapeId="0">
      <text>
        <r>
          <rPr>
            <b/>
            <sz val="9"/>
            <rFont val="Tahoma"/>
          </rPr>
          <t>Jana Holíková:</t>
        </r>
        <r>
          <rPr>
            <sz val="9"/>
            <rFont val="Tahoma"/>
          </rPr>
          <t xml:space="preserve">
24001.01 +4.743.000
24023/02 +- 50.000 dar NJKL
24052/04 +18.200
24083/06 +150.000 slavnost
</t>
        </r>
      </text>
    </comment>
    <comment ref="D648" authorId="169" shapeId="0">
      <text>
        <r>
          <rPr>
            <b/>
            <sz val="9"/>
            <rFont val="Tahoma"/>
          </rPr>
          <t>Jana Holíková:</t>
        </r>
        <r>
          <rPr>
            <sz val="9"/>
            <rFont val="Tahoma"/>
          </rPr>
          <t xml:space="preserve">
24002/01 -30.000 
24069/05 +30.000
</t>
        </r>
      </text>
    </comment>
    <comment ref="D651" authorId="170" shapeId="0">
      <text>
        <r>
          <rPr>
            <b/>
            <sz val="9"/>
            <rFont val="Tahoma"/>
          </rPr>
          <t>Jana Holíková:</t>
        </r>
        <r>
          <rPr>
            <sz val="9"/>
            <rFont val="Tahoma"/>
          </rPr>
          <t xml:space="preserve">
24002/01 +30.000
24003/01 +10.000
24004/01 +15.000
24032/03 +70.000
24058/04 +80.000
24067/05 +10.000
24068/05 +150.000
24069/05 +36.900
24070/05 +5.000
24071/05 +40.000
24084/06 +250.000
24085/06 +147.000
</t>
        </r>
      </text>
    </comment>
    <comment ref="D676" authorId="171" shapeId="0">
      <text>
        <r>
          <rPr>
            <b/>
            <sz val="9"/>
            <rFont val="Tahoma"/>
          </rPr>
          <t>Jana Holíková:</t>
        </r>
        <r>
          <rPr>
            <sz val="9"/>
            <rFont val="Tahoma"/>
          </rPr>
          <t xml:space="preserve">
24025.03
+320.000 +28.800
</t>
        </r>
      </text>
    </comment>
    <comment ref="D678" authorId="172" shapeId="0">
      <text>
        <r>
          <rPr>
            <b/>
            <sz val="9"/>
            <rFont val="Tahoma"/>
          </rPr>
          <t>Jana Holíková:</t>
        </r>
        <r>
          <rPr>
            <sz val="9"/>
            <rFont val="Tahoma"/>
          </rPr>
          <t xml:space="preserve">
24018/02
+563.940,99 (5011)
+135.346 (5031)
+ 50.757 (5032)
</t>
        </r>
      </text>
    </comment>
    <comment ref="D689" authorId="173" shapeId="0">
      <text>
        <r>
          <rPr>
            <b/>
            <sz val="9"/>
            <rFont val="Tahoma"/>
          </rPr>
          <t>Jana Holíková:</t>
        </r>
        <r>
          <rPr>
            <sz val="9"/>
            <rFont val="Tahoma"/>
          </rPr>
          <t xml:space="preserve">
24014/02 +-50.000
</t>
        </r>
      </text>
    </comment>
    <comment ref="D698" authorId="174" shapeId="0">
      <text>
        <r>
          <rPr>
            <b/>
            <sz val="9"/>
            <rFont val="Tahoma"/>
          </rPr>
          <t>Jana Holíková:</t>
        </r>
        <r>
          <rPr>
            <sz val="9"/>
            <rFont val="Tahoma"/>
          </rPr>
          <t xml:space="preserve">
24013/02 -50.000
24075/06 -4.745
</t>
        </r>
      </text>
    </comment>
    <comment ref="D703" authorId="175" shapeId="0">
      <text>
        <r>
          <rPr>
            <b/>
            <sz val="9"/>
            <rFont val="Tahoma"/>
          </rPr>
          <t>Jana Holíková:</t>
        </r>
        <r>
          <rPr>
            <sz val="9"/>
            <rFont val="Tahoma"/>
          </rPr>
          <t xml:space="preserve">
24034/03 -360.000
</t>
        </r>
      </text>
    </comment>
    <comment ref="D710" authorId="176" shapeId="0">
      <text>
        <r>
          <rPr>
            <b/>
            <sz val="9"/>
            <rFont val="Tahoma"/>
          </rPr>
          <t>Jana Holíková:</t>
        </r>
        <r>
          <rPr>
            <sz val="9"/>
            <rFont val="Tahoma"/>
          </rPr>
          <t xml:space="preserve">
24013/02 +50.000
24033/03 +59.000
24024/03 +75.000
24075/06 +4.745
</t>
        </r>
      </text>
    </comment>
    <comment ref="D712" authorId="177" shapeId="0">
      <text>
        <r>
          <rPr>
            <b/>
            <sz val="9"/>
            <rFont val="Tahoma"/>
          </rPr>
          <t>Jana Holíková:</t>
        </r>
        <r>
          <rPr>
            <sz val="9"/>
            <rFont val="Tahoma"/>
          </rPr>
          <t xml:space="preserve">
24034/03 +285.000
</t>
        </r>
      </text>
    </comment>
    <comment ref="D716" authorId="178" shapeId="0">
      <text>
        <r>
          <rPr>
            <b/>
            <sz val="9"/>
            <rFont val="Tahoma"/>
          </rPr>
          <t>Jana Holíková:</t>
        </r>
        <r>
          <rPr>
            <sz val="9"/>
            <rFont val="Tahoma"/>
          </rPr>
          <t xml:space="preserve">
24031/03 +2.980.000 úz
24570/05 dopl.úz:
+419.000 (0390)
+181.000 (0390)
+   2.000 (0390)
+ 161.000 (2390)
+2.217.000 (2390)
-2.980.000 (0390)
</t>
        </r>
      </text>
    </comment>
    <comment ref="D717" authorId="179" shapeId="0">
      <text>
        <r>
          <rPr>
            <b/>
            <sz val="9"/>
            <rFont val="Tahoma"/>
          </rPr>
          <t>Jana Holíková:</t>
        </r>
        <r>
          <rPr>
            <sz val="9"/>
            <rFont val="Tahoma"/>
          </rPr>
          <t xml:space="preserve">
24031/04 +559.000 úz
24570/05 dopl úz914:
+492.000 (2391)
+36.000 (2391)
+ 31.000 (1391)
-559.000 (1391)
</t>
        </r>
      </text>
    </comment>
    <comment ref="D718" authorId="180" shapeId="0">
      <text>
        <r>
          <rPr>
            <b/>
            <sz val="9"/>
            <rFont val="Tahoma"/>
          </rPr>
          <t>Jana Holíková:</t>
        </r>
        <r>
          <rPr>
            <sz val="9"/>
            <rFont val="Tahoma"/>
          </rPr>
          <t xml:space="preserve">
24031/04 +1.034.000
24570/05 dopl.úz914
+978.000 (2393)
+ 56.000 (1393)
-1.037.000 (1393)
</t>
        </r>
      </text>
    </comment>
    <comment ref="D719" authorId="181" shapeId="0">
      <text>
        <r>
          <rPr>
            <b/>
            <sz val="9"/>
            <rFont val="Tahoma"/>
          </rPr>
          <t>Jana Holíková:</t>
        </r>
        <r>
          <rPr>
            <sz val="9"/>
            <rFont val="Tahoma"/>
          </rPr>
          <t xml:space="preserve">
24507/01 -+2.400.000
změna org
</t>
        </r>
      </text>
    </comment>
    <comment ref="D723" authorId="182" shapeId="0">
      <text>
        <r>
          <rPr>
            <b/>
            <sz val="9"/>
            <rFont val="Tahoma"/>
          </rPr>
          <t>Jana Holíková:</t>
        </r>
        <r>
          <rPr>
            <sz val="9"/>
            <rFont val="Tahoma"/>
          </rPr>
          <t xml:space="preserve">
24081/06 +50.000
</t>
        </r>
      </text>
    </comment>
    <comment ref="D726" authorId="183" shapeId="0">
      <text>
        <r>
          <rPr>
            <b/>
            <sz val="9"/>
            <rFont val="Tahoma"/>
          </rPr>
          <t>Jana Holíková:</t>
        </r>
        <r>
          <rPr>
            <sz val="9"/>
            <rFont val="Tahoma"/>
          </rPr>
          <t xml:space="preserve">
24081/06 -50.000
</t>
        </r>
      </text>
    </comment>
    <comment ref="D730" authorId="184" shapeId="0">
      <text>
        <r>
          <rPr>
            <b/>
            <sz val="9"/>
            <rFont val="Tahoma"/>
          </rPr>
          <t>Jana Holíková:</t>
        </r>
        <r>
          <rPr>
            <sz val="9"/>
            <rFont val="Tahoma"/>
          </rPr>
          <t xml:space="preserve">
24006/01 +3.337.434
</t>
        </r>
      </text>
    </comment>
    <comment ref="D751" authorId="185" shapeId="0">
      <text>
        <r>
          <rPr>
            <b/>
            <sz val="9"/>
            <rFont val="Tahoma"/>
          </rPr>
          <t>Jana Holíková:</t>
        </r>
        <r>
          <rPr>
            <sz val="9"/>
            <rFont val="Tahoma"/>
          </rPr>
          <t xml:space="preserve">
24571/06 +88.036
</t>
        </r>
      </text>
    </comment>
    <comment ref="D755" authorId="186" shapeId="0">
      <text>
        <r>
          <rPr>
            <b/>
            <sz val="9"/>
            <rFont val="Tahoma"/>
          </rPr>
          <t>Jana Holíková:</t>
        </r>
        <r>
          <rPr>
            <sz val="9"/>
            <rFont val="Tahoma"/>
          </rPr>
          <t xml:space="preserve">
24533/03 -25.482,15
24564/05 -7.793
24571/06 -88.036
</t>
        </r>
      </text>
    </comment>
    <comment ref="D756" authorId="187" shapeId="0">
      <text>
        <r>
          <rPr>
            <b/>
            <sz val="9"/>
            <rFont val="Tahoma"/>
          </rPr>
          <t>Jana Holíková:</t>
        </r>
        <r>
          <rPr>
            <sz val="9"/>
            <rFont val="Tahoma"/>
          </rPr>
          <t xml:space="preserve">
24533/03 +25.482,15
24564/05 +7.793
</t>
        </r>
      </text>
    </comment>
    <comment ref="D759" authorId="188" shapeId="0">
      <text>
        <r>
          <rPr>
            <b/>
            <sz val="9"/>
            <rFont val="Tahoma"/>
          </rPr>
          <t>Jana Holíková:</t>
        </r>
        <r>
          <rPr>
            <sz val="9"/>
            <rFont val="Tahoma"/>
          </rPr>
          <t xml:space="preserve">
24533/03 -7.633
24570/06 -2.800
</t>
        </r>
      </text>
    </comment>
    <comment ref="D760" authorId="189" shapeId="0">
      <text>
        <r>
          <rPr>
            <b/>
            <sz val="9"/>
            <rFont val="Tahoma"/>
          </rPr>
          <t>Jana Holíková:</t>
        </r>
        <r>
          <rPr>
            <sz val="9"/>
            <rFont val="Tahoma"/>
          </rPr>
          <t xml:space="preserve">
24533/03 +7.633
24571/06 +2.800
</t>
        </r>
      </text>
    </comment>
    <comment ref="D798" authorId="190" shapeId="0">
      <text>
        <r>
          <rPr>
            <b/>
            <sz val="9"/>
            <rFont val="Tahoma"/>
          </rPr>
          <t>Jana Holíková:</t>
        </r>
        <r>
          <rPr>
            <sz val="9"/>
            <rFont val="Tahoma"/>
          </rPr>
          <t xml:space="preserve">
24533/03 +210.000
</t>
        </r>
      </text>
    </comment>
    <comment ref="D822" authorId="191" shapeId="0">
      <text>
        <r>
          <rPr>
            <b/>
            <sz val="9"/>
            <rFont val="Tahoma"/>
          </rPr>
          <t>Jana Holíková:</t>
        </r>
        <r>
          <rPr>
            <sz val="9"/>
            <rFont val="Tahoma"/>
          </rPr>
          <t xml:space="preserve">
24533/03 -210.000
</t>
        </r>
      </text>
    </comment>
    <comment ref="D857" authorId="192" shapeId="0">
      <text>
        <r>
          <rPr>
            <b/>
            <sz val="9"/>
            <rFont val="Tahoma"/>
          </rPr>
          <t>Jana Holíková:</t>
        </r>
        <r>
          <rPr>
            <sz val="9"/>
            <rFont val="Tahoma"/>
          </rPr>
          <t xml:space="preserve">
24042/03 -45.000
</t>
        </r>
      </text>
    </comment>
    <comment ref="D860" authorId="193" shapeId="0">
      <text>
        <r>
          <rPr>
            <b/>
            <sz val="9"/>
            <rFont val="Tahoma"/>
          </rPr>
          <t>Jana Holíková:</t>
        </r>
        <r>
          <rPr>
            <sz val="9"/>
            <rFont val="Tahoma"/>
          </rPr>
          <t xml:space="preserve">
24042/03 +45.000
</t>
        </r>
      </text>
    </comment>
    <comment ref="D871" authorId="194" shapeId="0">
      <text>
        <r>
          <rPr>
            <b/>
            <sz val="9"/>
            <rFont val="Tahoma"/>
          </rPr>
          <t>Jana Holíková:</t>
        </r>
        <r>
          <rPr>
            <sz val="9"/>
            <rFont val="Tahoma"/>
          </rPr>
          <t xml:space="preserve">
24049/04 +16.435.050
</t>
        </r>
      </text>
    </comment>
    <comment ref="D874" authorId="195" shapeId="0">
      <text>
        <r>
          <rPr>
            <b/>
            <sz val="9"/>
            <rFont val="Tahoma"/>
          </rPr>
          <t>Jana Holíková:</t>
        </r>
        <r>
          <rPr>
            <sz val="9"/>
            <rFont val="Tahoma"/>
          </rPr>
          <t xml:space="preserve">
24039/03  0322
+ 5.068,40  253 1441
+45.615,60  911 1445
</t>
        </r>
      </text>
    </comment>
    <comment ref="D875" authorId="196" shapeId="0">
      <text>
        <r>
          <rPr>
            <b/>
            <sz val="9"/>
            <rFont val="Tahoma"/>
          </rPr>
          <t>Jana Holíková:</t>
        </r>
        <r>
          <rPr>
            <sz val="9"/>
            <rFont val="Tahoma"/>
          </rPr>
          <t xml:space="preserve">
24040/03  0323
+ 4.089  253 1441
+36.801  911 1445
</t>
        </r>
      </text>
    </comment>
    <comment ref="D876" authorId="197" shapeId="0">
      <text>
        <r>
          <rPr>
            <b/>
            <sz val="9"/>
            <rFont val="Tahoma"/>
          </rPr>
          <t>Jana Holíková:</t>
        </r>
        <r>
          <rPr>
            <sz val="9"/>
            <rFont val="Tahoma"/>
          </rPr>
          <t xml:space="preserve">
24022/02  0321
+ 1.835,40  253 1441
+16.518,60 911 1445
</t>
        </r>
      </text>
    </comment>
    <comment ref="D878" authorId="198" shapeId="0">
      <text>
        <r>
          <rPr>
            <b/>
            <sz val="9"/>
            <rFont val="Tahoma"/>
          </rPr>
          <t>Jana Holíková:</t>
        </r>
        <r>
          <rPr>
            <sz val="9"/>
            <rFont val="Tahoma"/>
          </rPr>
          <t xml:space="preserve">
24003/01 -10.000
24004/01 -15.000
24005/01 -272.932
24006/01 -3.337.434
24011/01 -192.228
24012/01 +192.228
24015/02 +319.987,99
24016/02 -90.488
24017/02 +289.333
24019/02 -266.805
24020/02 -96.558
24024/03 +400.000
24025.03 -348.800
24026.03 +3.226.272,84
24032/03 -70.000
24033/03 -59.000
24035/03 +5.514.060
24043/03 +1.548
24045/03 +5.904.137,50
24046/04 +1.844.214,70
24047/04 +1.284
24051/04 -231.352,61
24052/04 +21.989
24058/04 -80.000
24059/05 -134.310
24063/05 +8.862
24064/05 -313.948
24067/05 -10.000
24068/05 -150.000
24069/05
-36.900 -30.000
24070/05 -5.000
24071/05 -40.000
24072/05 
-1.002.336,01 +943.202,20
24073/06 +16.164.266,27
24077/06 +13.443,03
24083/06 -150.000
24084/06 -250.000
24085/06 -147.000
24587/06 -75.000
</t>
        </r>
      </text>
    </comment>
    <comment ref="D879" authorId="199" shapeId="0">
      <text>
        <r>
          <rPr>
            <b/>
            <sz val="9"/>
            <rFont val="Tahoma"/>
          </rPr>
          <t>Jana Holíková:</t>
        </r>
        <r>
          <rPr>
            <sz val="9"/>
            <rFont val="Tahoma"/>
          </rPr>
          <t xml:space="preserve">
24587/06 +75.000
</t>
        </r>
      </text>
    </comment>
  </commentList>
</comments>
</file>

<file path=xl/comments3.xml><?xml version="1.0" encoding="utf-8"?>
<comments xmlns="http://schemas.openxmlformats.org/spreadsheetml/2006/main">
  <authors>
    <author>tc={00AB0005-00AB-499F-AD69-000A00B900F1}</author>
    <author>tc={0013007F-00F8-4723-A7C6-00D600D40080}</author>
    <author>tc={001500A2-0061-419F-9334-00D600AA008B}</author>
    <author>tc={0099008B-0033-4941-AC03-00D000CE006E}</author>
    <author>tc={006A0035-003C-4138-A1AB-00E400F70027}</author>
    <author>tc={003A0096-005F-4116-A364-0029003B0097}</author>
    <author>tc={00BD0013-005E-4904-A619-00790086008A}</author>
    <author>tc={00180074-00F9-4AAD-A81D-00E5004F00B2}</author>
    <author>tc={00FC00BE-0063-4DB5-95F4-005900CC00F7}</author>
    <author>tc={002C0061-00AD-472F-B2CE-00B100F6006D}</author>
    <author>tc={00DB0037-00D9-4C71-8E43-00B0001D00F9}</author>
    <author>tc={003900C8-007E-4573-AEC5-008400BE0057}</author>
    <author>tc={00D10024-00B6-43F2-AF02-001400290038}</author>
    <author>tc={00FF00DD-0053-4631-B01A-006500450026}</author>
    <author>tc={00410014-0056-4494-8A02-0097005C0014}</author>
    <author>tc={003C0006-00B3-4FF4-90FD-004B006E0038}</author>
    <author>tc={007E00E6-0067-466A-B0F9-00F9006F0010}</author>
    <author>tc={00C40098-0092-45D3-8561-007E007D00C3}</author>
    <author>tc={00850096-0068-434D-A1BB-006300A2004C}</author>
    <author>tc={00A60007-00AF-4F95-97D0-00A900E200D7}</author>
    <author>tc={002A0006-00BC-4167-A0D9-00D60000001E}</author>
    <author>tc={006300D1-001A-4717-9B74-008100840039}</author>
    <author>tc={0074008F-00E5-479D-A37F-004E003400BC}</author>
    <author>tc={00060002-0046-4DE8-A5C3-003F003800C7}</author>
    <author>tc={00CF00D7-0095-4595-A6CA-008F00D90046}</author>
    <author>tc={002F0094-00AD-4272-8431-00DC0058001A}</author>
    <author>tc={008E00F3-00C8-4CC7-9733-003900E200E2}</author>
    <author>tc={00BE00EF-00ED-4578-8C86-00EB00320001}</author>
    <author>tc={002E002B-0042-4314-9C8B-006B007E00C6}</author>
    <author>tc={0096003C-00F3-44B4-BEF8-005F0007009A}</author>
    <author>tc={003E002B-0008-4C3D-8D43-0015007500D5}</author>
    <author>tc={00CA0070-0017-4E04-8531-00270016003A}</author>
    <author>tc={00B800D7-0051-4E1D-B13D-002600DB0095}</author>
    <author>tc={00FF00A3-0001-4929-9431-00C500360058}</author>
    <author>tc={00FC00F2-00C7-48C1-93C2-009C00B90076}</author>
    <author>tc={00C600AC-001F-4530-8CF5-00AE001900DE}</author>
    <author>tc={007D00D0-0047-4024-9BA0-006F00D300FA}</author>
    <author>tc={000C00A6-002D-4796-9EDC-008A0095007D}</author>
    <author>tc={00E700A4-00B1-4809-A26C-00BF004200E6}</author>
    <author>tc={006C00C1-0076-4F71-93B5-00C9005200CB}</author>
    <author>tc={00F500EA-0054-4578-B2A3-008400310049}</author>
    <author>tc={0088008B-0042-44A2-8AC1-009C007400E9}</author>
    <author>tc={00C70075-00D4-44FC-9DFA-0030004A0084}</author>
    <author>tc={00FE0004-0084-49B5-96EF-00C2003F0027}</author>
    <author>tc={00C50022-0056-4DDC-B4D5-006B008800B5}</author>
    <author>tc={008600F5-00CF-4501-8B7F-004400BF00CA}</author>
    <author>tc={002100DD-0089-41FA-995B-00140025001A}</author>
    <author>tc={00D8007B-00BE-4923-BA1D-00B9009F00C8}</author>
    <author>tc={000700E8-0028-473D-9F48-000500E70046}</author>
    <author>tc={0016006E-0069-4DFC-A01B-0074002D00E7}</author>
    <author>tc={00D400A9-0009-4F0C-92C1-002C0082008E}</author>
    <author>tc={006700A5-00CD-4021-81A7-0052006300A9}</author>
    <author>tc={00B900F9-0073-48D2-8525-008A00AA00B4}</author>
    <author>tc={006400B3-0010-4CD6-944D-00A2006D00A0}</author>
    <author>tc={00920073-0096-4AE9-888E-00ED00DF0093}</author>
    <author>tc={00470082-0003-4893-8503-005E00C500F9}</author>
    <author>tc={001F003A-0032-4B7F-9825-0039000C00AE}</author>
    <author>tc={007F00D9-006F-4DEC-9B4E-00BC00DC009F}</author>
    <author>tc={005600C9-0092-405D-B2FC-001E00C6004E}</author>
    <author>tc={00D90032-00F3-402B-8967-007100280057}</author>
    <author>tc={003C009E-0094-4E9D-8C86-005A006B00FF}</author>
    <author>tc={001800DC-008A-4CC9-BD19-00B1005A0070}</author>
    <author>tc={00E40004-0019-408C-A590-004F00FA0051}</author>
    <author>tc={00680046-0000-4B68-9AC0-00CE00750041}</author>
    <author>tc={00A40044-0085-4334-B531-00E700A0006B}</author>
    <author>tc={00D100C1-00DC-4B80-BC52-000000F500E0}</author>
    <author>tc={006B0047-0083-402A-BCE8-007F001100D7}</author>
    <author>tc={008200C9-001D-4816-8CAD-00D7001600F9}</author>
    <author>tc={00160095-00CF-4236-9C96-008A00B000BD}</author>
    <author>tc={00490015-0081-4172-AE8F-00BF009600C4}</author>
    <author>tc={00110027-00F4-4118-BD2D-00AD00940092}</author>
    <author>tc={00D900A3-003C-441C-9805-007200FE000A}</author>
    <author>tc={00C10038-0060-4FFC-8D79-00CB002D00EC}</author>
    <author>tc={000B00B2-001B-4D79-8DBB-000500F800F6}</author>
    <author>tc={005E00D8-00EE-4854-93D9-00C7005F00AF}</author>
    <author>tc={007300E2-0022-4587-BB91-007F004B00EC}</author>
    <author>tc={0004000D-00CE-4A0D-B2D9-009600AD0050}</author>
    <author>tc={00DD004A-001F-4A2E-829D-006D001300C6}</author>
    <author>tc={00EC0031-007D-43FF-A490-00A50011007F}</author>
    <author>tc={002300C3-00D6-4FD3-A922-00F400B100C8}</author>
    <author>tc={00EE0095-007D-4827-AEFA-007000590083}</author>
    <author>tc={00A0009C-0078-4A21-B424-002D00020090}</author>
    <author>tc={00870075-00A5-4DBE-90FF-007300410089}</author>
    <author>tc={00C3004D-0099-4C40-A9B4-00D600690056}</author>
    <author>tc={00CB0008-00E9-4A3A-87AC-005400BD00F2}</author>
    <author>tc={003700AD-0025-49AD-879B-0089003500EB}</author>
    <author>tc={001C00AC-0035-46C6-A42F-00C000210066}</author>
    <author>tc={000E00A2-0092-401C-BDF8-00450082009E}</author>
    <author>tc={00CB0055-0030-45E0-B039-002800F6004F}</author>
    <author>tc={006A004A-0086-4D04-A401-00D800DE0066}</author>
    <author>tc={00DE0089-003B-4D3F-8B39-008F000A00A7}</author>
    <author>tc={00B000E8-005E-4261-9AA4-00BC00CE00BE}</author>
    <author>tc={00A70000-008F-4D41-B783-003A00110055}</author>
    <author>tc={000600DC-0005-435F-A36A-00BB00D9006E}</author>
    <author>tc={0065002D-00FC-43A7-9968-0073006C0010}</author>
    <author>tc={009D00DC-0028-4D48-B0C1-003F00EA00CA}</author>
    <author>tc={00140022-00D3-47A6-A207-00D200160039}</author>
    <author>tc={00F20011-0062-45E2-BA0F-008600DD00AC}</author>
    <author>tc={004A00DB-006F-4A80-A292-0042008400CE}</author>
    <author>tc={007C003F-0052-4043-A0FB-0076001B0059}</author>
    <author>tc={00910022-0018-4CE5-B200-00F600120068}</author>
    <author>tc={00D900CA-00AD-4C0B-88F2-009C00A800F5}</author>
    <author>tc={00D500FB-002B-427C-A042-004F000C0031}</author>
    <author>tc={002C0005-00B7-4FC3-8FC1-007700710046}</author>
    <author>tc={0009003F-005D-4714-AC9A-003A00FB00C9}</author>
    <author>tc={00B900EA-00AC-4288-ACF6-00E100DB0005}</author>
    <author>tc={00AA000A-0065-4B64-A9FA-006A003900B8}</author>
    <author>tc={000100C6-0038-4638-9B95-0033008100D7}</author>
    <author>tc={00630051-00EE-435E-B466-00AF00010034}</author>
    <author>tc={0097000A-005E-4EDF-AE5C-0074003300C9}</author>
    <author>tc={00B100A6-00D6-43DA-BC6A-00CC00740097}</author>
    <author>tc={00460091-0012-4E12-B785-004B00DA0057}</author>
    <author>tc={00F900D4-00E0-402F-B180-008E00410013}</author>
    <author>tc={003E0089-0055-47A6-B504-004A00480013}</author>
    <author>tc={00830054-00E0-472B-92E8-003A005500C9}</author>
    <author>tc={00C50013-00A4-42B2-8B5F-001300A000BA}</author>
    <author>tc={0095000E-000A-4982-9D85-003600A200E5}</author>
    <author>tc={00770037-0010-4AAD-9AA5-008700580053}</author>
    <author>tc={000C0014-006F-4752-BF6D-001A00710066}</author>
    <author>tc={00B10086-00ED-48CC-86AE-00D90027000F}</author>
    <author>tc={001900A6-00D4-48C6-A113-00C600BC008F}</author>
    <author>tc={00A30051-004A-423D-AEC5-0013002D002D}</author>
    <author>tc={00EA001A-0049-43DB-970F-0035006C00BC}</author>
    <author>tc={007000EE-0031-45E1-B3DB-00AB00F40071}</author>
    <author>tc={00B600CD-0027-4289-A54A-008100B500ED}</author>
    <author>tc={00E60035-00E2-442A-89EE-009100E00054}</author>
    <author>tc={00240013-000F-47B3-90F5-00F4006A004E}</author>
    <author>tc={00DC0054-0050-4BEF-9B74-006100BE0003}</author>
    <author>tc={00500045-005D-4FFC-ABE6-009000D50005}</author>
    <author>tc={0007004E-0016-4FB8-8D37-00E100D6003D}</author>
    <author>tc={00540058-0044-4551-98FB-003000420080}</author>
    <author>tc={000F00CE-008C-4A0A-A2EB-003800BA0002}</author>
    <author>tc={00F800AD-00E2-44BB-907B-009D005E0061}</author>
    <author>tc={00260078-00AE-4FA5-B6E5-0060008F00B8}</author>
    <author>tc={00EF0096-00B2-4CEC-ADA8-005A00A800F0}</author>
    <author>tc={00BD0085-00AF-485B-9A3C-00E100CF006C}</author>
    <author>tc={00BE00C2-00C8-4C05-837C-001A0023000E}</author>
    <author>tc={00C00022-00A7-45D0-AF6E-002F00220057}</author>
    <author>tc={009B002B-0099-4A2F-91BD-0002007C004F}</author>
    <author>tc={00C90080-0097-43BB-A83C-0012000C0068}</author>
    <author>tc={00BA007E-0055-4F63-ABE0-0093009B00BA}</author>
    <author>tc={00A30007-00D9-4854-BD1E-00B600AD0077}</author>
    <author>tc={000B0020-000A-43A3-9ECE-00DF000A0055}</author>
    <author>tc={0084009B-004F-4DC9-B192-00CE00320016}</author>
    <author>tc={00FA0007-00C2-4483-A18C-0044002E00EA}</author>
    <author>tc={00EC0066-0049-4896-AB02-004100BD006F}</author>
    <author>tc={00670001-0090-4950-B81D-007000460053}</author>
    <author>tc={00080010-00D4-4F1E-9001-003900CF00C2}</author>
    <author>tc={00850081-005C-4B16-A34E-005500540003}</author>
    <author>tc={005E009C-00AE-400B-9961-004800C2001A}</author>
    <author>tc={006000AC-0055-4F9D-9260-0054000D00F4}</author>
    <author>tc={00BC004C-00FC-48B9-B698-00EC00E50025}</author>
    <author>tc={001800EB-00C4-49FE-9974-004300A10050}</author>
    <author>tc={00D600F0-0065-40E1-8661-00C800330086}</author>
    <author>tc={00BF006F-00C7-479A-9E2F-001B00450072}</author>
    <author>tc={00A70022-004F-4A57-90D6-0003005B00AC}</author>
    <author>tc={00AF0006-00F8-4D29-A056-000D006500F0}</author>
    <author>tc={00A600E3-0032-4534-BE3D-004100CF002B}</author>
    <author>tc={007100D1-0025-49C5-8B15-00B500FE0077}</author>
    <author>tc={00B10036-0008-4485-BE80-0002008D005D}</author>
    <author>tc={002000B1-00A1-49A9-A2E0-00BE007700D7}</author>
    <author>tc={000C00D5-0003-4A8C-A4A5-00320067009F}</author>
    <author>tc={0001000D-0064-42A4-B267-00E400AB00D7}</author>
    <author>tc={00EF0027-00BE-4118-9B03-0088000F00F1}</author>
    <author>tc={002500FF-00AC-4A86-951E-00FB00E50035}</author>
    <author>tc={000B00AC-005E-4234-B0B7-008900310013}</author>
    <author>tc={00E500AF-0013-45F4-B939-00050090000A}</author>
    <author>tc={002B002A-0083-49F5-AF42-005C00370022}</author>
    <author>tc={00E50015-0009-4BD1-99F9-000A00250069}</author>
    <author>tc={0007007B-0030-49FD-AEBF-0084009E003B}</author>
    <author>tc={00B6009B-0064-4E93-8891-00B5008000C1}</author>
    <author>tc={00E300BC-001A-4F7A-99F1-00F000F7009C}</author>
    <author>tc={000B00F6-00E8-4ED0-B144-00D300C6003F}</author>
    <author>tc={006C008A-00F5-4BAB-AE82-007A007A0086}</author>
    <author>tc={004000BF-00BC-46A4-97F1-0021003F0076}</author>
    <author>tc={000A0011-008E-4ECA-BEB8-00D100B000B3}</author>
    <author>tc={0053002F-0011-44CC-9757-001B00E40054}</author>
    <author>tc={00340084-00DE-4D80-9027-001F00C400A0}</author>
    <author>tc={00380063-0073-4CE4-9C2C-00620056008E}</author>
    <author>tc={001A0077-008C-4D8F-B1CC-005D007E0058}</author>
    <author>tc={004F00EB-00F3-46AF-A1D9-0051004E0036}</author>
    <author>tc={0077006C-0018-4DE9-93C8-0094000A00B7}</author>
    <author>tc={00AB005B-0035-4674-9BFA-00BE00E800B1}</author>
    <author>tc={00570082-006C-439F-B53B-008100AC0083}</author>
    <author>tc={009D00D7-00FB-4F2E-8BE9-008F00160077}</author>
    <author>tc={008D00A4-007A-4DDB-A8A1-00EF00A800C9}</author>
    <author>tc={001B0082-0028-4A97-A165-00CD00620062}</author>
    <author>tc={00E600CB-00CF-436F-A0BF-004D000300D4}</author>
    <author>tc={001E00B1-001E-4355-BCFA-0046005A00E5}</author>
    <author>tc={007D002E-00CC-4A1B-9013-002800A000C6}</author>
    <author>tc={00F900E1-00D6-4B24-99F5-005400FC002E}</author>
    <author>tc={00E3002F-0038-4FFE-A9E8-006D002E00D9}</author>
    <author>tc={005A0005-00A8-4B94-B018-00F700760092}</author>
    <author>tc={002800E1-002A-4EFA-9B32-00FB002D0049}</author>
    <author>tc={00E60043-00CF-4C0C-AF30-00EE00360026}</author>
    <author>tc={007A00DF-005E-42E8-B0C2-002F00B000FE}</author>
    <author>tc={00C800C2-0066-457F-9EA7-006100D700D4}</author>
    <author>tc={000E00B6-000E-4DE8-87D2-002C00BE0094}</author>
    <author>tc={00720036-009C-4074-BAEF-005800A50044}</author>
    <author>tc={009800AF-004E-47C4-8127-006E0065004C}</author>
    <author>tc={000B006D-00C3-4277-A656-000100110025}</author>
    <author>tc={00EB0077-0050-43A7-9115-009900990081}</author>
    <author>tc={00B800DC-0072-4A6C-A9D2-003C00D000F5}</author>
    <author>tc={00BD0034-009D-4598-B90A-00ED004A00D8}</author>
    <author>tc={007A0031-00CF-49F9-922B-0062003500AE}</author>
    <author>tc={000F00FB-005B-4E1A-87F5-00E400CA0068}</author>
    <author>tc={00820050-0055-41AA-8432-00790037002B}</author>
    <author>tc={008800F5-0052-4EDA-9E51-001E003D009F}</author>
    <author>tc={008F00FB-00DF-4526-816E-00AE00570088}</author>
    <author>tc={006600D3-009A-4D3B-BF1E-009F00DF00A9}</author>
    <author>tc={004100FE-004E-4FA1-9B63-00FE004C00D2}</author>
    <author>tc={00F600EE-006E-4A6E-9385-0079001C008B}</author>
    <author>tc={0025007B-0073-4B7B-996F-0077009C00C6}</author>
    <author>tc={008700F4-00BC-4EB5-9E91-00E9001A0052}</author>
    <author>tc={00CB00EB-0001-4A40-8EC2-000300F20009}</author>
    <author>tc={00990082-0020-4ED3-A2B6-00310064001D}</author>
    <author>tc={00BF005D-0001-496C-AA41-008500F900BC}</author>
    <author>tc={000B0057-0040-4902-BB02-004C0046001B}</author>
    <author>tc={0078003E-00A1-465B-BD3F-00B6005A0032}</author>
    <author>tc={004C0072-0086-438F-8B22-0004006F0006}</author>
    <author>tc={001400AB-00E1-4FF8-9A23-008400F7007F}</author>
    <author>tc={0092006A-001B-4D8C-8667-00DD00EB0096}</author>
    <author>tc={00740066-00DD-41F4-AA6D-006B006E008A}</author>
    <author>tc={00F200E1-000B-4ECB-8278-006000EA00D5}</author>
    <author>tc={009800A5-0050-4402-B4A3-001B00C60002}</author>
    <author>tc={0027005A-00F5-409D-88FD-008A0082003B}</author>
    <author>tc={007800CC-00A7-4AA3-BE04-004100C60063}</author>
    <author>tc={0039004E-0027-4A37-991F-0046002C0091}</author>
    <author>tc={00F60088-0019-4DBA-BB9E-0074006A00ED}</author>
    <author>tc={006B005F-0018-4707-8BF6-00BE0012009B}</author>
    <author>tc={00DA00FA-008F-4B48-B89B-00C300A100DE}</author>
    <author>tc={0055002B-0085-4468-BEAD-0036004000BB}</author>
    <author>tc={0053009F-00CD-48B8-A36F-0045009F00EF}</author>
    <author>tc={00540052-00EB-4776-AC47-008B005D00DF}</author>
    <author>tc={005F00AE-00D1-42A4-925C-00D60015008C}</author>
    <author>tc={005900CF-007C-4C6A-BCE0-005100E50011}</author>
    <author>tc={00C00028-00A2-46E1-B534-00020014001C}</author>
    <author>tc={002A00CA-00F9-419E-BE1C-00A700B300FF}</author>
    <author>tc={00830011-00AD-4171-BD6C-00FF00A0000E}</author>
    <author>tc={00FB0055-00CB-44DF-B5DB-00FC00620092}</author>
    <author>tc={00F90081-00F7-49FA-9D8D-00CF005800DF}</author>
    <author>tc={00300074-0039-4822-A626-006F002800AB}</author>
    <author>tc={00B300CE-00F4-4A20-8095-00E3007300D9}</author>
    <author>tc={00750031-0005-4996-B6EC-00AF00CA0057}</author>
    <author>tc={00A30050-00B7-4CF8-8589-00360000005D}</author>
    <author>tc={00D20032-0060-4EF8-8A23-00EC00BF00DF}</author>
    <author>tc={006000A7-00EB-4009-AE76-001D001500D3}</author>
    <author>tc={00B800C1-00C7-4C5B-BD66-0096005600B5}</author>
    <author>tc={008D0063-0060-4DAE-9822-000F00F700C8}</author>
    <author>tc={008300EA-00C1-46B0-AFCF-008F004F001F}</author>
    <author>tc={00A70040-001E-49F2-AF25-0077000700D6}</author>
    <author>tc={00660089-00B4-4C9E-8D37-00F300D60075}</author>
    <author>tc={001800E6-0089-41F8-8A09-0026009800AB}</author>
    <author>tc={000C000C-001A-4136-BF42-0030007500D8}</author>
    <author>tc={001700BA-002C-4AA2-8EB3-00EC00830021}</author>
    <author>tc={000C0006-0070-4D61-BC5F-00E700AD0002}</author>
    <author>tc={008E0019-004C-48B5-999D-0065002C0009}</author>
    <author>tc={00840004-0022-4963-B87D-0016004900C1}</author>
    <author>tc={001F005F-0052-411C-BE1F-009700F000A6}</author>
    <author>tc={00C0006D-00C6-4EB7-863C-00BF004600FF}</author>
    <author>tc={00E00036-00DB-4F1F-A099-00C100D300F2}</author>
    <author>tc={0015000C-00DD-4C6F-B5E2-00D8004C0024}</author>
    <author>tc={00F50009-00BC-49F6-A0C6-005D00A400CD}</author>
    <author>tc={00810079-00C4-4D8E-A0BF-005600C80002}</author>
    <author>tc={0019002F-00CF-4B4C-B88A-00C2006F00AB}</author>
    <author>tc={004B005E-000C-4F48-B83C-0003008C0073}</author>
    <author>tc={001000E4-007E-4279-9ECB-000400B500D5}</author>
    <author>tc={00180009-005C-426C-8A3A-00C6000D00B9}</author>
    <author>tc={000E0031-0062-499B-8F45-003200CC00CB}</author>
    <author>tc={00160082-00D5-4541-88FF-0077003400EE}</author>
    <author>tc={000100F0-0096-4036-B717-008C00D9006B}</author>
    <author>tc={0073000B-004A-4984-A1D8-001900220062}</author>
    <author>tc={00E200D5-002C-4B57-A610-00AA0082007E}</author>
    <author>tc={00F9000A-00E0-4C97-93E9-00F0000100D2}</author>
    <author>tc={00EB00FA-0001-436D-9CC4-00F600230003}</author>
    <author>tc={008300BC-0080-43D0-959B-00AB00A40083}</author>
    <author>tc={006D0095-00AE-489B-A8B2-003A00A200CF}</author>
    <author>tc={0069003F-0080-4C66-994E-0076008500AF}</author>
    <author>tc={00B900FB-00EB-4C36-B801-00F0003500A3}</author>
    <author>tc={00F600E3-0050-4927-A268-009400A6008F}</author>
    <author>tc={007B00FB-0008-4FCB-B191-0073001D00F2}</author>
    <author>tc={0094005C-0001-48F1-936A-00C10071008D}</author>
    <author>tc={00C70026-009F-4538-8F7A-00A4004D0036}</author>
    <author>tc={00FD0063-000A-490B-A75B-002700BA0046}</author>
    <author>tc={006C006E-0086-4BDE-8109-008B00D60027}</author>
    <author>tc={0067007C-00BC-4430-B423-005F002F00F7}</author>
    <author>tc={00050008-00FA-4EBF-AC36-00D400200009}</author>
    <author>tc={006200BD-00D6-4D3A-B4A9-0072003000B5}</author>
    <author>tc={00C500F7-00C3-49CE-9E5A-0055004800AC}</author>
    <author>tc={001B008A-0029-4F12-B2BF-00AD005600F2}</author>
    <author>tc={000D000E-0065-4058-AA68-005C005E0049}</author>
    <author>tc={00030031-008B-4257-AEF9-00CD00810095}</author>
    <author>tc={003C0067-0085-4649-B332-008E008600D3}</author>
    <author>tc={0088000A-00E9-403E-AB22-005F001500DC}</author>
    <author>tc={006000AD-009F-48CB-84D2-009100660047}</author>
    <author>tc={00D9007B-0061-4F05-8708-0030007A0020}</author>
    <author>tc={006B006D-00E2-458F-B270-007B000900E8}</author>
    <author>tc={000F00F6-0049-4CEE-9281-009C004F00CA}</author>
    <author>tc={006F00A2-0001-4287-9FDD-0086002600C3}</author>
    <author>tc={00F70005-000E-46FF-97D3-00A1001D000B}</author>
    <author>tc={008C008D-00EB-47C2-82D4-002D005E00DB}</author>
    <author>tc={00350037-0017-4D72-9492-00210029003A}</author>
    <author>tc={00CA0034-00A0-4EBF-9EE2-00FE00BE003D}</author>
    <author>tc={00BF00B4-0069-47E4-9150-006400D500BD}</author>
    <author>tc={00060016-00DC-45CC-952D-004F00E100C8}</author>
    <author>tc={008C00AD-0066-464F-9A27-002E00370005}</author>
    <author>tc={000900AE-0086-4B4C-9FD2-005100AB0024}</author>
    <author>tc={004400FE-007A-4F7C-8474-00C60012005B}</author>
    <author>tc={0030002D-00E4-4A2A-AF21-00CE004E005B}</author>
    <author>tc={00E600F7-0054-44C2-B21E-00A7005C001B}</author>
    <author>tc={002A0055-0077-46CE-8500-00C900480000}</author>
    <author>tc={00F2004A-0068-4296-9E2E-0069001C008A}</author>
    <author>tc={00170010-0047-4DFC-A3B8-0019001800B6}</author>
    <author>tc={000C004B-0079-4E0C-9E8A-008200B800A3}</author>
    <author>tc={001600BA-00AE-478C-856A-0058001400C1}</author>
    <author>tc={00410052-0066-448B-93DD-001C002300CA}</author>
    <author>tc={00560091-0032-4BB3-88AB-0022006C007E}</author>
    <author>tc={004E0003-0006-448C-94AA-00BB001300EA}</author>
    <author>tc={00D400BC-0098-450A-8771-00DE005C001A}</author>
    <author>tc={00BC0088-0087-423E-B0F4-003400D800BB}</author>
    <author>tc={00C700FC-00C8-47DD-92FB-003600AA00F3}</author>
    <author>tc={00D700B6-00C2-4FBD-88B6-00BE00B700DB}</author>
    <author>tc={00E700FC-003A-472C-BFEF-007E0094001E}</author>
    <author>tc={00AA000E-00B7-44B7-9029-002E00300013}</author>
    <author>tc={00E80006-004C-4A0C-AC7F-005000440061}</author>
    <author>tc={00A40098-0006-4A86-8BD9-005000C40003}</author>
    <author>tc={006300AD-00C8-4750-8212-00CC0016009A}</author>
    <author>tc={00F4005B-00C3-4C93-A6D8-00B500DC00F9}</author>
    <author>tc={00FB00FC-0039-4EF8-A74D-003300AB0007}</author>
    <author>tc={00EC0028-0054-4052-9517-00BC004C00FD}</author>
    <author>tc={00B6001E-005F-47BD-84BC-00B200F5006A}</author>
    <author>tc={009D00C3-00C2-4396-ADD9-006700D3003B}</author>
    <author>tc={00840042-00B3-4F49-9D51-009500E900CE}</author>
    <author>tc={00D800BA-0016-4A6B-B36F-005300A90086}</author>
    <author>tc={00120067-009F-4819-8997-003E006B000C}</author>
    <author>tc={00BF0008-0095-4CF1-8EAA-005E001800BC}</author>
    <author>tc={00D7004C-008C-4C51-BBB8-004A009D007F}</author>
    <author>tc={00C10079-00AE-48B5-B59C-00F4009F0035}</author>
    <author>tc={00120045-0064-4B56-81EC-00FC00B70019}</author>
    <author>tc={00B7002C-0047-4238-B6DB-003F00A3007C}</author>
    <author>tc={0038000D-00CC-4F03-8D08-007F007600E4}</author>
    <author>tc={00C800E2-0052-49AF-8189-00D90001006B}</author>
    <author>tc={00BF0071-0040-4E43-805D-00FB00DF0009}</author>
    <author>tc={00DB00D3-0058-45F7-8EDC-002C00B000E3}</author>
    <author>tc={008A000A-001E-4F1E-8EF4-0011005200CE}</author>
    <author>tc={003E0096-008D-4D35-ADB3-00AB00E3001F}</author>
    <author>tc={00B4006E-000E-44D1-AE68-009D0091006C}</author>
    <author>tc={00C10090-00A3-4BF2-B9A7-00D0009A00BE}</author>
    <author>tc={00DE009E-009C-41BF-B8C9-009200A100F5}</author>
    <author>tc={004300F2-0043-4BD6-9EBC-00AC0049007F}</author>
    <author>tc={005B005A-0061-469D-A298-00F2008F00D4}</author>
    <author>tc={00C300AF-00A1-49CD-81AC-0010002A00FB}</author>
    <author>tc={005D00E0-0075-4DDE-A7B2-00D700410042}</author>
    <author>tc={00A400D7-0004-4FD0-9509-0012008D00BE}</author>
    <author>tc={0026008D-00A5-402B-80AD-004A00CA0094}</author>
    <author>tc={00810060-00C3-473E-9094-0014009D00CF}</author>
    <author>tc={006A0040-0063-40AC-9ADB-008300370005}</author>
    <author>tc={00EB0065-00D6-4857-ACA8-00FE005200F0}</author>
    <author>tc={002400F1-00A9-4F54-807E-001C00AF00A0}</author>
    <author>tc={00CE0006-0021-4BC9-BEAB-00C100060047}</author>
    <author>tc={00DD006E-00F2-4BED-850B-00B100890058}</author>
    <author>tc={00E20086-0003-4B42-BC76-009E006C0044}</author>
    <author>tc={0093002B-009F-4A4C-B287-00AD00A300B2}</author>
    <author>tc={0065003D-001F-490D-9A55-001900EC00A5}</author>
    <author>tc={00250073-00D7-4DE0-8607-006900EE00A9}</author>
    <author>tc={00C70068-0047-4714-98CC-00C000110043}</author>
    <author>tc={005A00CA-00F9-4CB5-9D43-00CE001600EA}</author>
    <author>tc={00AB0057-0005-4502-BBC3-00C800E300E5}</author>
    <author>tc={00DA00F9-00B5-4E97-8419-004100C000F4}</author>
    <author>tc={00EB00A2-00C9-4901-B0F9-006000BA00C6}</author>
    <author>tc={004E00EE-00EB-4669-AD4C-0021007000DF}</author>
    <author>tc={00B0007C-0097-45BC-9C01-004000B600CE}</author>
  </authors>
  <commentList>
    <comment ref="E12" authorId="0" shapeId="0">
      <text>
        <r>
          <rPr>
            <b/>
            <sz val="9"/>
            <rFont val="Tahoma"/>
          </rPr>
          <t>Jana Holíková:</t>
        </r>
        <r>
          <rPr>
            <sz val="9"/>
            <rFont val="Tahoma"/>
          </rPr>
          <t xml:space="preserve">
040 ř.4220
nebo
list dle 040
</t>
        </r>
      </text>
    </comment>
    <comment ref="D38" authorId="1" shapeId="0">
      <text>
        <r>
          <rPr>
            <b/>
            <sz val="9"/>
            <rFont val="Tahoma"/>
          </rPr>
          <t>Jana Holíková:</t>
        </r>
        <r>
          <rPr>
            <sz val="9"/>
            <rFont val="Tahoma"/>
          </rPr>
          <t xml:space="preserve">
24049/04 +16.435.050
</t>
        </r>
      </text>
    </comment>
    <comment ref="D42" authorId="2" shapeId="0">
      <text>
        <r>
          <rPr>
            <b/>
            <sz val="9"/>
            <rFont val="Tahoma"/>
          </rPr>
          <t>Jana Holíková:</t>
        </r>
        <r>
          <rPr>
            <sz val="9"/>
            <rFont val="Tahoma"/>
          </rPr>
          <t xml:space="preserve">
24045.03 +32.200
</t>
        </r>
      </text>
    </comment>
    <comment ref="D43" authorId="3" shapeId="0">
      <text>
        <r>
          <rPr>
            <b/>
            <sz val="9"/>
            <rFont val="Tahoma"/>
          </rPr>
          <t>Jana Holíková:</t>
        </r>
        <r>
          <rPr>
            <sz val="9"/>
            <rFont val="Tahoma"/>
          </rPr>
          <t xml:space="preserve">
24147/11 +30.000
</t>
        </r>
      </text>
    </comment>
    <comment ref="D50" authorId="4" shapeId="0">
      <text>
        <r>
          <rPr>
            <b/>
            <sz val="9"/>
            <rFont val="Tahoma"/>
          </rPr>
          <t>Jana Holíková:</t>
        </r>
        <r>
          <rPr>
            <sz val="9"/>
            <rFont val="Tahoma"/>
          </rPr>
          <t xml:space="preserve">
24148/11 +30.000
</t>
        </r>
      </text>
    </comment>
    <comment ref="D61" authorId="5" shapeId="0">
      <text>
        <r>
          <rPr>
            <b/>
            <sz val="9"/>
            <rFont val="Tahoma"/>
          </rPr>
          <t>Jana Holíková:</t>
        </r>
        <r>
          <rPr>
            <sz val="9"/>
            <rFont val="Tahoma"/>
          </rPr>
          <t xml:space="preserve">
24045/03 +3.000.000
</t>
        </r>
      </text>
    </comment>
    <comment ref="D62" authorId="6" shapeId="0">
      <text>
        <r>
          <rPr>
            <b/>
            <sz val="9"/>
            <rFont val="Tahoma"/>
          </rPr>
          <t>Jana Holíková:</t>
        </r>
        <r>
          <rPr>
            <sz val="9"/>
            <rFont val="Tahoma"/>
          </rPr>
          <t xml:space="preserve">
24115/08 +1.898.021,23
</t>
        </r>
      </text>
    </comment>
    <comment ref="D63" authorId="7" shapeId="0">
      <text>
        <r>
          <rPr>
            <b/>
            <sz val="9"/>
            <rFont val="Tahoma"/>
          </rPr>
          <t>Jana Holíková:</t>
        </r>
        <r>
          <rPr>
            <sz val="9"/>
            <rFont val="Tahoma"/>
          </rPr>
          <t xml:space="preserve">
24115/08
+2.015.699,68
+   890.401,74
</t>
        </r>
      </text>
    </comment>
    <comment ref="D70" authorId="8" shapeId="0">
      <text>
        <r>
          <rPr>
            <b/>
            <sz val="9"/>
            <rFont val="Tahoma"/>
          </rPr>
          <t>Jana Holíková:</t>
        </r>
        <r>
          <rPr>
            <sz val="9"/>
            <rFont val="Tahoma"/>
          </rPr>
          <t xml:space="preserve">
24157/11 +150.000
</t>
        </r>
      </text>
    </comment>
    <comment ref="D80" authorId="9" shapeId="0">
      <text>
        <r>
          <rPr>
            <b/>
            <sz val="9"/>
            <rFont val="Tahoma"/>
          </rPr>
          <t>Jana Holíková:</t>
        </r>
        <r>
          <rPr>
            <sz val="9"/>
            <rFont val="Tahoma"/>
          </rPr>
          <t xml:space="preserve">
24012/01 +192.228 (309)
24046/04
+1.009.024,72 (0501)
+ 835.189,98 (0504)
24048/04 -1.196
24134/10 +32.936 (321)
24158/11 +173.723 rez
</t>
        </r>
      </text>
    </comment>
    <comment ref="D81" authorId="10" shapeId="0">
      <text>
        <r>
          <rPr>
            <b/>
            <sz val="9"/>
            <rFont val="Tahoma"/>
          </rPr>
          <t>Jana Holíková:</t>
        </r>
        <r>
          <rPr>
            <sz val="9"/>
            <rFont val="Tahoma"/>
          </rPr>
          <t xml:space="preserve">
24159/11 +88.500
</t>
        </r>
      </text>
    </comment>
    <comment ref="D92" authorId="11" shapeId="0">
      <text>
        <r>
          <rPr>
            <b/>
            <sz val="9"/>
            <rFont val="Tahoma"/>
          </rPr>
          <t>Jana Holíková:</t>
        </r>
        <r>
          <rPr>
            <sz val="9"/>
            <rFont val="Tahoma"/>
          </rPr>
          <t xml:space="preserve">
24017/02 +289.333
</t>
        </r>
      </text>
    </comment>
    <comment ref="D93" authorId="12" shapeId="0">
      <text>
        <r>
          <rPr>
            <b/>
            <sz val="9"/>
            <rFont val="Tahoma"/>
          </rPr>
          <t>Jana Holíková:</t>
        </r>
        <r>
          <rPr>
            <sz val="9"/>
            <rFont val="Tahoma"/>
          </rPr>
          <t xml:space="preserve">
24017/02 +289.333
</t>
        </r>
      </text>
    </comment>
    <comment ref="D96" authorId="13" shapeId="0">
      <text>
        <r>
          <rPr>
            <b/>
            <sz val="9"/>
            <rFont val="Tahoma"/>
          </rPr>
          <t>Jana Holíková:</t>
        </r>
        <r>
          <rPr>
            <sz val="9"/>
            <rFont val="Tahoma"/>
          </rPr>
          <t xml:space="preserve">
24167/12 +63.011,99
</t>
        </r>
      </text>
    </comment>
    <comment ref="D108" authorId="14" shapeId="0">
      <text>
        <r>
          <rPr>
            <b/>
            <sz val="9"/>
            <rFont val="Tahoma"/>
          </rPr>
          <t>Jana Holíková:</t>
        </r>
        <r>
          <rPr>
            <sz val="9"/>
            <rFont val="Tahoma"/>
          </rPr>
          <t xml:space="preserve">
24045/03 +50.700
</t>
        </r>
      </text>
    </comment>
    <comment ref="D115" authorId="15" shapeId="0">
      <text>
        <r>
          <rPr>
            <b/>
            <sz val="9"/>
            <rFont val="Tahoma"/>
          </rPr>
          <t>Jana Holíková:</t>
        </r>
        <r>
          <rPr>
            <sz val="9"/>
            <rFont val="Tahoma"/>
          </rPr>
          <t xml:space="preserve">
24045/03 +1.600.000
</t>
        </r>
      </text>
    </comment>
    <comment ref="D116" authorId="16" shapeId="0">
      <text>
        <r>
          <rPr>
            <b/>
            <sz val="9"/>
            <rFont val="Tahoma"/>
          </rPr>
          <t>Jana Holíková:</t>
        </r>
        <r>
          <rPr>
            <sz val="9"/>
            <rFont val="Tahoma"/>
          </rPr>
          <t xml:space="preserve">
24015/02 
+13.779,02 (0309)
+87.878,61 (0305)
+201.127,47 (0307)
</t>
        </r>
      </text>
    </comment>
    <comment ref="D117" authorId="17" shapeId="0">
      <text>
        <r>
          <rPr>
            <b/>
            <sz val="9"/>
            <rFont val="Tahoma"/>
          </rPr>
          <t>Jana Holíková:</t>
        </r>
        <r>
          <rPr>
            <sz val="9"/>
            <rFont val="Tahoma"/>
          </rPr>
          <t xml:space="preserve">
24015/02 +236.709,36
</t>
        </r>
      </text>
    </comment>
    <comment ref="D118" authorId="18" shapeId="0">
      <text>
        <r>
          <rPr>
            <b/>
            <sz val="9"/>
            <rFont val="Tahoma"/>
          </rPr>
          <t>Jana Holíková:</t>
        </r>
        <r>
          <rPr>
            <sz val="9"/>
            <rFont val="Tahoma"/>
          </rPr>
          <t xml:space="preserve">
24015/02 +159.713,55
</t>
        </r>
      </text>
    </comment>
    <comment ref="D119" authorId="19" shapeId="0">
      <text>
        <r>
          <rPr>
            <b/>
            <sz val="9"/>
            <rFont val="Tahoma"/>
          </rPr>
          <t>Jana Holíková:</t>
        </r>
        <r>
          <rPr>
            <sz val="9"/>
            <rFont val="Tahoma"/>
          </rPr>
          <t xml:space="preserve">
24015/02 +391.374,39
</t>
        </r>
      </text>
    </comment>
    <comment ref="D120" authorId="20" shapeId="0">
      <text>
        <r>
          <rPr>
            <b/>
            <sz val="9"/>
            <rFont val="Tahoma"/>
          </rPr>
          <t>Jana Holíková:</t>
        </r>
        <r>
          <rPr>
            <sz val="9"/>
            <rFont val="Tahoma"/>
          </rPr>
          <t xml:space="preserve">
24026.03 +3.226.272,84
</t>
        </r>
      </text>
    </comment>
    <comment ref="D121" authorId="21" shapeId="0">
      <text>
        <r>
          <rPr>
            <b/>
            <sz val="9"/>
            <rFont val="Tahoma"/>
          </rPr>
          <t>Jana Holíková:</t>
        </r>
        <r>
          <rPr>
            <sz val="9"/>
            <rFont val="Tahoma"/>
          </rPr>
          <t xml:space="preserve">
24045/03 +25.251
</t>
        </r>
      </text>
    </comment>
    <comment ref="D122" authorId="22" shapeId="0">
      <text>
        <r>
          <rPr>
            <b/>
            <sz val="9"/>
            <rFont val="Tahoma"/>
          </rPr>
          <t>Jana Holíková:</t>
        </r>
        <r>
          <rPr>
            <sz val="9"/>
            <rFont val="Tahoma"/>
          </rPr>
          <t xml:space="preserve">
24045/03 org 1180
+74.693,50  § 3111
+40.293      § 3113
24115/08 +1.119.873,05
24145/10 +35.000
</t>
        </r>
      </text>
    </comment>
    <comment ref="D123" authorId="23" shapeId="0">
      <text>
        <r>
          <rPr>
            <b/>
            <sz val="9"/>
            <rFont val="Tahoma"/>
          </rPr>
          <t>Jana Holíková:</t>
        </r>
        <r>
          <rPr>
            <sz val="9"/>
            <rFont val="Tahoma"/>
          </rPr>
          <t xml:space="preserve">
24045/03 +900.000
</t>
        </r>
      </text>
    </comment>
    <comment ref="D124" authorId="24" shapeId="0">
      <text>
        <r>
          <rPr>
            <b/>
            <sz val="9"/>
            <rFont val="Tahoma"/>
          </rPr>
          <t>Jana Holíková:</t>
        </r>
        <r>
          <rPr>
            <sz val="9"/>
            <rFont val="Tahoma"/>
          </rPr>
          <t xml:space="preserve">
24022/02  0321
+ 1.835,40  253 1441
+16.518,60 911 1445
</t>
        </r>
      </text>
    </comment>
    <comment ref="D125" authorId="25" shapeId="0">
      <text>
        <r>
          <rPr>
            <b/>
            <sz val="9"/>
            <rFont val="Tahoma"/>
          </rPr>
          <t>Jana Holíková:</t>
        </r>
        <r>
          <rPr>
            <sz val="9"/>
            <rFont val="Tahoma"/>
          </rPr>
          <t xml:space="preserve">
24039/03 
+ 5.068,40 úz 253 1441
+45.615,60 úz 911 1445
</t>
        </r>
      </text>
    </comment>
    <comment ref="D126" authorId="26" shapeId="0">
      <text>
        <r>
          <rPr>
            <b/>
            <sz val="9"/>
            <rFont val="Tahoma"/>
          </rPr>
          <t>Jana Holíková:</t>
        </r>
        <r>
          <rPr>
            <sz val="9"/>
            <rFont val="Tahoma"/>
          </rPr>
          <t xml:space="preserve">
24040/03 
+ 4.089 úz 253 1441
+36.801 úz 911 1445
</t>
        </r>
      </text>
    </comment>
    <comment ref="D128" authorId="27" shapeId="0">
      <text>
        <r>
          <rPr>
            <b/>
            <sz val="9"/>
            <rFont val="Tahoma"/>
          </rPr>
          <t>Jana Holíková:</t>
        </r>
        <r>
          <rPr>
            <sz val="9"/>
            <rFont val="Tahoma"/>
          </rPr>
          <t xml:space="preserve">
24014/02 
-50.000 (741)
+50.000 (528)
24023/02 
-50.000 (741)
+50.000 (416)
</t>
        </r>
      </text>
    </comment>
    <comment ref="D129" authorId="28" shapeId="0">
      <text>
        <r>
          <rPr>
            <b/>
            <sz val="9"/>
            <rFont val="Tahoma"/>
          </rPr>
          <t>Jana Holíková:</t>
        </r>
        <r>
          <rPr>
            <sz val="9"/>
            <rFont val="Tahoma"/>
          </rPr>
          <t xml:space="preserve">
24052/04 +112.397
24074/06 +186.860
24143/10 +315.085
24175/12 +93.877
</t>
        </r>
      </text>
    </comment>
    <comment ref="D137" authorId="29" shapeId="0">
      <text>
        <r>
          <rPr>
            <b/>
            <sz val="9"/>
            <rFont val="Tahoma"/>
          </rPr>
          <t>Jana Holíková:</t>
        </r>
        <r>
          <rPr>
            <sz val="9"/>
            <rFont val="Tahoma"/>
          </rPr>
          <t xml:space="preserve">
24045/03 +180.000
</t>
        </r>
      </text>
    </comment>
    <comment ref="D139" authorId="30" shapeId="0">
      <text>
        <r>
          <rPr>
            <b/>
            <sz val="9"/>
            <rFont val="Tahoma"/>
          </rPr>
          <t>Jana Holíková:</t>
        </r>
        <r>
          <rPr>
            <sz val="9"/>
            <rFont val="Tahoma"/>
          </rPr>
          <t xml:space="preserve">
24005/01 +250.000
</t>
        </r>
      </text>
    </comment>
    <comment ref="D141" authorId="31" shapeId="0">
      <text>
        <r>
          <rPr>
            <b/>
            <sz val="9"/>
            <rFont val="Tahoma"/>
          </rPr>
          <t>Jana Holíková:</t>
        </r>
        <r>
          <rPr>
            <sz val="9"/>
            <rFont val="Tahoma"/>
          </rPr>
          <t xml:space="preserve">
24044/03 -3.000.000
</t>
        </r>
      </text>
    </comment>
    <comment ref="D142" authorId="32" shapeId="0">
      <text>
        <r>
          <rPr>
            <b/>
            <sz val="9"/>
            <rFont val="Tahoma"/>
          </rPr>
          <t>Jana Holíková:</t>
        </r>
        <r>
          <rPr>
            <sz val="9"/>
            <rFont val="Tahoma"/>
          </rPr>
          <t xml:space="preserve">
24044/03 +3.000.000
24115/08 +802.146,80
</t>
        </r>
      </text>
    </comment>
    <comment ref="D143" authorId="33" shapeId="0">
      <text>
        <r>
          <rPr>
            <b/>
            <sz val="9"/>
            <rFont val="Tahoma"/>
          </rPr>
          <t>Jana Holíková:</t>
        </r>
        <r>
          <rPr>
            <sz val="9"/>
            <rFont val="Tahoma"/>
          </rPr>
          <t xml:space="preserve">
24045/03 +1.000
</t>
        </r>
      </text>
    </comment>
    <comment ref="D151" authorId="34" shapeId="0">
      <text>
        <r>
          <rPr>
            <b/>
            <sz val="9"/>
            <rFont val="Tahoma"/>
          </rPr>
          <t>Jana Holíková:</t>
        </r>
        <r>
          <rPr>
            <sz val="9"/>
            <rFont val="Tahoma"/>
          </rPr>
          <t xml:space="preserve">
24119/09 -200.000
</t>
        </r>
      </text>
    </comment>
    <comment ref="D154" authorId="35" shapeId="0">
      <text>
        <r>
          <rPr>
            <b/>
            <sz val="9"/>
            <rFont val="Tahoma"/>
          </rPr>
          <t>Jana Holíková:</t>
        </r>
        <r>
          <rPr>
            <sz val="9"/>
            <rFont val="Tahoma"/>
          </rPr>
          <t xml:space="preserve">
24045/03 +250.000
</t>
        </r>
      </text>
    </comment>
    <comment ref="D157" authorId="36" shapeId="0">
      <text>
        <r>
          <rPr>
            <b/>
            <sz val="9"/>
            <rFont val="Tahoma"/>
          </rPr>
          <t>Jana Holíková:</t>
        </r>
        <r>
          <rPr>
            <sz val="9"/>
            <rFont val="Tahoma"/>
          </rPr>
          <t xml:space="preserve">
24045/03 -250.000 chata Jič
</t>
        </r>
      </text>
    </comment>
    <comment ref="D163" authorId="37" shapeId="0">
      <text>
        <r>
          <rPr>
            <b/>
            <sz val="9"/>
            <rFont val="Tahoma"/>
          </rPr>
          <t>Jana Holíková:</t>
        </r>
        <r>
          <rPr>
            <sz val="9"/>
            <rFont val="Tahoma"/>
          </rPr>
          <t xml:space="preserve">
24088/07 -8.304.000
</t>
        </r>
      </text>
    </comment>
    <comment ref="D164" authorId="38" shapeId="0">
      <text>
        <r>
          <rPr>
            <b/>
            <sz val="9"/>
            <rFont val="Tahoma"/>
          </rPr>
          <t>Jana Holíková:</t>
        </r>
        <r>
          <rPr>
            <sz val="9"/>
            <rFont val="Tahoma"/>
          </rPr>
          <t xml:space="preserve">
24087/07 -1.000.000
</t>
        </r>
      </text>
    </comment>
    <comment ref="D166" authorId="39" shapeId="0">
      <text>
        <r>
          <rPr>
            <b/>
            <sz val="9"/>
            <rFont val="Tahoma"/>
          </rPr>
          <t>Jana Holíková:</t>
        </r>
        <r>
          <rPr>
            <sz val="9"/>
            <rFont val="Tahoma"/>
          </rPr>
          <t xml:space="preserve">
24118/09 -125.387,36
</t>
        </r>
      </text>
    </comment>
    <comment ref="D168" authorId="40" shapeId="0">
      <text>
        <r>
          <rPr>
            <b/>
            <sz val="9"/>
            <rFont val="Tahoma"/>
          </rPr>
          <t>Jana Holíková:</t>
        </r>
        <r>
          <rPr>
            <sz val="9"/>
            <rFont val="Tahoma"/>
          </rPr>
          <t xml:space="preserve">
24065/05 -500.000 EP 
24118/09 -500.000 ZK+Sen
</t>
        </r>
      </text>
    </comment>
    <comment ref="D169" authorId="41" shapeId="0">
      <text>
        <r>
          <rPr>
            <b/>
            <sz val="9"/>
            <rFont val="Tahoma"/>
          </rPr>
          <t>Jana Holíková:</t>
        </r>
        <r>
          <rPr>
            <sz val="9"/>
            <rFont val="Tahoma"/>
          </rPr>
          <t xml:space="preserve">
24073/06 +16.164.266,27 
</t>
        </r>
      </text>
    </comment>
    <comment ref="D172" authorId="42" shapeId="0">
      <text>
        <r>
          <rPr>
            <b/>
            <sz val="9"/>
            <rFont val="Tahoma"/>
          </rPr>
          <t>Jana Holíková:</t>
        </r>
        <r>
          <rPr>
            <sz val="9"/>
            <rFont val="Tahoma"/>
          </rPr>
          <t xml:space="preserve">
24140/10 +57.566.790
</t>
        </r>
      </text>
    </comment>
    <comment ref="D175" authorId="43" shapeId="0">
      <text>
        <r>
          <rPr>
            <b/>
            <sz val="9"/>
            <rFont val="Tahoma"/>
          </rPr>
          <t>Jana Holíková:</t>
        </r>
        <r>
          <rPr>
            <sz val="9"/>
            <rFont val="Tahoma"/>
          </rPr>
          <t xml:space="preserve">
24176/12 -3.306.000
</t>
        </r>
      </text>
    </comment>
    <comment ref="D176" authorId="44" shapeId="0">
      <text>
        <r>
          <rPr>
            <b/>
            <sz val="9"/>
            <rFont val="Tahoma"/>
          </rPr>
          <t>Jana Holíková:</t>
        </r>
        <r>
          <rPr>
            <sz val="9"/>
            <rFont val="Tahoma"/>
          </rPr>
          <t xml:space="preserve">
24176/12 -4.200.000
</t>
        </r>
      </text>
    </comment>
    <comment ref="D177" authorId="45" shapeId="0">
      <text>
        <r>
          <rPr>
            <b/>
            <sz val="9"/>
            <rFont val="Tahoma"/>
          </rPr>
          <t>Jana Holíková:</t>
        </r>
        <r>
          <rPr>
            <sz val="9"/>
            <rFont val="Tahoma"/>
          </rPr>
          <t xml:space="preserve">
24176/12 -5.690.000
</t>
        </r>
      </text>
    </comment>
    <comment ref="D178" authorId="46" shapeId="0">
      <text>
        <r>
          <rPr>
            <b/>
            <sz val="9"/>
            <rFont val="Tahoma"/>
          </rPr>
          <t>Jana Holíková:</t>
        </r>
        <r>
          <rPr>
            <sz val="9"/>
            <rFont val="Tahoma"/>
          </rPr>
          <t xml:space="preserve">
24176/12 +51.260
</t>
        </r>
      </text>
    </comment>
    <comment ref="D179" authorId="47" shapeId="0">
      <text>
        <r>
          <rPr>
            <b/>
            <sz val="9"/>
            <rFont val="Tahoma"/>
          </rPr>
          <t>Jana Holíková:</t>
        </r>
        <r>
          <rPr>
            <sz val="9"/>
            <rFont val="Tahoma"/>
          </rPr>
          <t xml:space="preserve">
24176/12 -204.260
</t>
        </r>
      </text>
    </comment>
    <comment ref="D180" authorId="48" shapeId="0">
      <text>
        <r>
          <rPr>
            <b/>
            <sz val="9"/>
            <rFont val="Tahoma"/>
          </rPr>
          <t>Jana Holíková:</t>
        </r>
        <r>
          <rPr>
            <sz val="9"/>
            <rFont val="Tahoma"/>
          </rPr>
          <t xml:space="preserve">
24176/12 -610.000
</t>
        </r>
      </text>
    </comment>
    <comment ref="D186" authorId="49" shapeId="0">
      <text>
        <r>
          <rPr>
            <b/>
            <sz val="9"/>
            <rFont val="Tahoma"/>
          </rPr>
          <t>Jana Holíková:</t>
        </r>
        <r>
          <rPr>
            <sz val="9"/>
            <rFont val="Tahoma"/>
          </rPr>
          <t xml:space="preserve">
24005/01 -522.932
</t>
        </r>
      </text>
    </comment>
    <comment ref="D187" authorId="50" shapeId="0">
      <text>
        <r>
          <rPr>
            <b/>
            <sz val="9"/>
            <rFont val="Tahoma"/>
          </rPr>
          <t>Jana Holíková:</t>
        </r>
        <r>
          <rPr>
            <sz val="9"/>
            <rFont val="Tahoma"/>
          </rPr>
          <t xml:space="preserve">
24062/05-400.000
</t>
        </r>
      </text>
    </comment>
    <comment ref="D188" authorId="51" shapeId="0">
      <text>
        <r>
          <rPr>
            <b/>
            <sz val="9"/>
            <rFont val="Tahoma"/>
          </rPr>
          <t>Jana Holíková:</t>
        </r>
        <r>
          <rPr>
            <sz val="9"/>
            <rFont val="Tahoma"/>
          </rPr>
          <t xml:space="preserve">
24072/05 -1.002.336,01
</t>
        </r>
      </text>
    </comment>
    <comment ref="D189" authorId="52" shapeId="0">
      <text>
        <r>
          <rPr>
            <b/>
            <sz val="9"/>
            <rFont val="Tahoma"/>
          </rPr>
          <t>Jana Holíková:</t>
        </r>
        <r>
          <rPr>
            <sz val="9"/>
            <rFont val="Tahoma"/>
          </rPr>
          <t xml:space="preserve">
24114/08 -1.700.000
</t>
        </r>
      </text>
    </comment>
    <comment ref="D190" authorId="53" shapeId="0">
      <text>
        <r>
          <rPr>
            <b/>
            <sz val="9"/>
            <rFont val="Tahoma"/>
          </rPr>
          <t>Jana Holíková:</t>
        </r>
        <r>
          <rPr>
            <sz val="9"/>
            <rFont val="Tahoma"/>
          </rPr>
          <t xml:space="preserve">
24176/12 -585.000
</t>
        </r>
      </text>
    </comment>
    <comment ref="D194" authorId="54" shapeId="0">
      <text>
        <r>
          <rPr>
            <b/>
            <sz val="9"/>
            <rFont val="Tahoma"/>
          </rPr>
          <t>Jana Holíková:</t>
        </r>
        <r>
          <rPr>
            <sz val="9"/>
            <rFont val="Tahoma"/>
          </rPr>
          <t xml:space="preserve">
24018/02 +124.612,64
24050/04 +-124.612,64
</t>
        </r>
      </text>
    </comment>
    <comment ref="D195" authorId="55" shapeId="0">
      <text>
        <r>
          <rPr>
            <b/>
            <sz val="9"/>
            <rFont val="Tahoma"/>
          </rPr>
          <t>Jana Holíková:</t>
        </r>
        <r>
          <rPr>
            <sz val="9"/>
            <rFont val="Tahoma"/>
          </rPr>
          <t xml:space="preserve">
24118/09 +713.000
</t>
        </r>
      </text>
    </comment>
    <comment ref="D196" authorId="56" shapeId="0">
      <text>
        <r>
          <rPr>
            <b/>
            <sz val="9"/>
            <rFont val="Tahoma"/>
          </rPr>
          <t>Jana Holíková:</t>
        </r>
        <r>
          <rPr>
            <sz val="9"/>
            <rFont val="Tahoma"/>
          </rPr>
          <t xml:space="preserve">
24065/05 +724.000
</t>
        </r>
      </text>
    </comment>
    <comment ref="D199" authorId="57" shapeId="0">
      <text>
        <r>
          <rPr>
            <b/>
            <sz val="9"/>
            <rFont val="Tahoma"/>
          </rPr>
          <t>Jana Holíková:</t>
        </r>
        <r>
          <rPr>
            <sz val="9"/>
            <rFont val="Tahoma"/>
          </rPr>
          <t xml:space="preserve">
23087/07 +1.067.803
</t>
        </r>
      </text>
    </comment>
    <comment ref="D200" authorId="58" shapeId="0">
      <text>
        <r>
          <rPr>
            <b/>
            <sz val="9"/>
            <rFont val="Tahoma"/>
          </rPr>
          <t>Jana Holíková:</t>
        </r>
        <r>
          <rPr>
            <sz val="9"/>
            <rFont val="Tahoma"/>
          </rPr>
          <t xml:space="preserve">
24018/02 +625.431,35
24174/12 -114.563,55
</t>
        </r>
      </text>
    </comment>
    <comment ref="D201" authorId="59" shapeId="0">
      <text>
        <r>
          <rPr>
            <b/>
            <sz val="9"/>
            <rFont val="Tahoma"/>
          </rPr>
          <t>Jana Holíková:</t>
        </r>
        <r>
          <rPr>
            <sz val="9"/>
            <rFont val="Tahoma"/>
          </rPr>
          <t xml:space="preserve">
24088/07 +8.122.800
</t>
        </r>
      </text>
    </comment>
    <comment ref="D202" authorId="60" shapeId="0">
      <text>
        <r>
          <rPr>
            <b/>
            <sz val="9"/>
            <rFont val="Tahoma"/>
          </rPr>
          <t>Jana Holíková:</t>
        </r>
        <r>
          <rPr>
            <sz val="9"/>
            <rFont val="Tahoma"/>
          </rPr>
          <t xml:space="preserve">
24066/05 
+   261.245,45 úz17084 1491
+4.441.172,63 úz17085 1495
</t>
        </r>
      </text>
    </comment>
    <comment ref="D203" authorId="61" shapeId="0">
      <text>
        <r>
          <rPr>
            <b/>
            <sz val="9"/>
            <rFont val="Tahoma"/>
          </rPr>
          <t>Jana Holíková:</t>
        </r>
        <r>
          <rPr>
            <sz val="9"/>
            <rFont val="Tahoma"/>
          </rPr>
          <t xml:space="preserve">
24072/05 
+   61.704,81 úz17085 1495
</t>
        </r>
      </text>
    </comment>
    <comment ref="D204" authorId="62" shapeId="0">
      <text>
        <r>
          <rPr>
            <b/>
            <sz val="9"/>
            <rFont val="Tahoma"/>
          </rPr>
          <t>Jana Holíková:</t>
        </r>
        <r>
          <rPr>
            <sz val="9"/>
            <rFont val="Tahoma"/>
          </rPr>
          <t xml:space="preserve">
24062/05 +400.000
</t>
        </r>
      </text>
    </comment>
    <comment ref="D205" authorId="63" shapeId="0">
      <text>
        <r>
          <rPr>
            <b/>
            <sz val="9"/>
            <rFont val="Tahoma"/>
          </rPr>
          <t>Jana Holíková:</t>
        </r>
        <r>
          <rPr>
            <sz val="9"/>
            <rFont val="Tahoma"/>
          </rPr>
          <t xml:space="preserve">
24176/12 -100.000
</t>
        </r>
      </text>
    </comment>
    <comment ref="D206" authorId="64" shapeId="0">
      <text>
        <r>
          <rPr>
            <b/>
            <sz val="9"/>
            <rFont val="Tahoma"/>
          </rPr>
          <t>Jana Holíková:</t>
        </r>
        <r>
          <rPr>
            <sz val="9"/>
            <rFont val="Tahoma"/>
          </rPr>
          <t xml:space="preserve">
24108/08 +920.000
</t>
        </r>
      </text>
    </comment>
    <comment ref="D208" authorId="65" shapeId="0">
      <text>
        <r>
          <rPr>
            <b/>
            <sz val="9"/>
            <rFont val="Tahoma"/>
          </rPr>
          <t>Jana Holíková:</t>
        </r>
        <r>
          <rPr>
            <sz val="9"/>
            <rFont val="Tahoma"/>
          </rPr>
          <t xml:space="preserve">
24176/12 +7.500
</t>
        </r>
      </text>
    </comment>
    <comment ref="D209" authorId="66" shapeId="0">
      <text>
        <r>
          <rPr>
            <b/>
            <sz val="9"/>
            <rFont val="Tahoma"/>
          </rPr>
          <t>Jana Holíková:</t>
        </r>
        <r>
          <rPr>
            <sz val="9"/>
            <rFont val="Tahoma"/>
          </rPr>
          <t xml:space="preserve">
24176/12 -1.131
</t>
        </r>
      </text>
    </comment>
    <comment ref="D210" authorId="67" shapeId="0">
      <text>
        <r>
          <rPr>
            <b/>
            <sz val="9"/>
            <rFont val="Tahoma"/>
          </rPr>
          <t>Jana Holíková:</t>
        </r>
        <r>
          <rPr>
            <sz val="9"/>
            <rFont val="Tahoma"/>
          </rPr>
          <t xml:space="preserve">
24176/12 -83.296
</t>
        </r>
      </text>
    </comment>
    <comment ref="D211" authorId="68" shapeId="0">
      <text>
        <r>
          <rPr>
            <b/>
            <sz val="9"/>
            <rFont val="Tahoma"/>
          </rPr>
          <t>Jana Holíková:</t>
        </r>
        <r>
          <rPr>
            <sz val="9"/>
            <rFont val="Tahoma"/>
          </rPr>
          <t xml:space="preserve">
24176/12 -205.034
</t>
        </r>
      </text>
    </comment>
    <comment ref="D212" authorId="69" shapeId="0">
      <text>
        <r>
          <rPr>
            <b/>
            <sz val="9"/>
            <rFont val="Tahoma"/>
          </rPr>
          <t>Jana Holíková:</t>
        </r>
        <r>
          <rPr>
            <sz val="9"/>
            <rFont val="Tahoma"/>
          </rPr>
          <t xml:space="preserve">
24041/03 -+ 354.926
z ORJ 541 na 029
</t>
        </r>
      </text>
    </comment>
    <comment ref="D213" authorId="70" shapeId="0">
      <text>
        <r>
          <rPr>
            <b/>
            <sz val="9"/>
            <rFont val="Tahoma"/>
          </rPr>
          <t>Jana Holíková:</t>
        </r>
        <r>
          <rPr>
            <sz val="9"/>
            <rFont val="Tahoma"/>
          </rPr>
          <t xml:space="preserve">
24176/12 +65.724,92 DPH
+312.975,82
24177/12 -53.340 DPH
 -254.000
</t>
        </r>
      </text>
    </comment>
    <comment ref="D214" authorId="71" shapeId="0">
      <text>
        <r>
          <rPr>
            <b/>
            <sz val="9"/>
            <rFont val="Tahoma"/>
          </rPr>
          <t>Jana Holíková:</t>
        </r>
        <r>
          <rPr>
            <sz val="9"/>
            <rFont val="Tahoma"/>
          </rPr>
          <t xml:space="preserve">
24176/12 +150
</t>
        </r>
      </text>
    </comment>
    <comment ref="D215" authorId="72" shapeId="0">
      <text>
        <r>
          <rPr>
            <b/>
            <sz val="9"/>
            <rFont val="Tahoma"/>
          </rPr>
          <t>Jana Holíková:</t>
        </r>
        <r>
          <rPr>
            <sz val="9"/>
            <rFont val="Tahoma"/>
          </rPr>
          <t xml:space="preserve">
24176/12 +9.000
</t>
        </r>
      </text>
    </comment>
    <comment ref="D217" authorId="73" shapeId="0">
      <text>
        <r>
          <rPr>
            <b/>
            <sz val="9"/>
            <rFont val="Tahoma"/>
          </rPr>
          <t>Jana Holíková:</t>
        </r>
        <r>
          <rPr>
            <sz val="9"/>
            <rFont val="Tahoma"/>
          </rPr>
          <t xml:space="preserve">
24001/01 +4.743.000
</t>
        </r>
      </text>
    </comment>
    <comment ref="D218" authorId="74" shapeId="0">
      <text>
        <r>
          <rPr>
            <b/>
            <sz val="9"/>
            <rFont val="Tahoma"/>
          </rPr>
          <t>Jana Holíková:</t>
        </r>
        <r>
          <rPr>
            <sz val="9"/>
            <rFont val="Tahoma"/>
          </rPr>
          <t xml:space="preserve">
24056/04 +80.000 úz673
24119/09 
-80.000 úz673
+80.000 úz674
</t>
        </r>
      </text>
    </comment>
    <comment ref="D219" authorId="75" shapeId="0">
      <text>
        <r>
          <rPr>
            <b/>
            <sz val="9"/>
            <rFont val="Tahoma"/>
          </rPr>
          <t>Jana Holíková:</t>
        </r>
        <r>
          <rPr>
            <sz val="9"/>
            <rFont val="Tahoma"/>
          </rPr>
          <t xml:space="preserve">
24130/09 +500.000
</t>
        </r>
      </text>
    </comment>
    <comment ref="D220" authorId="76" shapeId="0">
      <text>
        <r>
          <rPr>
            <b/>
            <sz val="9"/>
            <rFont val="Tahoma"/>
          </rPr>
          <t>Jana Holíková:</t>
        </r>
        <r>
          <rPr>
            <sz val="9"/>
            <rFont val="Tahoma"/>
          </rPr>
          <t xml:space="preserve">
24055/04 +210.200
</t>
        </r>
      </text>
    </comment>
    <comment ref="D221" authorId="77" shapeId="0">
      <text>
        <r>
          <rPr>
            <b/>
            <sz val="9"/>
            <rFont val="Tahoma"/>
          </rPr>
          <t>Jana Holíková:</t>
        </r>
        <r>
          <rPr>
            <sz val="9"/>
            <rFont val="Tahoma"/>
          </rPr>
          <t xml:space="preserve">
24030/03 
+ 3.419,60  úz253 1441
+30.776,40 úz911 1445
24096/07 
- 1.303,80 úz253 1441
-11.734,20 úz911 1445
24121/09 
+ 12.834   úz253 1441
+115.506  úz 911 1445
</t>
        </r>
      </text>
    </comment>
    <comment ref="D222" authorId="78" shapeId="0">
      <text>
        <r>
          <rPr>
            <b/>
            <sz val="9"/>
            <rFont val="Tahoma"/>
          </rPr>
          <t>Jana Holíková:</t>
        </r>
        <r>
          <rPr>
            <sz val="9"/>
            <rFont val="Tahoma"/>
          </rPr>
          <t xml:space="preserve">
24027/03 
+ 4.890  úz253 1441
+44.010 úz911 1445
24092/07 
- 1.607,20 úz 253 1441
-14.464,80 úz911 1445
24166/12 
+ 9.850   úz253 1441
+88.650  úz911 1445
</t>
        </r>
      </text>
    </comment>
    <comment ref="D223" authorId="79" shapeId="0">
      <text>
        <r>
          <rPr>
            <b/>
            <sz val="9"/>
            <rFont val="Tahoma"/>
          </rPr>
          <t>Jana Holíková:</t>
        </r>
        <r>
          <rPr>
            <sz val="9"/>
            <rFont val="Tahoma"/>
          </rPr>
          <t xml:space="preserve">
24027/03 
+ 7.519  úz253 1441
+67.671 úz911 1445
24144/10
- 5.202,40  úz253 1441
-46.821,60 úz911 1445
24152/11
+17.098,20 úz253 1441
+153.883,80 úz911 1445
</t>
        </r>
      </text>
    </comment>
    <comment ref="D224" authorId="80" shapeId="0">
      <text>
        <r>
          <rPr>
            <b/>
            <sz val="9"/>
            <rFont val="Tahoma"/>
          </rPr>
          <t>Jana Holíková:</t>
        </r>
        <r>
          <rPr>
            <sz val="9"/>
            <rFont val="Tahoma"/>
          </rPr>
          <t xml:space="preserve">
24029/03 
+ 6.180  úz253 1441
+55.620 úz911 1445
24095/07
- 4.116 úz253 1441
-37.044 úz911 1445
24122/09 
+ 9.159,75 úz253 1441
+82.437,75 úz911 1445
</t>
        </r>
      </text>
    </comment>
    <comment ref="D225" authorId="81" shapeId="0">
      <text>
        <r>
          <rPr>
            <b/>
            <sz val="9"/>
            <rFont val="Tahoma"/>
          </rPr>
          <t>Jana Holíková:</t>
        </r>
        <r>
          <rPr>
            <sz val="9"/>
            <rFont val="Tahoma"/>
          </rPr>
          <t xml:space="preserve">
24142/10
+ 11.663,45  úz253 1441
+104.971,05 úz911 1445
</t>
        </r>
      </text>
    </comment>
    <comment ref="D226" authorId="82" shapeId="0">
      <text>
        <r>
          <rPr>
            <b/>
            <sz val="9"/>
            <rFont val="Tahoma"/>
          </rPr>
          <t>Jana Holíková:</t>
        </r>
        <r>
          <rPr>
            <sz val="9"/>
            <rFont val="Tahoma"/>
          </rPr>
          <t xml:space="preserve">
24117/09 +170.400
</t>
        </r>
      </text>
    </comment>
    <comment ref="D227" authorId="83" shapeId="0">
      <text>
        <r>
          <rPr>
            <b/>
            <sz val="9"/>
            <rFont val="Tahoma"/>
          </rPr>
          <t>Jana Holíková:</t>
        </r>
        <r>
          <rPr>
            <sz val="9"/>
            <rFont val="Tahoma"/>
          </rPr>
          <t xml:space="preserve">
24031/03 +4.573.000
24570/05 oprava úz na 914
24127/09 +441.000 úz914
</t>
        </r>
      </text>
    </comment>
    <comment ref="D228" authorId="84" shapeId="0">
      <text>
        <r>
          <rPr>
            <b/>
            <sz val="9"/>
            <rFont val="Tahoma"/>
          </rPr>
          <t>Jana Holíková:</t>
        </r>
        <r>
          <rPr>
            <sz val="9"/>
            <rFont val="Tahoma"/>
          </rPr>
          <t xml:space="preserve">
24163/11 +63.113
</t>
        </r>
      </text>
    </comment>
    <comment ref="D229" authorId="85" shapeId="0">
      <text>
        <r>
          <rPr>
            <b/>
            <sz val="9"/>
            <rFont val="Tahoma"/>
          </rPr>
          <t>Jana Holíková:</t>
        </r>
        <r>
          <rPr>
            <sz val="9"/>
            <rFont val="Tahoma"/>
          </rPr>
          <t xml:space="preserve">
24172/12 úz 916
+607.616,31  035
+ 44.457,58  102
+ 48.264,06  019
+217.682,05  110
</t>
        </r>
      </text>
    </comment>
    <comment ref="E232" authorId="86" shapeId="0">
      <text>
        <r>
          <rPr>
            <b/>
            <sz val="9"/>
            <rFont val="Tahoma"/>
          </rPr>
          <t>Jana Holíková:</t>
        </r>
        <r>
          <rPr>
            <sz val="9"/>
            <rFont val="Tahoma"/>
          </rPr>
          <t xml:space="preserve">
040 - ř.4310
</t>
        </r>
      </text>
    </comment>
    <comment ref="D235" authorId="87" shapeId="0">
      <text>
        <r>
          <rPr>
            <b/>
            <sz val="9"/>
            <rFont val="Tahoma"/>
          </rPr>
          <t>Jana Holíková:</t>
        </r>
        <r>
          <rPr>
            <sz val="9"/>
            <rFont val="Tahoma"/>
          </rPr>
          <t xml:space="preserve">
24176/12 -1.817.357,44
</t>
        </r>
      </text>
    </comment>
    <comment ref="D236" authorId="88" shapeId="0">
      <text>
        <r>
          <rPr>
            <b/>
            <sz val="9"/>
            <rFont val="Tahoma"/>
          </rPr>
          <t>Jana Holíková:</t>
        </r>
        <r>
          <rPr>
            <sz val="9"/>
            <rFont val="Tahoma"/>
          </rPr>
          <t xml:space="preserve">
24179/12 +1.089.981,05
</t>
        </r>
      </text>
    </comment>
    <comment ref="D238" authorId="89" shapeId="0">
      <text>
        <r>
          <rPr>
            <b/>
            <sz val="9"/>
            <rFont val="Tahoma"/>
          </rPr>
          <t>Jana Holíková:</t>
        </r>
        <r>
          <rPr>
            <sz val="9"/>
            <rFont val="Tahoma"/>
          </rPr>
          <t xml:space="preserve">
24173/12 +891.942,97
</t>
        </r>
      </text>
    </comment>
    <comment ref="D239" authorId="90" shapeId="0">
      <text>
        <r>
          <rPr>
            <b/>
            <sz val="9"/>
            <rFont val="Tahoma"/>
          </rPr>
          <t>Jana Holíková:</t>
        </r>
        <r>
          <rPr>
            <sz val="9"/>
            <rFont val="Tahoma"/>
          </rPr>
          <t xml:space="preserve">
24066/05 
+  336.616,61 úz17518 1491
+5.722.482,44 úz17519 1495
</t>
        </r>
      </text>
    </comment>
    <comment ref="D240" authorId="91" shapeId="0">
      <text>
        <r>
          <rPr>
            <b/>
            <sz val="9"/>
            <rFont val="Tahoma"/>
          </rPr>
          <t>Jana Holíková:</t>
        </r>
        <r>
          <rPr>
            <sz val="9"/>
            <rFont val="Tahoma"/>
          </rPr>
          <t xml:space="preserve">
24072/05 
+  881.497,39 úz17519 1495
</t>
        </r>
      </text>
    </comment>
    <comment ref="D241" authorId="92" shapeId="0">
      <text>
        <r>
          <rPr>
            <b/>
            <sz val="9"/>
            <rFont val="Tahoma"/>
          </rPr>
          <t>Jana Holíková:</t>
        </r>
        <r>
          <rPr>
            <sz val="9"/>
            <rFont val="Tahoma"/>
          </rPr>
          <t xml:space="preserve">
24114/0/85 
+ 1.093.905,82 úz17519 1495
24176/12 
-1.093.905,82
</t>
        </r>
      </text>
    </comment>
    <comment ref="D242" authorId="93" shapeId="0">
      <text>
        <r>
          <rPr>
            <b/>
            <sz val="9"/>
            <rFont val="Tahoma"/>
          </rPr>
          <t>Jana Holíková:</t>
        </r>
        <r>
          <rPr>
            <sz val="9"/>
            <rFont val="Tahoma"/>
          </rPr>
          <t xml:space="preserve">
24089/07 úz 17526
+121.920,75 (NáZ 1701)
+580.575  (NáZ 1705)
</t>
        </r>
      </text>
    </comment>
    <comment ref="D243" authorId="94" shapeId="0">
      <text>
        <r>
          <rPr>
            <b/>
            <sz val="9"/>
            <rFont val="Tahoma"/>
          </rPr>
          <t>Jana Holíková:</t>
        </r>
        <r>
          <rPr>
            <sz val="9"/>
            <rFont val="Tahoma"/>
          </rPr>
          <t xml:space="preserve">
24035/03 + 5.514.060
</t>
        </r>
      </text>
    </comment>
    <comment ref="D244" authorId="95" shapeId="0">
      <text>
        <r>
          <rPr>
            <b/>
            <sz val="9"/>
            <rFont val="Tahoma"/>
          </rPr>
          <t>Jana Holíková:</t>
        </r>
        <r>
          <rPr>
            <sz val="9"/>
            <rFont val="Tahoma"/>
          </rPr>
          <t xml:space="preserve">
24182/12 +14.953.726
</t>
        </r>
      </text>
    </comment>
    <comment ref="D246" authorId="96" shapeId="0">
      <text>
        <r>
          <rPr>
            <b/>
            <sz val="9"/>
            <rFont val="Tahoma"/>
          </rPr>
          <t>Jana Holíková:</t>
        </r>
        <r>
          <rPr>
            <sz val="9"/>
            <rFont val="Tahoma"/>
          </rPr>
          <t xml:space="preserve">
24176/12 -79.980
</t>
        </r>
      </text>
    </comment>
    <comment ref="D247" authorId="97" shapeId="0">
      <text>
        <r>
          <rPr>
            <b/>
            <sz val="9"/>
            <rFont val="Tahoma"/>
          </rPr>
          <t>Jana Holíková:</t>
        </r>
        <r>
          <rPr>
            <sz val="9"/>
            <rFont val="Tahoma"/>
          </rPr>
          <t xml:space="preserve">
24057/04 +300.000
</t>
        </r>
      </text>
    </comment>
    <comment ref="D248" authorId="98" shapeId="0">
      <text>
        <r>
          <rPr>
            <b/>
            <sz val="9"/>
            <rFont val="Tahoma"/>
          </rPr>
          <t>Jana Holíková:</t>
        </r>
        <r>
          <rPr>
            <sz val="9"/>
            <rFont val="Tahoma"/>
          </rPr>
          <t xml:space="preserve">
24176/12 +911
</t>
        </r>
      </text>
    </comment>
    <comment ref="D249" authorId="99" shapeId="0">
      <text>
        <r>
          <rPr>
            <b/>
            <sz val="9"/>
            <rFont val="Tahoma"/>
          </rPr>
          <t>Jana Holíková:</t>
        </r>
        <r>
          <rPr>
            <sz val="9"/>
            <rFont val="Tahoma"/>
          </rPr>
          <t xml:space="preserve">
24104/07 +1.200.000
</t>
        </r>
      </text>
    </comment>
    <comment ref="D250" authorId="100" shapeId="0">
      <text>
        <r>
          <rPr>
            <b/>
            <sz val="9"/>
            <rFont val="Tahoma"/>
          </rPr>
          <t>Jana Holíková:</t>
        </r>
        <r>
          <rPr>
            <sz val="9"/>
            <rFont val="Tahoma"/>
          </rPr>
          <t xml:space="preserve">
24176/12 -287.980
</t>
        </r>
      </text>
    </comment>
    <comment ref="D255" authorId="101" shapeId="0">
      <text>
        <r>
          <rPr>
            <b/>
            <sz val="9"/>
            <rFont val="Tahoma"/>
          </rPr>
          <t>Jana Holíková:</t>
        </r>
        <r>
          <rPr>
            <sz val="9"/>
            <rFont val="Tahoma"/>
          </rPr>
          <t xml:space="preserve">
24073 -+16.164.266,27
</t>
        </r>
      </text>
    </comment>
    <comment ref="D268" authorId="102" shapeId="0">
      <text>
        <r>
          <rPr>
            <b/>
            <sz val="9"/>
            <rFont val="Tahoma"/>
          </rPr>
          <t>Jana Holíková:</t>
        </r>
        <r>
          <rPr>
            <sz val="9"/>
            <rFont val="Tahoma"/>
          </rPr>
          <t xml:space="preserve">
24009/01 -200.000
</t>
        </r>
      </text>
    </comment>
    <comment ref="D269" authorId="103" shapeId="0">
      <text>
        <r>
          <rPr>
            <b/>
            <sz val="9"/>
            <rFont val="Tahoma"/>
          </rPr>
          <t>Jana Holíková:</t>
        </r>
        <r>
          <rPr>
            <sz val="9"/>
            <rFont val="Tahoma"/>
          </rPr>
          <t xml:space="preserve">
24126/09 +60.016
</t>
        </r>
      </text>
    </comment>
    <comment ref="D270" authorId="104" shapeId="0">
      <text>
        <r>
          <rPr>
            <b/>
            <sz val="9"/>
            <rFont val="Tahoma"/>
          </rPr>
          <t>Jana Holíková:</t>
        </r>
        <r>
          <rPr>
            <sz val="9"/>
            <rFont val="Tahoma"/>
          </rPr>
          <t xml:space="preserve">
24009/01 -1.500.000
</t>
        </r>
      </text>
    </comment>
    <comment ref="D272" authorId="105" shapeId="0">
      <text>
        <r>
          <rPr>
            <b/>
            <sz val="9"/>
            <rFont val="Tahoma"/>
          </rPr>
          <t>Jana Holíková:</t>
        </r>
        <r>
          <rPr>
            <sz val="9"/>
            <rFont val="Tahoma"/>
          </rPr>
          <t xml:space="preserve">
24603/07 +70.000
24649/10 +5.000
</t>
        </r>
      </text>
    </comment>
    <comment ref="D273" authorId="106" shapeId="0">
      <text>
        <r>
          <rPr>
            <b/>
            <sz val="9"/>
            <rFont val="Tahoma"/>
          </rPr>
          <t>Jana Holíková:</t>
        </r>
        <r>
          <rPr>
            <sz val="9"/>
            <rFont val="Tahoma"/>
          </rPr>
          <t xml:space="preserve">
24689/11 -93.500
24686/11 -54.408
</t>
        </r>
      </text>
    </comment>
    <comment ref="D274" authorId="107" shapeId="0">
      <text>
        <r>
          <rPr>
            <b/>
            <sz val="9"/>
            <rFont val="Tahoma"/>
          </rPr>
          <t>Jana Holíková:</t>
        </r>
        <r>
          <rPr>
            <sz val="9"/>
            <rFont val="Tahoma"/>
          </rPr>
          <t xml:space="preserve">
24603/07 -70.000
24112/08 +518.811,7
24126/09 -60.016
24649/10 -5.000
24679/11 +93.500
24686/11 +54.408
24714/12 +200.000
</t>
        </r>
      </text>
    </comment>
    <comment ref="D275" authorId="108" shapeId="0">
      <text>
        <r>
          <rPr>
            <b/>
            <sz val="9"/>
            <rFont val="Tahoma"/>
          </rPr>
          <t>Jana Holíková:</t>
        </r>
        <r>
          <rPr>
            <sz val="9"/>
            <rFont val="Tahoma"/>
          </rPr>
          <t xml:space="preserve">
24714/12 -200.000
</t>
        </r>
      </text>
    </comment>
    <comment ref="D277" authorId="109" shapeId="0">
      <text>
        <r>
          <rPr>
            <b/>
            <sz val="9"/>
            <rFont val="Tahoma"/>
          </rPr>
          <t>Jana Holíková:</t>
        </r>
        <r>
          <rPr>
            <sz val="9"/>
            <rFont val="Tahoma"/>
          </rPr>
          <t xml:space="preserve">
24161/11 +181.000
24172/12 +44.457,58 úz916
</t>
        </r>
      </text>
    </comment>
    <comment ref="D281" authorId="110" shapeId="0">
      <text>
        <r>
          <rPr>
            <b/>
            <sz val="9"/>
            <rFont val="Tahoma"/>
          </rPr>
          <t>Jana Holíková:</t>
        </r>
        <r>
          <rPr>
            <sz val="9"/>
            <rFont val="Tahoma"/>
          </rPr>
          <t xml:space="preserve">
24508/01 -42.086
24139/10 -87.914
</t>
        </r>
      </text>
    </comment>
    <comment ref="D282" authorId="111" shapeId="0">
      <text>
        <r>
          <rPr>
            <b/>
            <sz val="9"/>
            <rFont val="Tahoma"/>
          </rPr>
          <t>Jana Holíková:</t>
        </r>
        <r>
          <rPr>
            <sz val="9"/>
            <rFont val="Tahoma"/>
          </rPr>
          <t xml:space="preserve">
24508/01 +42.086
</t>
        </r>
      </text>
    </comment>
    <comment ref="D284" authorId="112" shapeId="0">
      <text>
        <r>
          <rPr>
            <b/>
            <sz val="9"/>
            <rFont val="Tahoma"/>
          </rPr>
          <t>Jana Holíková:</t>
        </r>
        <r>
          <rPr>
            <sz val="9"/>
            <rFont val="Tahoma"/>
          </rPr>
          <t xml:space="preserve">
24153/11 -102.363
</t>
        </r>
      </text>
    </comment>
    <comment ref="D286" authorId="113" shapeId="0">
      <text>
        <r>
          <rPr>
            <b/>
            <sz val="9"/>
            <rFont val="Tahoma"/>
          </rPr>
          <t>Jana Holíková:</t>
        </r>
        <r>
          <rPr>
            <sz val="9"/>
            <rFont val="Tahoma"/>
          </rPr>
          <t xml:space="preserve">
24153/11 -800.000
</t>
        </r>
      </text>
    </comment>
    <comment ref="D287" authorId="114" shapeId="0">
      <text>
        <r>
          <rPr>
            <b/>
            <sz val="9"/>
            <rFont val="Tahoma"/>
          </rPr>
          <t>Jana Holíková:</t>
        </r>
        <r>
          <rPr>
            <sz val="9"/>
            <rFont val="Tahoma"/>
          </rPr>
          <t xml:space="preserve">
24076/06 -353.320
24153/11 -1.500.000
24172/12 +217.682,05 úz916
24180/12 -700.000
24181/12 -217.682,05
</t>
        </r>
      </text>
    </comment>
    <comment ref="D288" authorId="115" shapeId="0">
      <text>
        <r>
          <rPr>
            <b/>
            <sz val="9"/>
            <rFont val="Tahoma"/>
          </rPr>
          <t>Jana Holíková:</t>
        </r>
        <r>
          <rPr>
            <sz val="9"/>
            <rFont val="Tahoma"/>
          </rPr>
          <t xml:space="preserve">
24099/07 -844.606,62
24662/10 +360.000
24663/10 +298.000
24670/11 +2.031,60
monika
+482.527,60
</t>
        </r>
      </text>
    </comment>
    <comment ref="D289" authorId="116" shapeId="0">
      <text>
        <r>
          <rPr>
            <b/>
            <sz val="9"/>
            <rFont val="Tahoma"/>
          </rPr>
          <t>Jana Holíková:</t>
        </r>
        <r>
          <rPr>
            <sz val="9"/>
            <rFont val="Tahoma"/>
          </rPr>
          <t xml:space="preserve">
24139/10 -162.086
24662/10 -360.000
24663/10 -298.000
24160/11 -427.100
24161/11 -181.000
24670/11 -2.031,60
</t>
        </r>
      </text>
    </comment>
    <comment ref="D291" authorId="117" shapeId="0">
      <text>
        <r>
          <rPr>
            <b/>
            <sz val="9"/>
            <rFont val="Tahoma"/>
          </rPr>
          <t>Jana Holíková:</t>
        </r>
        <r>
          <rPr>
            <sz val="9"/>
            <rFont val="Tahoma"/>
          </rPr>
          <t xml:space="preserve">
monika 
-482.527,60
</t>
        </r>
      </text>
    </comment>
    <comment ref="D292" authorId="118" shapeId="0">
      <text>
        <r>
          <rPr>
            <b/>
            <sz val="9"/>
            <rFont val="Tahoma"/>
          </rPr>
          <t>Jana Holíková:</t>
        </r>
        <r>
          <rPr>
            <sz val="9"/>
            <rFont val="Tahoma"/>
          </rPr>
          <t xml:space="preserve">
24060/05 +1.100.000
lávka Novosady
</t>
        </r>
      </text>
    </comment>
    <comment ref="D295" authorId="119" shapeId="0">
      <text>
        <r>
          <rPr>
            <b/>
            <sz val="9"/>
            <rFont val="Tahoma"/>
          </rPr>
          <t>Jana Holíková:</t>
        </r>
        <r>
          <rPr>
            <sz val="9"/>
            <rFont val="Tahoma"/>
          </rPr>
          <t xml:space="preserve">
24090/07 +26.555
</t>
        </r>
      </text>
    </comment>
    <comment ref="D298" authorId="120" shapeId="0">
      <text>
        <r>
          <rPr>
            <b/>
            <sz val="9"/>
            <rFont val="Tahoma"/>
          </rPr>
          <t>Jana Holíková:</t>
        </r>
        <r>
          <rPr>
            <sz val="9"/>
            <rFont val="Tahoma"/>
          </rPr>
          <t xml:space="preserve">
24010/01 +100.000
24580/06 +76.452,36
</t>
        </r>
      </text>
    </comment>
    <comment ref="D301" authorId="121" shapeId="0">
      <text>
        <r>
          <rPr>
            <b/>
            <sz val="9"/>
            <rFont val="Tahoma"/>
          </rPr>
          <t>Jana Holíková:</t>
        </r>
        <r>
          <rPr>
            <sz val="9"/>
            <rFont val="Tahoma"/>
          </rPr>
          <t xml:space="preserve">
24580/06 -76.452,36
</t>
        </r>
      </text>
    </comment>
    <comment ref="D302" authorId="122" shapeId="0">
      <text>
        <r>
          <rPr>
            <b/>
            <sz val="9"/>
            <rFont val="Tahoma"/>
          </rPr>
          <t>Jana Holíková:</t>
        </r>
        <r>
          <rPr>
            <sz val="9"/>
            <rFont val="Tahoma"/>
          </rPr>
          <t xml:space="preserve">
24019/02 +266.805
24099/07 +844.606,62
24160/11 +427.100
</t>
        </r>
      </text>
    </comment>
    <comment ref="D304" authorId="123" shapeId="0">
      <text>
        <r>
          <rPr>
            <b/>
            <sz val="9"/>
            <rFont val="Tahoma"/>
          </rPr>
          <t>Jana Holíková:</t>
        </r>
        <r>
          <rPr>
            <sz val="9"/>
            <rFont val="Tahoma"/>
          </rPr>
          <t xml:space="preserve">
24582/06 +-16.044,60
z 5169 na 5139
</t>
        </r>
      </text>
    </comment>
    <comment ref="D308" authorId="124" shapeId="0">
      <text>
        <r>
          <rPr>
            <b/>
            <sz val="9"/>
            <rFont val="Tahoma"/>
          </rPr>
          <t>Jana Holíková:</t>
        </r>
        <r>
          <rPr>
            <sz val="9"/>
            <rFont val="Tahoma"/>
          </rPr>
          <t xml:space="preserve">
24146/10 -2.859.600
</t>
        </r>
      </text>
    </comment>
    <comment ref="D309" authorId="125" shapeId="0">
      <text>
        <r>
          <rPr>
            <b/>
            <sz val="9"/>
            <rFont val="Tahoma"/>
          </rPr>
          <t>Jana Holíková:</t>
        </r>
        <r>
          <rPr>
            <sz val="9"/>
            <rFont val="Tahoma"/>
          </rPr>
          <t xml:space="preserve">
24581/06 -5.000
</t>
        </r>
      </text>
    </comment>
    <comment ref="D310" authorId="126" shapeId="0">
      <text>
        <r>
          <rPr>
            <b/>
            <sz val="9"/>
            <rFont val="Tahoma"/>
          </rPr>
          <t>Jana Holíková:</t>
        </r>
        <r>
          <rPr>
            <sz val="9"/>
            <rFont val="Tahoma"/>
          </rPr>
          <t xml:space="preserve">
24581/06 +5.000
</t>
        </r>
      </text>
    </comment>
    <comment ref="D313" authorId="127" shapeId="0">
      <text>
        <r>
          <rPr>
            <b/>
            <sz val="9"/>
            <rFont val="Tahoma"/>
          </rPr>
          <t>Jana Holíková:</t>
        </r>
        <r>
          <rPr>
            <sz val="9"/>
            <rFont val="Tahoma"/>
          </rPr>
          <t xml:space="preserve">
24604/07 -30.000
</t>
        </r>
      </text>
    </comment>
    <comment ref="D314" authorId="128" shapeId="0">
      <text>
        <r>
          <rPr>
            <b/>
            <sz val="9"/>
            <rFont val="Tahoma"/>
          </rPr>
          <t>Jana Holíková:</t>
        </r>
        <r>
          <rPr>
            <sz val="9"/>
            <rFont val="Tahoma"/>
          </rPr>
          <t xml:space="preserve">
24569/05 -10.000
</t>
        </r>
      </text>
    </comment>
    <comment ref="D315" authorId="129" shapeId="0">
      <text>
        <r>
          <rPr>
            <b/>
            <sz val="9"/>
            <rFont val="Tahoma"/>
          </rPr>
          <t>Jana Holíková:</t>
        </r>
        <r>
          <rPr>
            <sz val="9"/>
            <rFont val="Tahoma"/>
          </rPr>
          <t xml:space="preserve">
24569/05 +10.000
24604/07 +30.000
24177/12 -29.932
</t>
        </r>
      </text>
    </comment>
    <comment ref="D318" authorId="130" shapeId="0">
      <text>
        <r>
          <rPr>
            <b/>
            <sz val="9"/>
            <rFont val="Tahoma"/>
          </rPr>
          <t>Jana Holíková:</t>
        </r>
        <r>
          <rPr>
            <sz val="9"/>
            <rFont val="Tahoma"/>
          </rPr>
          <t xml:space="preserve">
24513/01 -1230
</t>
        </r>
      </text>
    </comment>
    <comment ref="D319" authorId="131" shapeId="0">
      <text>
        <r>
          <rPr>
            <b/>
            <sz val="9"/>
            <rFont val="Tahoma"/>
          </rPr>
          <t>Jana Holíková:</t>
        </r>
        <r>
          <rPr>
            <sz val="9"/>
            <rFont val="Tahoma"/>
          </rPr>
          <t xml:space="preserve">
24513/01 +1.230
</t>
        </r>
      </text>
    </comment>
    <comment ref="D320" authorId="132" shapeId="0">
      <text>
        <r>
          <rPr>
            <b/>
            <sz val="9"/>
            <rFont val="Tahoma"/>
          </rPr>
          <t>Jana Holíková:</t>
        </r>
        <r>
          <rPr>
            <sz val="9"/>
            <rFont val="Tahoma"/>
          </rPr>
          <t xml:space="preserve">
24578/06 +29.142
</t>
        </r>
      </text>
    </comment>
    <comment ref="D321" authorId="133" shapeId="0">
      <text>
        <r>
          <rPr>
            <b/>
            <sz val="9"/>
            <rFont val="Tahoma"/>
          </rPr>
          <t>Jana Holíková:</t>
        </r>
        <r>
          <rPr>
            <sz val="9"/>
            <rFont val="Tahoma"/>
          </rPr>
          <t xml:space="preserve">
24512/01 +-600.000
z 6121 na 6122
24578/06 -29.142
</t>
        </r>
      </text>
    </comment>
    <comment ref="D323" authorId="134" shapeId="0">
      <text>
        <r>
          <rPr>
            <b/>
            <sz val="9"/>
            <rFont val="Tahoma"/>
          </rPr>
          <t>Jana Holíková:</t>
        </r>
        <r>
          <rPr>
            <sz val="9"/>
            <rFont val="Tahoma"/>
          </rPr>
          <t xml:space="preserve">
24102/07 +3.025
</t>
        </r>
      </text>
    </comment>
    <comment ref="D325" authorId="135" shapeId="0">
      <text>
        <r>
          <rPr>
            <b/>
            <sz val="9"/>
            <rFont val="Tahoma"/>
          </rPr>
          <t>Jana Holíková:</t>
        </r>
        <r>
          <rPr>
            <sz val="9"/>
            <rFont val="Tahoma"/>
          </rPr>
          <t xml:space="preserve">
24607/07 +124.741,32
</t>
        </r>
      </text>
    </comment>
    <comment ref="D326" authorId="136" shapeId="0">
      <text>
        <r>
          <rPr>
            <b/>
            <sz val="9"/>
            <rFont val="Tahoma"/>
          </rPr>
          <t>Jana Holíková:</t>
        </r>
        <r>
          <rPr>
            <sz val="9"/>
            <rFont val="Tahoma"/>
          </rPr>
          <t xml:space="preserve">
24110/08 -225.060
</t>
        </r>
      </text>
    </comment>
    <comment ref="D328" authorId="137" shapeId="0">
      <text>
        <r>
          <rPr>
            <b/>
            <sz val="9"/>
            <rFont val="Tahoma"/>
          </rPr>
          <t>Jana Holíková:</t>
        </r>
        <r>
          <rPr>
            <sz val="9"/>
            <rFont val="Tahoma"/>
          </rPr>
          <t xml:space="preserve">
24078/06 -39.446
</t>
        </r>
      </text>
    </comment>
    <comment ref="D329" authorId="138" shapeId="0">
      <text>
        <r>
          <rPr>
            <b/>
            <sz val="9"/>
            <rFont val="Tahoma"/>
          </rPr>
          <t>Jana Holíková:</t>
        </r>
        <r>
          <rPr>
            <sz val="9"/>
            <rFont val="Tahoma"/>
          </rPr>
          <t xml:space="preserve">
24102/07 -3.025
</t>
        </r>
      </text>
    </comment>
    <comment ref="D330" authorId="139" shapeId="0">
      <text>
        <r>
          <rPr>
            <b/>
            <sz val="9"/>
            <rFont val="Tahoma"/>
          </rPr>
          <t>Jana Holíková:</t>
        </r>
        <r>
          <rPr>
            <sz val="9"/>
            <rFont val="Tahoma"/>
          </rPr>
          <t xml:space="preserve">
24054/04 -287.641,20
24082/06 -33.226,60
24607/07 -124.741,32
24110/08 +225.060
</t>
        </r>
      </text>
    </comment>
    <comment ref="D332" authorId="140" shapeId="0">
      <text>
        <r>
          <rPr>
            <b/>
            <sz val="9"/>
            <rFont val="Tahoma"/>
          </rPr>
          <t>Jana Holíková:</t>
        </r>
        <r>
          <rPr>
            <sz val="9"/>
            <rFont val="Tahoma"/>
          </rPr>
          <t xml:space="preserve">
24057/04 +287.641,20
24078/06 +39.446
</t>
        </r>
      </text>
    </comment>
    <comment ref="D336" authorId="141" shapeId="0">
      <text>
        <r>
          <rPr>
            <b/>
            <sz val="9"/>
            <rFont val="Tahoma"/>
          </rPr>
          <t>Jana Holíková:</t>
        </r>
        <r>
          <rPr>
            <sz val="9"/>
            <rFont val="Tahoma"/>
          </rPr>
          <t xml:space="preserve">
24680/11 -36.000
</t>
        </r>
      </text>
    </comment>
    <comment ref="D337" authorId="142" shapeId="0">
      <text>
        <r>
          <rPr>
            <b/>
            <sz val="9"/>
            <rFont val="Tahoma"/>
          </rPr>
          <t>Jana Holíková:</t>
        </r>
        <r>
          <rPr>
            <sz val="9"/>
            <rFont val="Tahoma"/>
          </rPr>
          <t xml:space="preserve">
24671/11 +40.000
</t>
        </r>
      </text>
    </comment>
    <comment ref="D338" authorId="143" shapeId="0">
      <text>
        <r>
          <rPr>
            <b/>
            <sz val="9"/>
            <rFont val="Tahoma"/>
          </rPr>
          <t>Jana Holíková:</t>
        </r>
        <r>
          <rPr>
            <sz val="9"/>
            <rFont val="Tahoma"/>
          </rPr>
          <t xml:space="preserve">
24671/11 -40.000
</t>
        </r>
      </text>
    </comment>
    <comment ref="D339" authorId="144" shapeId="0">
      <text>
        <r>
          <rPr>
            <b/>
            <sz val="9"/>
            <rFont val="Tahoma"/>
          </rPr>
          <t>Jana Holíková:</t>
        </r>
        <r>
          <rPr>
            <sz val="9"/>
            <rFont val="Tahoma"/>
          </rPr>
          <t xml:space="preserve">
24074/06 +144.474 poj.událost-oploc Hükc.v.
24109/08 +280.926,31
24680/11 +36.000
</t>
        </r>
      </text>
    </comment>
    <comment ref="D341" authorId="145" shapeId="0">
      <text>
        <r>
          <rPr>
            <b/>
            <sz val="9"/>
            <rFont val="Tahoma"/>
          </rPr>
          <t>Jana Holíková:</t>
        </r>
        <r>
          <rPr>
            <sz val="9"/>
            <rFont val="Tahoma"/>
          </rPr>
          <t xml:space="preserve">
24619/08 -48.097,50
24685/11 -860
</t>
        </r>
      </text>
    </comment>
    <comment ref="D343" authorId="146" shapeId="0">
      <text>
        <r>
          <rPr>
            <b/>
            <sz val="9"/>
            <rFont val="Tahoma"/>
          </rPr>
          <t>Jana Holíková:</t>
        </r>
        <r>
          <rPr>
            <sz val="9"/>
            <rFont val="Tahoma"/>
          </rPr>
          <t xml:space="preserve">
24511/01 -102.752,67
24550/04 -51.376,34
24074/06 +42.386 poj.u
24595/07 -300.707,75
24605/07 +200.000
24626/08 +400.000
24143/10 +251.084
</t>
        </r>
      </text>
    </comment>
    <comment ref="D344" authorId="147" shapeId="0">
      <text>
        <r>
          <rPr>
            <b/>
            <sz val="9"/>
            <rFont val="Tahoma"/>
          </rPr>
          <t>Jana Holíková:</t>
        </r>
        <r>
          <rPr>
            <sz val="9"/>
            <rFont val="Tahoma"/>
          </rPr>
          <t xml:space="preserve">
24605/04 -200.000
24112/08 -518.811,70
</t>
        </r>
      </text>
    </comment>
    <comment ref="D345" authorId="148" shapeId="0">
      <text>
        <r>
          <rPr>
            <b/>
            <sz val="9"/>
            <rFont val="Tahoma"/>
          </rPr>
          <t>Jana Holíková:</t>
        </r>
        <r>
          <rPr>
            <sz val="9"/>
            <rFont val="Tahoma"/>
          </rPr>
          <t xml:space="preserve">
24063/05 +75.138
24153/11 +250.000
</t>
        </r>
      </text>
    </comment>
    <comment ref="D347" authorId="149" shapeId="0">
      <text>
        <r>
          <rPr>
            <b/>
            <sz val="9"/>
            <rFont val="Tahoma"/>
          </rPr>
          <t>Jana Holíková:</t>
        </r>
        <r>
          <rPr>
            <sz val="9"/>
            <rFont val="Tahoma"/>
          </rPr>
          <t xml:space="preserve">
24063/05 -84.000
</t>
        </r>
      </text>
    </comment>
    <comment ref="D348" authorId="150" shapeId="0">
      <text>
        <r>
          <rPr>
            <b/>
            <sz val="9"/>
            <rFont val="Tahoma"/>
          </rPr>
          <t>Jana Holíková:</t>
        </r>
        <r>
          <rPr>
            <sz val="9"/>
            <rFont val="Tahoma"/>
          </rPr>
          <t xml:space="preserve">
24595/07 +300.707,75
24619/08 +48.097,50
</t>
        </r>
      </text>
    </comment>
    <comment ref="D349" authorId="151" shapeId="0">
      <text>
        <r>
          <rPr>
            <b/>
            <sz val="9"/>
            <rFont val="Tahoma"/>
          </rPr>
          <t>Jana Holíková:</t>
        </r>
        <r>
          <rPr>
            <sz val="9"/>
            <rFont val="Tahoma"/>
          </rPr>
          <t xml:space="preserve">
24511/01 +102.752,67
24550/04 + 51.376,34
</t>
        </r>
      </text>
    </comment>
    <comment ref="D351" authorId="152" shapeId="0">
      <text>
        <r>
          <rPr>
            <b/>
            <sz val="9"/>
            <rFont val="Tahoma"/>
          </rPr>
          <t>Jana Holíková:</t>
        </r>
        <r>
          <rPr>
            <sz val="9"/>
            <rFont val="Tahoma"/>
          </rPr>
          <t xml:space="preserve">
24020/02 +70.301
</t>
        </r>
      </text>
    </comment>
    <comment ref="D352" authorId="153" shapeId="0">
      <text>
        <r>
          <rPr>
            <b/>
            <sz val="9"/>
            <rFont val="Tahoma"/>
          </rPr>
          <t>Jana Holíková:</t>
        </r>
        <r>
          <rPr>
            <sz val="9"/>
            <rFont val="Tahoma"/>
          </rPr>
          <t xml:space="preserve">
24020/02 +26.257
</t>
        </r>
      </text>
    </comment>
    <comment ref="D355" authorId="154" shapeId="0">
      <text>
        <r>
          <rPr>
            <b/>
            <sz val="9"/>
            <rFont val="Tahoma"/>
          </rPr>
          <t>Jana Holíková:</t>
        </r>
        <r>
          <rPr>
            <sz val="9"/>
            <rFont val="Tahoma"/>
          </rPr>
          <t xml:space="preserve">
24685/11 +860
</t>
        </r>
      </text>
    </comment>
    <comment ref="D357" authorId="155" shapeId="0">
      <text>
        <r>
          <rPr>
            <b/>
            <sz val="9"/>
            <rFont val="Tahoma"/>
          </rPr>
          <t>Jana Holíková:</t>
        </r>
        <r>
          <rPr>
            <sz val="9"/>
            <rFont val="Tahoma"/>
          </rPr>
          <t xml:space="preserve">
24626/08 -400.000
</t>
        </r>
      </text>
    </comment>
    <comment ref="D360" authorId="156" shapeId="0">
      <text>
        <r>
          <rPr>
            <b/>
            <sz val="9"/>
            <rFont val="Tahoma"/>
          </rPr>
          <t>Jana Holíková:</t>
        </r>
        <r>
          <rPr>
            <sz val="9"/>
            <rFont val="Tahoma"/>
          </rPr>
          <t xml:space="preserve">
24153/11 -175.301
</t>
        </r>
      </text>
    </comment>
    <comment ref="D361" authorId="157" shapeId="0">
      <text>
        <r>
          <rPr>
            <b/>
            <sz val="9"/>
            <rFont val="Tahoma"/>
          </rPr>
          <t>Jana Holíková:</t>
        </r>
        <r>
          <rPr>
            <sz val="9"/>
            <rFont val="Tahoma"/>
          </rPr>
          <t xml:space="preserve">
24153/11 -600.000
</t>
        </r>
      </text>
    </comment>
    <comment ref="D367" authorId="158" shapeId="0">
      <text>
        <r>
          <rPr>
            <b/>
            <sz val="9"/>
            <rFont val="Tahoma"/>
          </rPr>
          <t>Jana Holíková:</t>
        </r>
        <r>
          <rPr>
            <sz val="9"/>
            <rFont val="Tahoma"/>
          </rPr>
          <t xml:space="preserve">
24123/09 +23.134
</t>
        </r>
      </text>
    </comment>
    <comment ref="D374" authorId="159" shapeId="0">
      <text>
        <r>
          <rPr>
            <b/>
            <sz val="9"/>
            <rFont val="Tahoma"/>
          </rPr>
          <t>Jana Holíková:</t>
        </r>
        <r>
          <rPr>
            <sz val="9"/>
            <rFont val="Tahoma"/>
          </rPr>
          <t xml:space="preserve">
24009/01 +200.000
24541/03 +40.000
</t>
        </r>
      </text>
    </comment>
    <comment ref="D375" authorId="160" shapeId="0">
      <text>
        <r>
          <rPr>
            <b/>
            <sz val="9"/>
            <rFont val="Tahoma"/>
          </rPr>
          <t>Jana Holíková:</t>
        </r>
        <r>
          <rPr>
            <sz val="9"/>
            <rFont val="Tahoma"/>
          </rPr>
          <t xml:space="preserve">
24009/01 +1.500.000
24541/03 -40.000
24146/10 -1.400.000
</t>
        </r>
      </text>
    </comment>
    <comment ref="D377" authorId="161" shapeId="0">
      <text>
        <r>
          <rPr>
            <b/>
            <sz val="9"/>
            <rFont val="Tahoma"/>
          </rPr>
          <t>Jana Holíková:</t>
        </r>
        <r>
          <rPr>
            <sz val="9"/>
            <rFont val="Tahoma"/>
          </rPr>
          <t xml:space="preserve">
24146/10 -500.000
</t>
        </r>
      </text>
    </comment>
    <comment ref="D380" authorId="162" shapeId="0">
      <text>
        <r>
          <rPr>
            <b/>
            <sz val="9"/>
            <rFont val="Tahoma"/>
          </rPr>
          <t>Jana Holíková:</t>
        </r>
        <r>
          <rPr>
            <sz val="9"/>
            <rFont val="Tahoma"/>
          </rPr>
          <t xml:space="preserve">
24549/04 -300
</t>
        </r>
      </text>
    </comment>
    <comment ref="D381" authorId="163" shapeId="0">
      <text>
        <r>
          <rPr>
            <b/>
            <sz val="9"/>
            <rFont val="Tahoma"/>
          </rPr>
          <t>Jana Holíková:</t>
        </r>
        <r>
          <rPr>
            <sz val="9"/>
            <rFont val="Tahoma"/>
          </rPr>
          <t xml:space="preserve">
24146/10 -750.000
</t>
        </r>
      </text>
    </comment>
    <comment ref="D382" authorId="164" shapeId="0">
      <text>
        <r>
          <rPr>
            <b/>
            <sz val="9"/>
            <rFont val="Tahoma"/>
          </rPr>
          <t>Jana Holíková:</t>
        </r>
        <r>
          <rPr>
            <sz val="9"/>
            <rFont val="Tahoma"/>
          </rPr>
          <t xml:space="preserve">
24146/10 -500.000
</t>
        </r>
      </text>
    </comment>
    <comment ref="D383" authorId="165" shapeId="0">
      <text>
        <r>
          <rPr>
            <b/>
            <sz val="9"/>
            <rFont val="Tahoma"/>
          </rPr>
          <t>Jana Holíková:</t>
        </r>
        <r>
          <rPr>
            <sz val="9"/>
            <rFont val="Tahoma"/>
          </rPr>
          <t xml:space="preserve">
24629/09 -550.000
24146/10 -3.000.000
</t>
        </r>
      </text>
    </comment>
    <comment ref="D385" authorId="166" shapeId="0">
      <text>
        <r>
          <rPr>
            <b/>
            <sz val="9"/>
            <rFont val="Tahoma"/>
          </rPr>
          <t>Jana Holíková:</t>
        </r>
        <r>
          <rPr>
            <sz val="9"/>
            <rFont val="Tahoma"/>
          </rPr>
          <t xml:space="preserve">
24549/04 +300
24629/09 +550.000
</t>
        </r>
      </text>
    </comment>
    <comment ref="D388" authorId="167" shapeId="0">
      <text>
        <r>
          <rPr>
            <b/>
            <sz val="9"/>
            <rFont val="Tahoma"/>
          </rPr>
          <t>Jana Holíková:</t>
        </r>
        <r>
          <rPr>
            <sz val="9"/>
            <rFont val="Tahoma"/>
          </rPr>
          <t xml:space="preserve">
24574/06 -160.000
</t>
        </r>
      </text>
    </comment>
    <comment ref="D389" authorId="168" shapeId="0">
      <text>
        <r>
          <rPr>
            <b/>
            <sz val="9"/>
            <rFont val="Tahoma"/>
          </rPr>
          <t>Jana Holíková:</t>
        </r>
        <r>
          <rPr>
            <sz val="9"/>
            <rFont val="Tahoma"/>
          </rPr>
          <t xml:space="preserve">
24654/10 -760.000
</t>
        </r>
      </text>
    </comment>
    <comment ref="D392" authorId="169" shapeId="0">
      <text>
        <r>
          <rPr>
            <b/>
            <sz val="9"/>
            <rFont val="Tahoma"/>
          </rPr>
          <t>Jana Holíková:</t>
        </r>
        <r>
          <rPr>
            <sz val="9"/>
            <rFont val="Tahoma"/>
          </rPr>
          <t xml:space="preserve">
24574/06 +160.000
</t>
        </r>
      </text>
    </comment>
    <comment ref="D393" authorId="170" shapeId="0">
      <text>
        <r>
          <rPr>
            <b/>
            <sz val="9"/>
            <rFont val="Tahoma"/>
          </rPr>
          <t>Jana Holíková:</t>
        </r>
        <r>
          <rPr>
            <sz val="9"/>
            <rFont val="Tahoma"/>
          </rPr>
          <t xml:space="preserve">
24563/05 +400.000
24100/07 -200.000
24659/10 +760.000
</t>
        </r>
      </text>
    </comment>
    <comment ref="D394" authorId="171" shapeId="0">
      <text>
        <r>
          <rPr>
            <b/>
            <sz val="9"/>
            <rFont val="Tahoma"/>
          </rPr>
          <t>Jana Holíková:</t>
        </r>
        <r>
          <rPr>
            <sz val="9"/>
            <rFont val="Tahoma"/>
          </rPr>
          <t xml:space="preserve">
24100/07 +200.000
</t>
        </r>
      </text>
    </comment>
    <comment ref="D398" authorId="172" shapeId="0">
      <text>
        <r>
          <rPr>
            <b/>
            <sz val="9"/>
            <rFont val="Tahoma"/>
          </rPr>
          <t>Jana Holíková:</t>
        </r>
        <r>
          <rPr>
            <sz val="9"/>
            <rFont val="Tahoma"/>
          </rPr>
          <t xml:space="preserve">
24060/05 -1.100.000
24563/05 - 400.000
</t>
        </r>
      </text>
    </comment>
    <comment ref="D399" authorId="173" shapeId="0">
      <text>
        <r>
          <rPr>
            <b/>
            <sz val="9"/>
            <rFont val="Tahoma"/>
          </rPr>
          <t>Jana Holíková:</t>
        </r>
        <r>
          <rPr>
            <sz val="9"/>
            <rFont val="Tahoma"/>
          </rPr>
          <t xml:space="preserve">
24139/10 +250.000
</t>
        </r>
      </text>
    </comment>
    <comment ref="D400" authorId="174" shapeId="0">
      <text>
        <r>
          <rPr>
            <b/>
            <sz val="9"/>
            <rFont val="Tahoma"/>
          </rPr>
          <t>Jana Holíková:</t>
        </r>
        <r>
          <rPr>
            <sz val="9"/>
            <rFont val="Tahoma"/>
          </rPr>
          <t xml:space="preserve">
24080/06 -400.000
</t>
        </r>
      </text>
    </comment>
    <comment ref="D401" authorId="175" shapeId="0">
      <text>
        <r>
          <rPr>
            <b/>
            <sz val="9"/>
            <rFont val="Tahoma"/>
          </rPr>
          <t>Jana Holíková:</t>
        </r>
        <r>
          <rPr>
            <sz val="9"/>
            <rFont val="Tahoma"/>
          </rPr>
          <t xml:space="preserve">
24038/03 +8.000.000
24104/07 +1.200.000
24146/10 -15.000.000
24176/12 -1.200.000
</t>
        </r>
      </text>
    </comment>
    <comment ref="D409" authorId="176" shapeId="0">
      <text>
        <r>
          <rPr>
            <b/>
            <sz val="9"/>
            <rFont val="Tahoma"/>
          </rPr>
          <t>Jana Holíková:</t>
        </r>
        <r>
          <rPr>
            <sz val="9"/>
            <rFont val="Tahoma"/>
          </rPr>
          <t xml:space="preserve">
24608/07 +100.000
24621/08 +210.000
</t>
        </r>
      </text>
    </comment>
    <comment ref="D411" authorId="177" shapeId="0">
      <text>
        <r>
          <rPr>
            <b/>
            <sz val="9"/>
            <rFont val="Tahoma"/>
          </rPr>
          <t>Jana Holíková:</t>
        </r>
        <r>
          <rPr>
            <sz val="9"/>
            <rFont val="Tahoma"/>
          </rPr>
          <t xml:space="preserve">
24522/02 +481.000
</t>
        </r>
      </text>
    </comment>
    <comment ref="D413" authorId="178" shapeId="0">
      <text>
        <r>
          <rPr>
            <b/>
            <sz val="9"/>
            <rFont val="Tahoma"/>
          </rPr>
          <t>Jana Holíková:</t>
        </r>
        <r>
          <rPr>
            <sz val="9"/>
            <rFont val="Tahoma"/>
          </rPr>
          <t xml:space="preserve">
24080/06 -500.000
</t>
        </r>
      </text>
    </comment>
    <comment ref="D417" authorId="179" shapeId="0">
      <text>
        <r>
          <rPr>
            <b/>
            <sz val="9"/>
            <rFont val="Tahoma"/>
          </rPr>
          <t>Jana Holíková:</t>
        </r>
        <r>
          <rPr>
            <sz val="9"/>
            <rFont val="Tahoma"/>
          </rPr>
          <t xml:space="preserve">
24503/01 +11.390
</t>
        </r>
      </text>
    </comment>
    <comment ref="D419" authorId="180" shapeId="0">
      <text>
        <r>
          <rPr>
            <b/>
            <sz val="9"/>
            <rFont val="Tahoma"/>
          </rPr>
          <t>Jana Holíková:</t>
        </r>
        <r>
          <rPr>
            <sz val="9"/>
            <rFont val="Tahoma"/>
          </rPr>
          <t xml:space="preserve">
24543/03 +181.000
</t>
        </r>
      </text>
    </comment>
    <comment ref="D420" authorId="181" shapeId="0">
      <text>
        <r>
          <rPr>
            <b/>
            <sz val="9"/>
            <rFont val="Tahoma"/>
          </rPr>
          <t>Jana Holíková:</t>
        </r>
        <r>
          <rPr>
            <sz val="9"/>
            <rFont val="Tahoma"/>
          </rPr>
          <t xml:space="preserve">
24037/03 -500.000
24568/05 -12.000
</t>
        </r>
      </text>
    </comment>
    <comment ref="D421" authorId="182" shapeId="0">
      <text>
        <r>
          <rPr>
            <b/>
            <sz val="9"/>
            <rFont val="Tahoma"/>
          </rPr>
          <t>Jana Holíková:</t>
        </r>
        <r>
          <rPr>
            <sz val="9"/>
            <rFont val="Tahoma"/>
          </rPr>
          <t xml:space="preserve">
24037/03 -500.000
24608/07 -100.000
</t>
        </r>
      </text>
    </comment>
    <comment ref="D422" authorId="183" shapeId="0">
      <text>
        <r>
          <rPr>
            <b/>
            <sz val="9"/>
            <rFont val="Tahoma"/>
          </rPr>
          <t>Jana Holíková:</t>
        </r>
        <r>
          <rPr>
            <sz val="9"/>
            <rFont val="Tahoma"/>
          </rPr>
          <t xml:space="preserve">
24504/01 -1.055.000
24562/05 +1.255.000
</t>
        </r>
      </text>
    </comment>
    <comment ref="D424" authorId="184" shapeId="0">
      <text>
        <r>
          <rPr>
            <b/>
            <sz val="9"/>
            <rFont val="Tahoma"/>
          </rPr>
          <t>Jana Holíková:</t>
        </r>
        <r>
          <rPr>
            <sz val="9"/>
            <rFont val="Tahoma"/>
          </rPr>
          <t xml:space="preserve">
24522/02 -158.000
24537/03 - 34.000
</t>
        </r>
      </text>
    </comment>
    <comment ref="D425" authorId="185" shapeId="0">
      <text>
        <r>
          <rPr>
            <b/>
            <sz val="9"/>
            <rFont val="Tahoma"/>
          </rPr>
          <t>Jana Holíková:</t>
        </r>
        <r>
          <rPr>
            <sz val="9"/>
            <rFont val="Tahoma"/>
          </rPr>
          <t xml:space="preserve">
24522/02 -323.000
24568/05 +12.000
</t>
        </r>
      </text>
    </comment>
    <comment ref="D426" authorId="186" shapeId="0">
      <text>
        <r>
          <rPr>
            <b/>
            <sz val="9"/>
            <rFont val="Tahoma"/>
          </rPr>
          <t>Jana Holíková:</t>
        </r>
        <r>
          <rPr>
            <sz val="9"/>
            <rFont val="Tahoma"/>
          </rPr>
          <t xml:space="preserve">
24093/07 -50.000
24621/08 -210.000
</t>
        </r>
      </text>
    </comment>
    <comment ref="D428" authorId="187" shapeId="0">
      <text>
        <r>
          <rPr>
            <b/>
            <sz val="9"/>
            <rFont val="Tahoma"/>
          </rPr>
          <t>Jana Holíková:</t>
        </r>
        <r>
          <rPr>
            <sz val="9"/>
            <rFont val="Tahoma"/>
          </rPr>
          <t xml:space="preserve">
24647/10 -400.000
</t>
        </r>
      </text>
    </comment>
    <comment ref="D429" authorId="188" shapeId="0">
      <text>
        <r>
          <rPr>
            <b/>
            <sz val="9"/>
            <rFont val="Tahoma"/>
          </rPr>
          <t>Jana Holíková:</t>
        </r>
        <r>
          <rPr>
            <sz val="9"/>
            <rFont val="Tahoma"/>
          </rPr>
          <t xml:space="preserve">
24504/01 +540.500
24537/03 + 34.000
</t>
        </r>
      </text>
    </comment>
    <comment ref="D430" authorId="189" shapeId="0">
      <text>
        <r>
          <rPr>
            <b/>
            <sz val="9"/>
            <rFont val="Tahoma"/>
          </rPr>
          <t>Jana Holíková:</t>
        </r>
        <r>
          <rPr>
            <sz val="9"/>
            <rFont val="Tahoma"/>
          </rPr>
          <t xml:space="preserve">
24504/01 +514.500
</t>
        </r>
      </text>
    </comment>
    <comment ref="D432" authorId="190" shapeId="0">
      <text>
        <r>
          <rPr>
            <b/>
            <sz val="9"/>
            <rFont val="Tahoma"/>
          </rPr>
          <t>Jana Holíková:</t>
        </r>
        <r>
          <rPr>
            <sz val="9"/>
            <rFont val="Tahoma"/>
          </rPr>
          <t xml:space="preserve">
24503/01 -11.390
24565/05 -30.000
24093/07 -758.000
</t>
        </r>
      </text>
    </comment>
    <comment ref="D433" authorId="191" shapeId="0">
      <text>
        <r>
          <rPr>
            <b/>
            <sz val="9"/>
            <rFont val="Tahoma"/>
          </rPr>
          <t>Jana Holíková:</t>
        </r>
        <r>
          <rPr>
            <sz val="9"/>
            <rFont val="Tahoma"/>
          </rPr>
          <t xml:space="preserve">
24647/10 +400.000
</t>
        </r>
      </text>
    </comment>
    <comment ref="D434" authorId="192" shapeId="0">
      <text>
        <r>
          <rPr>
            <b/>
            <sz val="9"/>
            <rFont val="Tahoma"/>
          </rPr>
          <t>Jana Holíková:</t>
        </r>
        <r>
          <rPr>
            <sz val="9"/>
            <rFont val="Tahoma"/>
          </rPr>
          <t xml:space="preserve">
24565/05 +30.000
24132/09 +2.120.000
</t>
        </r>
      </text>
    </comment>
    <comment ref="D435" authorId="193" shapeId="0">
      <text>
        <r>
          <rPr>
            <b/>
            <sz val="9"/>
            <rFont val="Tahoma"/>
          </rPr>
          <t>Jana Holíková:</t>
        </r>
        <r>
          <rPr>
            <sz val="9"/>
            <rFont val="Tahoma"/>
          </rPr>
          <t xml:space="preserve">
24010/01 -100.000
</t>
        </r>
      </text>
    </comment>
    <comment ref="D436" authorId="194" shapeId="0">
      <text>
        <r>
          <rPr>
            <b/>
            <sz val="9"/>
            <rFont val="Tahoma"/>
          </rPr>
          <t>Jana Holíková:</t>
        </r>
        <r>
          <rPr>
            <sz val="9"/>
            <rFont val="Tahoma"/>
          </rPr>
          <t xml:space="preserve">
24543/03 -181.000
24562/05 -1.255.000
24086/07 -1.600.000
</t>
        </r>
      </text>
    </comment>
    <comment ref="D440" authorId="195" shapeId="0">
      <text>
        <r>
          <rPr>
            <b/>
            <sz val="9"/>
            <rFont val="Tahoma"/>
          </rPr>
          <t>Jana Holíková:</t>
        </r>
        <r>
          <rPr>
            <sz val="9"/>
            <rFont val="Tahoma"/>
          </rPr>
          <t xml:space="preserve">
24114/08 +1.093.905,82 úz17519 1495
</t>
        </r>
      </text>
    </comment>
    <comment ref="D444" authorId="196" shapeId="0">
      <text>
        <r>
          <rPr>
            <b/>
            <sz val="9"/>
            <rFont val="Tahoma"/>
          </rPr>
          <t>Jana Holíková:</t>
        </r>
        <r>
          <rPr>
            <sz val="9"/>
            <rFont val="Tahoma"/>
          </rPr>
          <t xml:space="preserve">
24080/06 -500.000
</t>
        </r>
      </text>
    </comment>
    <comment ref="D447" authorId="197" shapeId="0">
      <text>
        <r>
          <rPr>
            <b/>
            <sz val="9"/>
            <rFont val="Tahoma"/>
          </rPr>
          <t>Jana Holíková:</t>
        </r>
        <r>
          <rPr>
            <sz val="9"/>
            <rFont val="Tahoma"/>
          </rPr>
          <t xml:space="preserve">
24530/03 +27.000
24628/09 -12.100
24696/11 +12.100
</t>
        </r>
      </text>
    </comment>
    <comment ref="D448" authorId="198" shapeId="0">
      <text>
        <r>
          <rPr>
            <b/>
            <sz val="9"/>
            <rFont val="Tahoma"/>
          </rPr>
          <t>Jana Holíková:</t>
        </r>
        <r>
          <rPr>
            <sz val="9"/>
            <rFont val="Tahoma"/>
          </rPr>
          <t xml:space="preserve">
24530/03 +17.000
24534/03 +12.000
24628/09 +12.100
</t>
        </r>
      </text>
    </comment>
    <comment ref="D450" authorId="199" shapeId="0">
      <text>
        <r>
          <rPr>
            <b/>
            <sz val="9"/>
            <rFont val="Tahoma"/>
          </rPr>
          <t>Jana Holíková:</t>
        </r>
        <r>
          <rPr>
            <sz val="9"/>
            <rFont val="Tahoma"/>
          </rPr>
          <t xml:space="preserve">
24530/03 -44.000
24534/03 -12.000
24696/11 -12.100
</t>
        </r>
      </text>
    </comment>
    <comment ref="D455" authorId="200" shapeId="0">
      <text>
        <r>
          <rPr>
            <b/>
            <sz val="9"/>
            <rFont val="Tahoma"/>
          </rPr>
          <t>Jana Holíková:</t>
        </r>
        <r>
          <rPr>
            <sz val="9"/>
            <rFont val="Tahoma"/>
          </rPr>
          <t xml:space="preserve">
24546/04 
+-27.929.601,32
dopl. úz, NáZ
24111/08 +2.320.000
</t>
        </r>
      </text>
    </comment>
    <comment ref="D456" authorId="201" shapeId="0">
      <text>
        <r>
          <rPr>
            <b/>
            <sz val="9"/>
            <rFont val="Tahoma"/>
          </rPr>
          <t>Jana Holíková:</t>
        </r>
        <r>
          <rPr>
            <sz val="9"/>
            <rFont val="Tahoma"/>
          </rPr>
          <t xml:space="preserve">
24061/05 +70.000
24666/10 -100.000
</t>
        </r>
      </text>
    </comment>
    <comment ref="D457" authorId="202" shapeId="0">
      <text>
        <r>
          <rPr>
            <b/>
            <sz val="9"/>
            <rFont val="Tahoma"/>
          </rPr>
          <t>Jana Holíková:</t>
        </r>
        <r>
          <rPr>
            <sz val="9"/>
            <rFont val="Tahoma"/>
          </rPr>
          <t xml:space="preserve">
24526.02 -10.000
</t>
        </r>
      </text>
    </comment>
    <comment ref="D458" authorId="203" shapeId="0">
      <text>
        <r>
          <rPr>
            <b/>
            <sz val="9"/>
            <rFont val="Tahoma"/>
          </rPr>
          <t>Jana Holíková:</t>
        </r>
        <r>
          <rPr>
            <sz val="9"/>
            <rFont val="Tahoma"/>
          </rPr>
          <t xml:space="preserve">
24526/02 +10.000
</t>
        </r>
      </text>
    </comment>
    <comment ref="D459" authorId="204" shapeId="0">
      <text>
        <r>
          <rPr>
            <b/>
            <sz val="9"/>
            <rFont val="Tahoma"/>
          </rPr>
          <t>Jana Holíková:</t>
        </r>
        <r>
          <rPr>
            <sz val="9"/>
            <rFont val="Tahoma"/>
          </rPr>
          <t xml:space="preserve">
24007/01 -850.000
</t>
        </r>
      </text>
    </comment>
    <comment ref="D460" authorId="205" shapeId="0">
      <text>
        <r>
          <rPr>
            <b/>
            <sz val="9"/>
            <rFont val="Tahoma"/>
          </rPr>
          <t>Jana Holíková:</t>
        </r>
        <r>
          <rPr>
            <sz val="9"/>
            <rFont val="Tahoma"/>
          </rPr>
          <t xml:space="preserve">
24666/10 -150.000
</t>
        </r>
      </text>
    </comment>
    <comment ref="D461" authorId="206" shapeId="0">
      <text>
        <r>
          <rPr>
            <b/>
            <sz val="9"/>
            <rFont val="Tahoma"/>
          </rPr>
          <t>Jana Holíková:</t>
        </r>
        <r>
          <rPr>
            <sz val="9"/>
            <rFont val="Tahoma"/>
          </rPr>
          <t xml:space="preserve">
24666/10 +250.000
</t>
        </r>
      </text>
    </comment>
    <comment ref="D465" authorId="207" shapeId="0">
      <text>
        <r>
          <rPr>
            <b/>
            <sz val="9"/>
            <rFont val="Tahoma"/>
          </rPr>
          <t>Jana Holíková:</t>
        </r>
        <r>
          <rPr>
            <sz val="9"/>
            <rFont val="Tahoma"/>
          </rPr>
          <t xml:space="preserve">
24501/01 +40.000
24514/01 +4.000
</t>
        </r>
      </text>
    </comment>
    <comment ref="D466" authorId="208" shapeId="0">
      <text>
        <r>
          <rPr>
            <b/>
            <sz val="9"/>
            <rFont val="Tahoma"/>
          </rPr>
          <t>Jana Holíková:</t>
        </r>
        <r>
          <rPr>
            <sz val="9"/>
            <rFont val="Tahoma"/>
          </rPr>
          <t xml:space="preserve">
24501/01 -40.000
24514/01 -4.000
24038/03 -5.700.000
24080/06 -1.000.000
24111/08 -1.000.000
</t>
        </r>
      </text>
    </comment>
    <comment ref="D468" authorId="209" shapeId="0">
      <text>
        <r>
          <rPr>
            <b/>
            <sz val="9"/>
            <rFont val="Tahoma"/>
          </rPr>
          <t>Jana Holíková:</t>
        </r>
        <r>
          <rPr>
            <sz val="9"/>
            <rFont val="Tahoma"/>
          </rPr>
          <t xml:space="preserve">
24036/03 
+1.000.000+100.000
24131/09 +400.000
24177/12 -299.202,66
</t>
        </r>
      </text>
    </comment>
    <comment ref="D470" authorId="210" shapeId="0">
      <text>
        <r>
          <rPr>
            <b/>
            <sz val="9"/>
            <rFont val="Tahoma"/>
          </rPr>
          <t>Jana Holíková:</t>
        </r>
        <r>
          <rPr>
            <sz val="9"/>
            <rFont val="Tahoma"/>
          </rPr>
          <t xml:space="preserve">
24502/01 +200.000
</t>
        </r>
      </text>
    </comment>
    <comment ref="D471" authorId="211" shapeId="0">
      <text>
        <r>
          <rPr>
            <b/>
            <sz val="9"/>
            <rFont val="Tahoma"/>
          </rPr>
          <t>Jana Holíková:</t>
        </r>
        <r>
          <rPr>
            <sz val="9"/>
            <rFont val="Tahoma"/>
          </rPr>
          <t xml:space="preserve">
24502/01 -200.000
24146/10 -1.500.000
</t>
        </r>
      </text>
    </comment>
    <comment ref="D475" authorId="212" shapeId="0">
      <text>
        <r>
          <rPr>
            <b/>
            <sz val="9"/>
            <rFont val="Tahoma"/>
          </rPr>
          <t>Jana Holíková:</t>
        </r>
        <r>
          <rPr>
            <sz val="9"/>
            <rFont val="Tahoma"/>
          </rPr>
          <t xml:space="preserve">
24024/03 -400.000 part.rozp
24036/03 -1.000.000 -100.000
24586/06 -59.290
24131/09 -400.000
</t>
        </r>
      </text>
    </comment>
    <comment ref="D476" authorId="213" shapeId="0">
      <text>
        <r>
          <rPr>
            <b/>
            <sz val="9"/>
            <rFont val="Tahoma"/>
          </rPr>
          <t>Jana Holíková:</t>
        </r>
        <r>
          <rPr>
            <sz val="9"/>
            <rFont val="Tahoma"/>
          </rPr>
          <t xml:space="preserve">
24586/06
+ 41.503 úz 15017 1701
+ 17.787 bez úz     1701
</t>
        </r>
      </text>
    </comment>
    <comment ref="D480" authorId="214" shapeId="0">
      <text>
        <r>
          <rPr>
            <b/>
            <sz val="9"/>
            <rFont val="Tahoma"/>
          </rPr>
          <t>Jana Holíková:</t>
        </r>
        <r>
          <rPr>
            <sz val="9"/>
            <rFont val="Tahoma"/>
          </rPr>
          <t xml:space="preserve">
24529/03 - oprava pol na 6121
24093/07 
+379.000 +50.000
</t>
        </r>
      </text>
    </comment>
    <comment ref="D481" authorId="215" shapeId="0">
      <text>
        <r>
          <rPr>
            <b/>
            <sz val="9"/>
            <rFont val="Tahoma"/>
          </rPr>
          <t>Jana Holíková:</t>
        </r>
        <r>
          <rPr>
            <sz val="9"/>
            <rFont val="Tahoma"/>
          </rPr>
          <t xml:space="preserve">
24506/01 -+250.000 
z 5169 na 6122
24093/07 +379.000
24709/12 -27.150
</t>
        </r>
      </text>
    </comment>
    <comment ref="D482" authorId="216" shapeId="0">
      <text>
        <r>
          <rPr>
            <b/>
            <sz val="9"/>
            <rFont val="Tahoma"/>
          </rPr>
          <t>Jana Holíková:</t>
        </r>
        <r>
          <rPr>
            <sz val="9"/>
            <rFont val="Tahoma"/>
          </rPr>
          <t xml:space="preserve">
24709/12 +27.150
</t>
        </r>
      </text>
    </comment>
    <comment ref="D484" authorId="217" shapeId="0">
      <text>
        <r>
          <rPr>
            <b/>
            <sz val="9"/>
            <rFont val="Tahoma"/>
          </rPr>
          <t>Jana Holíková:</t>
        </r>
        <r>
          <rPr>
            <sz val="9"/>
            <rFont val="Tahoma"/>
          </rPr>
          <t xml:space="preserve">
24535/03 
-20.000 5171
+20.000 5169
24125/09 
-65.328,60 5169
-93.481,95 5171
</t>
        </r>
      </text>
    </comment>
    <comment ref="D486" authorId="218" shapeId="0">
      <text>
        <r>
          <rPr>
            <b/>
            <sz val="9"/>
            <rFont val="Tahoma"/>
          </rPr>
          <t>Jana Holíková:</t>
        </r>
        <r>
          <rPr>
            <sz val="9"/>
            <rFont val="Tahoma"/>
          </rPr>
          <t xml:space="preserve">
24532/03 -6.000
</t>
        </r>
      </text>
    </comment>
    <comment ref="D488" authorId="219" shapeId="0">
      <text>
        <r>
          <rPr>
            <b/>
            <sz val="9"/>
            <rFont val="Tahoma"/>
          </rPr>
          <t>Jana Holíková:</t>
        </r>
        <r>
          <rPr>
            <sz val="9"/>
            <rFont val="Tahoma"/>
          </rPr>
          <t xml:space="preserve">
24532/03 +6.000
</t>
        </r>
      </text>
    </comment>
    <comment ref="D489" authorId="220" shapeId="0">
      <text>
        <r>
          <rPr>
            <b/>
            <sz val="9"/>
            <rFont val="Tahoma"/>
          </rPr>
          <t>Jana Holíková:</t>
        </r>
        <r>
          <rPr>
            <sz val="9"/>
            <rFont val="Tahoma"/>
          </rPr>
          <t xml:space="preserve">
24079/06 +160.000
</t>
        </r>
      </text>
    </comment>
    <comment ref="D492" authorId="221" shapeId="0">
      <text>
        <r>
          <rPr>
            <b/>
            <sz val="9"/>
            <rFont val="Tahoma"/>
          </rPr>
          <t>Jana Holíková:</t>
        </r>
        <r>
          <rPr>
            <sz val="9"/>
            <rFont val="Tahoma"/>
          </rPr>
          <t xml:space="preserve">
240518.02 +150.470
</t>
        </r>
      </text>
    </comment>
    <comment ref="D493" authorId="222" shapeId="0">
      <text>
        <r>
          <rPr>
            <b/>
            <sz val="9"/>
            <rFont val="Tahoma"/>
          </rPr>
          <t>Jana Holíková:</t>
        </r>
        <r>
          <rPr>
            <sz val="9"/>
            <rFont val="Tahoma"/>
          </rPr>
          <t xml:space="preserve">
24505/01 -20.000
24518/02 -150.470
24080/06 +4.500.000
</t>
        </r>
      </text>
    </comment>
    <comment ref="D494" authorId="223" shapeId="0">
      <text>
        <r>
          <rPr>
            <b/>
            <sz val="9"/>
            <rFont val="Tahoma"/>
          </rPr>
          <t>Jana Holíková:</t>
        </r>
        <r>
          <rPr>
            <sz val="9"/>
            <rFont val="Tahoma"/>
          </rPr>
          <t xml:space="preserve">
24505/01 +20.000
</t>
        </r>
      </text>
    </comment>
    <comment ref="D501" authorId="224" shapeId="0">
      <text>
        <r>
          <rPr>
            <b/>
            <sz val="9"/>
            <rFont val="Tahoma"/>
          </rPr>
          <t>Jana Holíková:</t>
        </r>
        <r>
          <rPr>
            <sz val="9"/>
            <rFont val="Tahoma"/>
          </rPr>
          <t xml:space="preserve">
24061/05 -70.000
</t>
        </r>
      </text>
    </comment>
    <comment ref="D504" authorId="225" shapeId="0">
      <text>
        <r>
          <rPr>
            <b/>
            <sz val="9"/>
            <rFont val="Tahoma"/>
          </rPr>
          <t>Jana Holíková:</t>
        </r>
        <r>
          <rPr>
            <sz val="9"/>
            <rFont val="Tahoma"/>
          </rPr>
          <t xml:space="preserve">
24086/07 +1.600.000
</t>
        </r>
      </text>
    </comment>
    <comment ref="D509" authorId="226" shapeId="0">
      <text>
        <r>
          <rPr>
            <b/>
            <sz val="9"/>
            <rFont val="Tahoma"/>
          </rPr>
          <t>Jana Holíková:</t>
        </r>
        <r>
          <rPr>
            <sz val="9"/>
            <rFont val="Tahoma"/>
          </rPr>
          <t xml:space="preserve">
24146/10 -19.000.000
</t>
        </r>
      </text>
    </comment>
    <comment ref="D515" authorId="227" shapeId="0">
      <text>
        <r>
          <rPr>
            <b/>
            <sz val="9"/>
            <rFont val="Tahoma"/>
          </rPr>
          <t>Jana Holíková:</t>
        </r>
        <r>
          <rPr>
            <sz val="9"/>
            <rFont val="Tahoma"/>
          </rPr>
          <t xml:space="preserve">
24037/03 -1.000.000
</t>
        </r>
      </text>
    </comment>
    <comment ref="D518" authorId="228" shapeId="0">
      <text>
        <r>
          <rPr>
            <b/>
            <sz val="9"/>
            <rFont val="Tahoma"/>
          </rPr>
          <t>Jana Holíková:</t>
        </r>
        <r>
          <rPr>
            <sz val="9"/>
            <rFont val="Tahoma"/>
          </rPr>
          <t xml:space="preserve">
24536/03 
-550.000 5169
</t>
        </r>
      </text>
    </comment>
    <comment ref="D524" authorId="229" shapeId="0">
      <text>
        <r>
          <rPr>
            <b/>
            <sz val="9"/>
            <rFont val="Tahoma"/>
          </rPr>
          <t>Jana Holíková:</t>
        </r>
        <r>
          <rPr>
            <sz val="9"/>
            <rFont val="Tahoma"/>
          </rPr>
          <t xml:space="preserve">
24536/03 +550.000
</t>
        </r>
      </text>
    </comment>
    <comment ref="D525" authorId="230" shapeId="0">
      <text>
        <r>
          <rPr>
            <b/>
            <sz val="9"/>
            <rFont val="Tahoma"/>
          </rPr>
          <t>Jana Holíková:</t>
        </r>
        <r>
          <rPr>
            <sz val="9"/>
            <rFont val="Tahoma"/>
          </rPr>
          <t xml:space="preserve">
24080/06 -1.900.000
</t>
        </r>
      </text>
    </comment>
    <comment ref="D526" authorId="231" shapeId="0">
      <text>
        <r>
          <rPr>
            <b/>
            <sz val="9"/>
            <rFont val="Tahoma"/>
          </rPr>
          <t>Jana Holíková:</t>
        </r>
        <r>
          <rPr>
            <sz val="9"/>
            <rFont val="Tahoma"/>
          </rPr>
          <t xml:space="preserve">
24079/06 -160.000
</t>
        </r>
      </text>
    </comment>
    <comment ref="D528" authorId="232" shapeId="0">
      <text>
        <r>
          <rPr>
            <b/>
            <sz val="9"/>
            <rFont val="Tahoma"/>
          </rPr>
          <t>Jana Holíková:</t>
        </r>
        <r>
          <rPr>
            <sz val="9"/>
            <rFont val="Tahoma"/>
          </rPr>
          <t xml:space="preserve">
24606/07 -300.000
24678/11 -653.500
</t>
        </r>
      </text>
    </comment>
    <comment ref="D529" authorId="233" shapeId="0">
      <text>
        <r>
          <rPr>
            <b/>
            <sz val="9"/>
            <rFont val="Tahoma"/>
          </rPr>
          <t>Jana Holíková:</t>
        </r>
        <r>
          <rPr>
            <sz val="9"/>
            <rFont val="Tahoma"/>
          </rPr>
          <t xml:space="preserve">
24008/01 -3.500.000
</t>
        </r>
      </text>
    </comment>
    <comment ref="D530" authorId="234" shapeId="0">
      <text>
        <r>
          <rPr>
            <b/>
            <sz val="9"/>
            <rFont val="Tahoma"/>
          </rPr>
          <t>Jana Holíková:</t>
        </r>
        <r>
          <rPr>
            <sz val="9"/>
            <rFont val="Tahoma"/>
          </rPr>
          <t xml:space="preserve">
24037/03 +5.600.000
24606/07 +300.000
24678/11 +853.500
24698/11 +54.000
</t>
        </r>
      </text>
    </comment>
    <comment ref="D531" authorId="235" shapeId="0">
      <text>
        <r>
          <rPr>
            <b/>
            <sz val="9"/>
            <rFont val="Tahoma"/>
          </rPr>
          <t>Jana Holíková:</t>
        </r>
        <r>
          <rPr>
            <sz val="9"/>
            <rFont val="Tahoma"/>
          </rPr>
          <t xml:space="preserve">
24008/01 -500.000
</t>
        </r>
      </text>
    </comment>
    <comment ref="D532" authorId="236" shapeId="0">
      <text>
        <r>
          <rPr>
            <b/>
            <sz val="9"/>
            <rFont val="Tahoma"/>
          </rPr>
          <t>Jana Holíková:</t>
        </r>
        <r>
          <rPr>
            <sz val="9"/>
            <rFont val="Tahoma"/>
          </rPr>
          <t xml:space="preserve">
24037/03 -900.000 -200.000
24038/03 -2.300.000
24609/07 +40.000
</t>
        </r>
      </text>
    </comment>
    <comment ref="D533" authorId="237" shapeId="0">
      <text>
        <r>
          <rPr>
            <b/>
            <sz val="9"/>
            <rFont val="Tahoma"/>
          </rPr>
          <t>Jana Holíková:</t>
        </r>
        <r>
          <rPr>
            <sz val="9"/>
            <rFont val="Tahoma"/>
          </rPr>
          <t xml:space="preserve">
24609/07 -40.000
</t>
        </r>
      </text>
    </comment>
    <comment ref="D534" authorId="238" shapeId="0">
      <text>
        <r>
          <rPr>
            <b/>
            <sz val="9"/>
            <rFont val="Tahoma"/>
          </rPr>
          <t>Jana Holíková:</t>
        </r>
        <r>
          <rPr>
            <sz val="9"/>
            <rFont val="Tahoma"/>
          </rPr>
          <t xml:space="preserve">
24678/11 -200.000
24698/11 -54.000
</t>
        </r>
      </text>
    </comment>
    <comment ref="D540" authorId="239" shapeId="0">
      <text>
        <r>
          <rPr>
            <b/>
            <sz val="9"/>
            <rFont val="Tahoma"/>
          </rPr>
          <t>Jana Holíková:</t>
        </r>
        <r>
          <rPr>
            <sz val="9"/>
            <rFont val="Tahoma"/>
          </rPr>
          <t xml:space="preserve">
24037/03 -2.500.000
24080/06 -200.000
24625/08 +-8.800.000 z6122 na 6121
</t>
        </r>
      </text>
    </comment>
    <comment ref="D542" authorId="240" shapeId="0">
      <text>
        <r>
          <rPr>
            <b/>
            <sz val="9"/>
            <rFont val="Tahoma"/>
          </rPr>
          <t>Jana Holíková:</t>
        </r>
        <r>
          <rPr>
            <sz val="9"/>
            <rFont val="Tahoma"/>
          </rPr>
          <t xml:space="preserve">
24008/01 +3.500.000
</t>
        </r>
      </text>
    </comment>
    <comment ref="D544" authorId="241" shapeId="0">
      <text>
        <r>
          <rPr>
            <b/>
            <sz val="9"/>
            <rFont val="Tahoma"/>
          </rPr>
          <t>Jana Holíková:</t>
        </r>
        <r>
          <rPr>
            <sz val="9"/>
            <rFont val="Tahoma"/>
          </rPr>
          <t xml:space="preserve">
24008/01 +500.000
</t>
        </r>
      </text>
    </comment>
    <comment ref="D547" authorId="242" shapeId="0">
      <text>
        <r>
          <rPr>
            <b/>
            <sz val="9"/>
            <rFont val="Tahoma"/>
          </rPr>
          <t>Jana Holíková:</t>
        </r>
        <r>
          <rPr>
            <sz val="9"/>
            <rFont val="Tahoma"/>
          </rPr>
          <t xml:space="preserve">
24583/06 +380.000
</t>
        </r>
      </text>
    </comment>
    <comment ref="D548" authorId="243" shapeId="0">
      <text>
        <r>
          <rPr>
            <b/>
            <sz val="9"/>
            <rFont val="Tahoma"/>
          </rPr>
          <t>Jana Holíková:</t>
        </r>
        <r>
          <rPr>
            <sz val="9"/>
            <rFont val="Tahoma"/>
          </rPr>
          <t xml:space="preserve">
24583/06 +100.000
</t>
        </r>
      </text>
    </comment>
    <comment ref="D549" authorId="244" shapeId="0">
      <text>
        <r>
          <rPr>
            <b/>
            <sz val="9"/>
            <rFont val="Tahoma"/>
          </rPr>
          <t>Jana Holíková:</t>
        </r>
        <r>
          <rPr>
            <sz val="9"/>
            <rFont val="Tahoma"/>
          </rPr>
          <t xml:space="preserve">
24132/09 +730.000
</t>
        </r>
      </text>
    </comment>
    <comment ref="D550" authorId="245" shapeId="0">
      <text>
        <r>
          <rPr>
            <b/>
            <sz val="9"/>
            <rFont val="Tahoma"/>
          </rPr>
          <t>Jana Holíková:</t>
        </r>
        <r>
          <rPr>
            <sz val="9"/>
            <rFont val="Tahoma"/>
          </rPr>
          <t xml:space="preserve">
24583/06 -480.000
24111/08 -1.320.000
24132/09 -2.120.000
</t>
        </r>
      </text>
    </comment>
    <comment ref="D551" authorId="246" shapeId="0">
      <text>
        <r>
          <rPr>
            <b/>
            <sz val="9"/>
            <rFont val="Tahoma"/>
          </rPr>
          <t>Jana Holíková:</t>
        </r>
        <r>
          <rPr>
            <sz val="9"/>
            <rFont val="Tahoma"/>
          </rPr>
          <t xml:space="preserve">
24132/09 -730.000
24146/10 -3.000.000
</t>
        </r>
      </text>
    </comment>
    <comment ref="D555" authorId="247" shapeId="0">
      <text>
        <r>
          <rPr>
            <b/>
            <sz val="9"/>
            <rFont val="Tahoma"/>
          </rPr>
          <t>Jana Holíková:</t>
        </r>
        <r>
          <rPr>
            <sz val="9"/>
            <rFont val="Tahoma"/>
          </rPr>
          <t xml:space="preserve">
24035/03 +- 5.514.060
dozn úz22504 NáZ1705
24548/04 +110.000
</t>
        </r>
      </text>
    </comment>
    <comment ref="D556" authorId="248" shapeId="0">
      <text>
        <r>
          <rPr>
            <b/>
            <sz val="9"/>
            <rFont val="Tahoma"/>
          </rPr>
          <t>Jana Holíková:</t>
        </r>
        <r>
          <rPr>
            <sz val="9"/>
            <rFont val="Tahoma"/>
          </rPr>
          <t xml:space="preserve">
24548/04 -110.000
</t>
        </r>
      </text>
    </comment>
    <comment ref="D560" authorId="249" shapeId="0">
      <text>
        <r>
          <rPr>
            <b/>
            <sz val="9"/>
            <rFont val="Tahoma"/>
          </rPr>
          <t>Jana Holíková:</t>
        </r>
        <r>
          <rPr>
            <sz val="9"/>
            <rFont val="Tahoma"/>
          </rPr>
          <t xml:space="preserve">
24539/03 +- 250.000
dopl. Úz42
24146/10 -350.000
</t>
        </r>
      </text>
    </comment>
    <comment ref="D563" authorId="250" shapeId="0">
      <text>
        <r>
          <rPr>
            <b/>
            <sz val="9"/>
            <rFont val="Tahoma"/>
          </rPr>
          <t>Jana Holíková:</t>
        </r>
        <r>
          <rPr>
            <sz val="9"/>
            <rFont val="Tahoma"/>
          </rPr>
          <t xml:space="preserve">
24146/10 -400.000
</t>
        </r>
      </text>
    </comment>
    <comment ref="D565" authorId="251" shapeId="0">
      <text>
        <r>
          <rPr>
            <b/>
            <sz val="9"/>
            <rFont val="Tahoma"/>
          </rPr>
          <t>Jana Holíková:</t>
        </r>
        <r>
          <rPr>
            <sz val="9"/>
            <rFont val="Tahoma"/>
          </rPr>
          <t xml:space="preserve">
24146/10 -335.194
</t>
        </r>
      </text>
    </comment>
    <comment ref="D571" authorId="252" shapeId="0">
      <text>
        <r>
          <rPr>
            <b/>
            <sz val="9"/>
            <rFont val="Tahoma"/>
          </rPr>
          <t>Jana Holíková:</t>
        </r>
        <r>
          <rPr>
            <sz val="9"/>
            <rFont val="Tahoma"/>
          </rPr>
          <t xml:space="preserve">
24107/08 +77.027,69
24138/10 +77.027,69
24176/12 -77.027,69
</t>
        </r>
      </text>
    </comment>
    <comment ref="D572" authorId="253" shapeId="0">
      <text>
        <r>
          <rPr>
            <b/>
            <sz val="9"/>
            <rFont val="Tahoma"/>
          </rPr>
          <t>Jana Holíková:</t>
        </r>
        <r>
          <rPr>
            <sz val="9"/>
            <rFont val="Tahoma"/>
          </rPr>
          <t xml:space="preserve">
24538/03 +-231.352,61 
dopl. Úz 15501 NáZ 1481,5
245051/04 
+196.649,72 úz 15501 1485
+ 34.702,89 1481
24053/04 -535.000
24056/04 +80.000 úz673
24057/04 +300.000 úz392
24554/04 +-231.352,61 zpět
24107/08 
-77.027,69 -100.000
24119/09 
+60.000 +10.000 +10.000  úz674
-10.000 -10.000 -60.000 úz673
24177/12 -10.000
</t>
        </r>
      </text>
    </comment>
    <comment ref="D573" authorId="254" shapeId="0">
      <text>
        <r>
          <rPr>
            <b/>
            <sz val="9"/>
            <rFont val="Tahoma"/>
          </rPr>
          <t>Jana Holíková:</t>
        </r>
        <r>
          <rPr>
            <sz val="9"/>
            <rFont val="Tahoma"/>
          </rPr>
          <t xml:space="preserve">
24107/08 +100.000
</t>
        </r>
      </text>
    </comment>
    <comment ref="D574" authorId="255" shapeId="0">
      <text>
        <r>
          <rPr>
            <b/>
            <sz val="9"/>
            <rFont val="Tahoma"/>
          </rPr>
          <t>Jana Holíková:</t>
        </r>
        <r>
          <rPr>
            <sz val="9"/>
            <rFont val="Tahoma"/>
          </rPr>
          <t xml:space="preserve">
24053/04 +535.000
24130/09 +500.000 úz801
24157/11 +150.000
</t>
        </r>
      </text>
    </comment>
    <comment ref="D577" authorId="256" shapeId="0">
      <text>
        <r>
          <rPr>
            <b/>
            <sz val="9"/>
            <rFont val="Tahoma"/>
          </rPr>
          <t>Jana Holíková:</t>
        </r>
        <r>
          <rPr>
            <sz val="9"/>
            <rFont val="Tahoma"/>
          </rPr>
          <t xml:space="preserve">
24178/12 +4.216
</t>
        </r>
      </text>
    </comment>
    <comment ref="D579" authorId="257" shapeId="0">
      <text>
        <r>
          <rPr>
            <b/>
            <sz val="9"/>
            <rFont val="Tahoma"/>
          </rPr>
          <t>Jana Holíková:</t>
        </r>
        <r>
          <rPr>
            <sz val="9"/>
            <rFont val="Tahoma"/>
          </rPr>
          <t xml:space="preserve">
24177/12 -124.505
</t>
        </r>
      </text>
    </comment>
    <comment ref="D580" authorId="258" shapeId="0">
      <text>
        <r>
          <rPr>
            <b/>
            <sz val="9"/>
            <rFont val="Tahoma"/>
          </rPr>
          <t>Jana Holíková:</t>
        </r>
        <r>
          <rPr>
            <sz val="9"/>
            <rFont val="Tahoma"/>
          </rPr>
          <t xml:space="preserve">
24177/12 -200.458
</t>
        </r>
      </text>
    </comment>
    <comment ref="D582" authorId="259" shapeId="0">
      <text>
        <r>
          <rPr>
            <b/>
            <sz val="9"/>
            <rFont val="Tahoma"/>
          </rPr>
          <t>Jana Holíková:</t>
        </r>
        <r>
          <rPr>
            <sz val="9"/>
            <rFont val="Tahoma"/>
          </rPr>
          <t xml:space="preserve">
24684/11 -11.858
24177/12 -124.505
</t>
        </r>
      </text>
    </comment>
    <comment ref="D583" authorId="260" shapeId="0">
      <text>
        <r>
          <rPr>
            <b/>
            <sz val="9"/>
            <rFont val="Tahoma"/>
          </rPr>
          <t>Jana Holíková:</t>
        </r>
        <r>
          <rPr>
            <sz val="9"/>
            <rFont val="Tahoma"/>
          </rPr>
          <t xml:space="preserve">
24684/11 +11.858
24178/12 -4.216
</t>
        </r>
      </text>
    </comment>
    <comment ref="D590" authorId="261" shapeId="0">
      <text>
        <r>
          <rPr>
            <b/>
            <sz val="9"/>
            <rFont val="Tahoma"/>
          </rPr>
          <t>Jana Holíková:</t>
        </r>
        <r>
          <rPr>
            <sz val="9"/>
            <rFont val="Tahoma"/>
          </rPr>
          <t xml:space="preserve">
24118/09 +713.000
</t>
        </r>
      </text>
    </comment>
    <comment ref="D591" authorId="262" shapeId="0">
      <text>
        <r>
          <rPr>
            <b/>
            <sz val="9"/>
            <rFont val="Tahoma"/>
          </rPr>
          <t>Jana Holíková:</t>
        </r>
        <r>
          <rPr>
            <sz val="9"/>
            <rFont val="Tahoma"/>
          </rPr>
          <t xml:space="preserve">
24065/05 
+724.000 úz98348
-500.000 bez úz
</t>
        </r>
      </text>
    </comment>
    <comment ref="D600" authorId="263" shapeId="0">
      <text>
        <r>
          <rPr>
            <b/>
            <sz val="9"/>
            <rFont val="Tahoma"/>
          </rPr>
          <t>Jana Holíková:</t>
        </r>
        <r>
          <rPr>
            <sz val="9"/>
            <rFont val="Tahoma"/>
          </rPr>
          <t xml:space="preserve">
24169/12 -1160
</t>
        </r>
      </text>
    </comment>
    <comment ref="D601" authorId="264" shapeId="0">
      <text>
        <r>
          <rPr>
            <b/>
            <sz val="9"/>
            <rFont val="Tahoma"/>
          </rPr>
          <t>Jana Holíková:</t>
        </r>
        <r>
          <rPr>
            <sz val="9"/>
            <rFont val="Tahoma"/>
          </rPr>
          <t xml:space="preserve">
24137/10 +500.000
</t>
        </r>
      </text>
    </comment>
    <comment ref="D604" authorId="265" shapeId="0">
      <text>
        <r>
          <rPr>
            <b/>
            <sz val="9"/>
            <rFont val="Tahoma"/>
          </rPr>
          <t>Jana Holíková:</t>
        </r>
        <r>
          <rPr>
            <sz val="9"/>
            <rFont val="Tahoma"/>
          </rPr>
          <t xml:space="preserve">
24135/10 +100.000
24151/11 -100.000
</t>
        </r>
      </text>
    </comment>
    <comment ref="D606" authorId="266" shapeId="0">
      <text>
        <r>
          <rPr>
            <b/>
            <sz val="9"/>
            <rFont val="Tahoma"/>
          </rPr>
          <t>Jana Holíková:</t>
        </r>
        <r>
          <rPr>
            <sz val="9"/>
            <rFont val="Tahoma"/>
          </rPr>
          <t xml:space="preserve">
24151/11 +100.000
</t>
        </r>
      </text>
    </comment>
    <comment ref="D608" authorId="267" shapeId="0">
      <text>
        <r>
          <rPr>
            <b/>
            <sz val="9"/>
            <rFont val="Tahoma"/>
          </rPr>
          <t>Jana Holíková:</t>
        </r>
        <r>
          <rPr>
            <sz val="9"/>
            <rFont val="Tahoma"/>
          </rPr>
          <t xml:space="preserve">
24011/01 +192.228
24030/03 
 +3.419,60 úz253 1441
+30.776,40 úz911 1445
24047/04 -1.284
24048/04 -1.196
24096/07
 -1.303,80 úz253 1441
-11.734,20 úz911 1445
24121/09 
+ 12.834  úz253 1441
+115.506 úz911 1445 
24167/12 +63.011,99
</t>
        </r>
      </text>
    </comment>
    <comment ref="D609" authorId="268" shapeId="0">
      <text>
        <r>
          <rPr>
            <b/>
            <sz val="9"/>
            <rFont val="Tahoma"/>
          </rPr>
          <t>Jana Holíková:</t>
        </r>
        <r>
          <rPr>
            <sz val="9"/>
            <rFont val="Tahoma"/>
          </rPr>
          <t xml:space="preserve">
24155/11 +102.602,50
</t>
        </r>
      </text>
    </comment>
    <comment ref="D610" authorId="269" shapeId="0">
      <text>
        <r>
          <rPr>
            <b/>
            <sz val="9"/>
            <rFont val="Tahoma"/>
          </rPr>
          <t>Jana Holíková:</t>
        </r>
        <r>
          <rPr>
            <sz val="9"/>
            <rFont val="Tahoma"/>
          </rPr>
          <t xml:space="preserve">
24156/11 -1.600
</t>
        </r>
      </text>
    </comment>
    <comment ref="D612" authorId="270" shapeId="0">
      <text>
        <r>
          <rPr>
            <b/>
            <sz val="9"/>
            <rFont val="Tahoma"/>
          </rPr>
          <t>Jana Holíková:</t>
        </r>
        <r>
          <rPr>
            <sz val="9"/>
            <rFont val="Tahoma"/>
          </rPr>
          <t xml:space="preserve">
24105/08 -22.000
24135/10 -100.000 rez
24137/10 -200.000 rez
24177/12 -11.107 r
</t>
        </r>
      </text>
    </comment>
    <comment ref="D617" authorId="271" shapeId="0">
      <text>
        <r>
          <rPr>
            <b/>
            <sz val="9"/>
            <rFont val="Tahoma"/>
          </rPr>
          <t>Jana Holíková:</t>
        </r>
        <r>
          <rPr>
            <sz val="9"/>
            <rFont val="Tahoma"/>
          </rPr>
          <t xml:space="preserve">
24016/02 +90.488 odpisy
24027/03 
+ 4.890 úz253 1441
+44.010 úz911 1445 
24092/07
- 1.607,20 úz253 1441
-14.464,80 úz911 1445
24134/10 +32.936
24166/12 
+  9.850  úz253 1441
+88.650  úz911 1445
</t>
        </r>
      </text>
    </comment>
    <comment ref="D618" authorId="272" shapeId="0">
      <text>
        <r>
          <rPr>
            <b/>
            <sz val="9"/>
            <rFont val="Tahoma"/>
          </rPr>
          <t>Jana Holíková:</t>
        </r>
        <r>
          <rPr>
            <sz val="9"/>
            <rFont val="Tahoma"/>
          </rPr>
          <t xml:space="preserve">
24052/04 +72.208
</t>
        </r>
      </text>
    </comment>
    <comment ref="D621" authorId="273" shapeId="0">
      <text>
        <r>
          <rPr>
            <b/>
            <sz val="9"/>
            <rFont val="Tahoma"/>
          </rPr>
          <t>Jana Holíková:</t>
        </r>
        <r>
          <rPr>
            <sz val="9"/>
            <rFont val="Tahoma"/>
          </rPr>
          <t xml:space="preserve">
24028/03
 +7.519 ÚZ253 1441
+67.671 úz911 1445
24133/10 +173.723
24144/10
- 5.202,40 253 1441
-46.821,60 911 1445
24152/11
+17.098,20 253 1441
+153.883,80 911 1445
</t>
        </r>
      </text>
    </comment>
    <comment ref="D624" authorId="274" shapeId="0">
      <text>
        <r>
          <rPr>
            <b/>
            <sz val="9"/>
            <rFont val="Tahoma"/>
          </rPr>
          <t>Jana Holíková:</t>
        </r>
        <r>
          <rPr>
            <sz val="9"/>
            <rFont val="Tahoma"/>
          </rPr>
          <t xml:space="preserve">
24029/03
 +6.180 ÚZ253 1441
+55.620 úz911 1445
24064/05 +313.948
24066/05 
+  261.245,45 úz 17084 1491
+4.441.172,63 úz 17085 1495
24077/06 -13.443,03
24095/07 
- 4.116 úz253 1441
-37.044 úz911 1445
24122/09 
+ 9.159,75 úz253 1441
+82.437,75 úz911 1445
</t>
        </r>
      </text>
    </comment>
    <comment ref="D626" authorId="275" shapeId="0">
      <text>
        <r>
          <rPr>
            <b/>
            <sz val="9"/>
            <rFont val="Tahoma"/>
          </rPr>
          <t>Jana Holíková:</t>
        </r>
        <r>
          <rPr>
            <sz val="9"/>
            <rFont val="Tahoma"/>
          </rPr>
          <t xml:space="preserve">
24066/05 
+  336.616,61 úz17518 1491
+5.722.482,44 úz 17519 1491
</t>
        </r>
      </text>
    </comment>
    <comment ref="D628" authorId="276" shapeId="0">
      <text>
        <r>
          <rPr>
            <b/>
            <sz val="9"/>
            <rFont val="Tahoma"/>
          </rPr>
          <t>Jana Holíková:</t>
        </r>
        <r>
          <rPr>
            <sz val="9"/>
            <rFont val="Tahoma"/>
          </rPr>
          <t xml:space="preserve">
24142/10
+ 11.663,45 253 1441
+104.971,05 911 1445
24168/12 -28.000
</t>
        </r>
      </text>
    </comment>
    <comment ref="D629" authorId="277" shapeId="0">
      <text>
        <r>
          <rPr>
            <b/>
            <sz val="9"/>
            <rFont val="Tahoma"/>
          </rPr>
          <t>Jana Holíková:</t>
        </r>
        <r>
          <rPr>
            <sz val="9"/>
            <rFont val="Tahoma"/>
          </rPr>
          <t xml:space="preserve">
24007/01 +850.000
24154/11 -102.602,50
</t>
        </r>
      </text>
    </comment>
    <comment ref="D633" authorId="278" shapeId="0">
      <text>
        <r>
          <rPr>
            <b/>
            <sz val="9"/>
            <rFont val="Tahoma"/>
          </rPr>
          <t>Jana Holíková:</t>
        </r>
        <r>
          <rPr>
            <sz val="9"/>
            <rFont val="Tahoma"/>
          </rPr>
          <t xml:space="preserve">
24055/04 +210.200 úz 833
24117/09 +170.400úz910
34136/10 +100.000
</t>
        </r>
      </text>
    </comment>
    <comment ref="D636" authorId="279" shapeId="0">
      <text>
        <r>
          <rPr>
            <b/>
            <sz val="9"/>
            <rFont val="Tahoma"/>
          </rPr>
          <t>Jana Holíková:</t>
        </r>
        <r>
          <rPr>
            <sz val="9"/>
            <rFont val="Tahoma"/>
          </rPr>
          <t xml:space="preserve">
24059/05 +134.310
24105/08 +22.000
</t>
        </r>
      </text>
    </comment>
    <comment ref="D640" authorId="280" shapeId="0">
      <text>
        <r>
          <rPr>
            <b/>
            <sz val="9"/>
            <rFont val="Tahoma"/>
          </rPr>
          <t>Jana Holíková:</t>
        </r>
        <r>
          <rPr>
            <sz val="9"/>
            <rFont val="Tahoma"/>
          </rPr>
          <t xml:space="preserve">
24043/03 -1.548
24170/12 -690.000
</t>
        </r>
      </text>
    </comment>
    <comment ref="D644" authorId="281" shapeId="0">
      <text>
        <r>
          <rPr>
            <b/>
            <sz val="9"/>
            <rFont val="Tahoma"/>
          </rPr>
          <t>Jana Holíková:</t>
        </r>
        <r>
          <rPr>
            <sz val="9"/>
            <rFont val="Tahoma"/>
          </rPr>
          <t xml:space="preserve">
24137/10 -15.000 -5.000
</t>
        </r>
      </text>
    </comment>
    <comment ref="D645" authorId="282" shapeId="0">
      <text>
        <r>
          <rPr>
            <b/>
            <sz val="9"/>
            <rFont val="Tahoma"/>
          </rPr>
          <t>Jana Holíková:</t>
        </r>
        <r>
          <rPr>
            <sz val="9"/>
            <rFont val="Tahoma"/>
          </rPr>
          <t xml:space="preserve">
24106/08 +47.000
</t>
        </r>
      </text>
    </comment>
    <comment ref="D649" authorId="283" shapeId="0">
      <text>
        <r>
          <rPr>
            <b/>
            <sz val="9"/>
            <rFont val="Tahoma"/>
          </rPr>
          <t>Jana Holíková:</t>
        </r>
        <r>
          <rPr>
            <sz val="9"/>
            <rFont val="Tahoma"/>
          </rPr>
          <t xml:space="preserve">
24137/10 -30.000
</t>
        </r>
      </text>
    </comment>
    <comment ref="D650" authorId="284" shapeId="0">
      <text>
        <r>
          <rPr>
            <b/>
            <sz val="9"/>
            <rFont val="Tahoma"/>
          </rPr>
          <t>Jana Holíková:</t>
        </r>
        <r>
          <rPr>
            <sz val="9"/>
            <rFont val="Tahoma"/>
          </rPr>
          <t xml:space="preserve">
24021/02 -25.000
</t>
        </r>
      </text>
    </comment>
    <comment ref="D651" authorId="285" shapeId="0">
      <text>
        <r>
          <rPr>
            <b/>
            <sz val="9"/>
            <rFont val="Tahoma"/>
          </rPr>
          <t>Jana Holíková:</t>
        </r>
        <r>
          <rPr>
            <sz val="9"/>
            <rFont val="Tahoma"/>
          </rPr>
          <t xml:space="preserve">
24021/02 -170.000
</t>
        </r>
      </text>
    </comment>
    <comment ref="D653" authorId="286" shapeId="0">
      <text>
        <r>
          <rPr>
            <b/>
            <sz val="9"/>
            <rFont val="Tahoma"/>
          </rPr>
          <t>Jana Holíková:</t>
        </r>
        <r>
          <rPr>
            <sz val="9"/>
            <rFont val="Tahoma"/>
          </rPr>
          <t xml:space="preserve">
24021/02 +195.000
24125/09 +158.810,55
24137/10 -170.000
</t>
        </r>
      </text>
    </comment>
    <comment ref="D658" authorId="287" shapeId="0">
      <text>
        <r>
          <rPr>
            <b/>
            <sz val="9"/>
            <rFont val="Tahoma"/>
          </rPr>
          <t>Jana Holíková:</t>
        </r>
        <r>
          <rPr>
            <sz val="9"/>
            <rFont val="Tahoma"/>
          </rPr>
          <t xml:space="preserve">
24001.01 +4.743.000
24023/02 +- 50.000 dar NJKL
24052/04 +18.200
24083/06 +150.000 slavnost
24171/12 +214.771
</t>
        </r>
      </text>
    </comment>
    <comment ref="D663" authorId="288" shapeId="0">
      <text>
        <r>
          <rPr>
            <b/>
            <sz val="9"/>
            <rFont val="Tahoma"/>
          </rPr>
          <t>Jana Holíková:</t>
        </r>
        <r>
          <rPr>
            <sz val="9"/>
            <rFont val="Tahoma"/>
          </rPr>
          <t xml:space="preserve">
24137/10
-40.000 org 4380
-40.000 org 0380
</t>
        </r>
      </text>
    </comment>
    <comment ref="D673" authorId="289" shapeId="0">
      <text>
        <r>
          <rPr>
            <b/>
            <sz val="9"/>
            <rFont val="Tahoma"/>
          </rPr>
          <t>Jana Holíková:</t>
        </r>
        <r>
          <rPr>
            <sz val="9"/>
            <rFont val="Tahoma"/>
          </rPr>
          <t xml:space="preserve">
24002/01 -30.000 
24069/05 +30.000
</t>
        </r>
      </text>
    </comment>
    <comment ref="D676" authorId="290" shapeId="0">
      <text>
        <r>
          <rPr>
            <b/>
            <sz val="9"/>
            <rFont val="Tahoma"/>
          </rPr>
          <t>Jana Holíková:</t>
        </r>
        <r>
          <rPr>
            <sz val="9"/>
            <rFont val="Tahoma"/>
          </rPr>
          <t xml:space="preserve">
24002/01 +30.000
24003/01 +10.000
24004/01 +15.000
24032/03 +70.000
24058/04 +80.000
24067/05 +10.000
24068/05 +150.000
24069/05 +36.900
24070/05 +5.000
24071/05 +40.000
24084/06 +250.000
24085/06 +147.000
24145/10 +-35.000
24147/11 +30.000
24148/11 +30.000
24149/11 +15.000
</t>
        </r>
      </text>
    </comment>
    <comment ref="D680" authorId="291" shapeId="0">
      <text>
        <r>
          <rPr>
            <b/>
            <sz val="9"/>
            <rFont val="Tahoma"/>
          </rPr>
          <t>Jana Holíková:</t>
        </r>
        <r>
          <rPr>
            <sz val="9"/>
            <rFont val="Tahoma"/>
          </rPr>
          <t xml:space="preserve">
24177/12 -15.500
</t>
        </r>
      </text>
    </comment>
    <comment ref="D683" authorId="292" shapeId="0">
      <text>
        <r>
          <rPr>
            <b/>
            <sz val="9"/>
            <rFont val="Tahoma"/>
          </rPr>
          <t>Jana Holíková:</t>
        </r>
        <r>
          <rPr>
            <sz val="9"/>
            <rFont val="Tahoma"/>
          </rPr>
          <t xml:space="preserve">
24177/12 -15
</t>
        </r>
      </text>
    </comment>
    <comment ref="D685" authorId="293" shapeId="0">
      <text>
        <r>
          <rPr>
            <b/>
            <sz val="9"/>
            <rFont val="Tahoma"/>
          </rPr>
          <t>Jana Holíková:</t>
        </r>
        <r>
          <rPr>
            <sz val="9"/>
            <rFont val="Tahoma"/>
          </rPr>
          <t xml:space="preserve">
24172/12 +48.264,06 úz916
</t>
        </r>
      </text>
    </comment>
    <comment ref="D687" authorId="294" shapeId="0">
      <text>
        <r>
          <rPr>
            <b/>
            <sz val="9"/>
            <rFont val="Tahoma"/>
          </rPr>
          <t>Jana Holíková:</t>
        </r>
        <r>
          <rPr>
            <sz val="9"/>
            <rFont val="Tahoma"/>
          </rPr>
          <t xml:space="preserve">
24177/12 -53.414
</t>
        </r>
      </text>
    </comment>
    <comment ref="D688" authorId="295" shapeId="0">
      <text>
        <r>
          <rPr>
            <b/>
            <sz val="9"/>
            <rFont val="Tahoma"/>
          </rPr>
          <t>Jana Holíková:</t>
        </r>
        <r>
          <rPr>
            <sz val="9"/>
            <rFont val="Tahoma"/>
          </rPr>
          <t xml:space="preserve">
24163/11 +61.113
</t>
        </r>
      </text>
    </comment>
    <comment ref="D690" authorId="296" shapeId="0">
      <text>
        <r>
          <rPr>
            <b/>
            <sz val="9"/>
            <rFont val="Tahoma"/>
          </rPr>
          <t>Jana Holíková:</t>
        </r>
        <r>
          <rPr>
            <sz val="9"/>
            <rFont val="Tahoma"/>
          </rPr>
          <t xml:space="preserve">
24097/07 +1.500.000
24108/08 +920.000 úz34054
24177/12 -24.390
</t>
        </r>
      </text>
    </comment>
    <comment ref="D693" authorId="297" shapeId="0">
      <text>
        <r>
          <rPr>
            <b/>
            <sz val="9"/>
            <rFont val="Tahoma"/>
          </rPr>
          <t>Jana Holíková:</t>
        </r>
        <r>
          <rPr>
            <sz val="9"/>
            <rFont val="Tahoma"/>
          </rPr>
          <t xml:space="preserve">
24089/07 úz17526
+121.920,75 (170 1)
+280.575   (170 5)
24146/10 -700.000
</t>
        </r>
      </text>
    </comment>
    <comment ref="D696" authorId="298" shapeId="0">
      <text>
        <r>
          <rPr>
            <b/>
            <sz val="9"/>
            <rFont val="Tahoma"/>
          </rPr>
          <t>Jana Holíková:</t>
        </r>
        <r>
          <rPr>
            <sz val="9"/>
            <rFont val="Tahoma"/>
          </rPr>
          <t xml:space="preserve">
24088/07 úz13024
+309.397 +36.503
24088/07 úz13024
+15.114 6320
</t>
        </r>
      </text>
    </comment>
    <comment ref="D701" authorId="299" shapeId="0">
      <text>
        <r>
          <rPr>
            <b/>
            <sz val="9"/>
            <rFont val="Tahoma"/>
          </rPr>
          <t>Jana Holíková:</t>
        </r>
        <r>
          <rPr>
            <sz val="9"/>
            <rFont val="Tahoma"/>
          </rPr>
          <t xml:space="preserve">
24025.03
+320.000 +28.800
</t>
        </r>
      </text>
    </comment>
    <comment ref="D703" authorId="300" shapeId="0">
      <text>
        <r>
          <rPr>
            <b/>
            <sz val="9"/>
            <rFont val="Tahoma"/>
          </rPr>
          <t>Jana Holíková:</t>
        </r>
        <r>
          <rPr>
            <sz val="9"/>
            <rFont val="Tahoma"/>
          </rPr>
          <t xml:space="preserve">
24018/02
+563.940,99 (5011)
+135.346 (5031)
+ 50.757 (5032)
24087/07 (13015)
+1.067.803
</t>
        </r>
      </text>
    </comment>
    <comment ref="D704" authorId="301" shapeId="0">
      <text>
        <r>
          <rPr>
            <b/>
            <sz val="9"/>
            <rFont val="Tahoma"/>
          </rPr>
          <t>Jana Holíková:</t>
        </r>
        <r>
          <rPr>
            <sz val="9"/>
            <rFont val="Tahoma"/>
          </rPr>
          <t xml:space="preserve">
24088/07 úz 13024
+9.462.300
24174/12 úz 13024
-114.563,55
</t>
        </r>
      </text>
    </comment>
    <comment ref="D713" authorId="302" shapeId="0">
      <text>
        <r>
          <rPr>
            <b/>
            <sz val="9"/>
            <rFont val="Tahoma"/>
          </rPr>
          <t>Jana Holíková:</t>
        </r>
        <r>
          <rPr>
            <sz val="9"/>
            <rFont val="Tahoma"/>
          </rPr>
          <t xml:space="preserve">
24088/07 úz 13024
+8.000
</t>
        </r>
      </text>
    </comment>
    <comment ref="D714" authorId="303" shapeId="0">
      <text>
        <r>
          <rPr>
            <b/>
            <sz val="9"/>
            <rFont val="Tahoma"/>
          </rPr>
          <t>Jana Holíková:</t>
        </r>
        <r>
          <rPr>
            <sz val="9"/>
            <rFont val="Tahoma"/>
          </rPr>
          <t xml:space="preserve">
24014/02 +-50.000
</t>
        </r>
      </text>
    </comment>
    <comment ref="D716" authorId="304" shapeId="0">
      <text>
        <r>
          <rPr>
            <b/>
            <sz val="9"/>
            <rFont val="Tahoma"/>
          </rPr>
          <t>Jana Holíková:</t>
        </r>
        <r>
          <rPr>
            <sz val="9"/>
            <rFont val="Tahoma"/>
          </rPr>
          <t xml:space="preserve">
24146/10 -150.000
</t>
        </r>
      </text>
    </comment>
    <comment ref="D722" authorId="305" shapeId="0">
      <text>
        <r>
          <rPr>
            <b/>
            <sz val="9"/>
            <rFont val="Tahoma"/>
          </rPr>
          <t>Jana Holíková:</t>
        </r>
        <r>
          <rPr>
            <sz val="9"/>
            <rFont val="Tahoma"/>
          </rPr>
          <t xml:space="preserve">
24177/12 -1.389
</t>
        </r>
      </text>
    </comment>
    <comment ref="D723" authorId="306" shapeId="0">
      <text>
        <r>
          <rPr>
            <b/>
            <sz val="9"/>
            <rFont val="Tahoma"/>
          </rPr>
          <t>Jana Holíková:</t>
        </r>
        <r>
          <rPr>
            <sz val="9"/>
            <rFont val="Tahoma"/>
          </rPr>
          <t xml:space="preserve">
24013/02 -50.000
24075/06 -4.745
24113/08 -4.745
24129/09 -10.000
</t>
        </r>
      </text>
    </comment>
    <comment ref="D727" authorId="307" shapeId="0">
      <text>
        <r>
          <rPr>
            <b/>
            <sz val="9"/>
            <rFont val="Tahoma"/>
          </rPr>
          <t>Jana Holíková:</t>
        </r>
        <r>
          <rPr>
            <sz val="9"/>
            <rFont val="Tahoma"/>
          </rPr>
          <t xml:space="preserve">
24098/07 +-200.000
</t>
        </r>
      </text>
    </comment>
    <comment ref="D728" authorId="308" shapeId="0">
      <text>
        <r>
          <rPr>
            <b/>
            <sz val="9"/>
            <rFont val="Tahoma"/>
          </rPr>
          <t>Jana Holíková:</t>
        </r>
        <r>
          <rPr>
            <sz val="9"/>
            <rFont val="Tahoma"/>
          </rPr>
          <t xml:space="preserve">
24034/03 -360.000
24116/09 -271.000 r
24164/12 -150.000 r
</t>
        </r>
      </text>
    </comment>
    <comment ref="D729" authorId="309" shapeId="0">
      <text>
        <r>
          <rPr>
            <b/>
            <sz val="9"/>
            <rFont val="Tahoma"/>
          </rPr>
          <t>Jana Holíková:</t>
        </r>
        <r>
          <rPr>
            <sz val="9"/>
            <rFont val="Tahoma"/>
          </rPr>
          <t xml:space="preserve">
24098/07 +-1.853.095
</t>
        </r>
      </text>
    </comment>
    <comment ref="D733" authorId="310" shapeId="0">
      <text>
        <r>
          <rPr>
            <b/>
            <sz val="9"/>
            <rFont val="Tahoma"/>
          </rPr>
          <t>Jana Holíková:</t>
        </r>
        <r>
          <rPr>
            <sz val="9"/>
            <rFont val="Tahoma"/>
          </rPr>
          <t xml:space="preserve">
24661/10 +17.000
</t>
        </r>
      </text>
    </comment>
    <comment ref="D735" authorId="311" shapeId="0">
      <text>
        <r>
          <rPr>
            <b/>
            <sz val="9"/>
            <rFont val="Tahoma"/>
          </rPr>
          <t>Jana Holíková:</t>
        </r>
        <r>
          <rPr>
            <sz val="9"/>
            <rFont val="Tahoma"/>
          </rPr>
          <t xml:space="preserve">
24013/02 +50.000
24033/03 +59.000
24024/03 +75.000
24075/06 +4.745
24094/07 +10.000
24113/08 +4.745
24116/09 +271.000
24128/09 +18.000
24129/09 +10.000
24164/12 +150.000
24177/12 +3.360
</t>
        </r>
      </text>
    </comment>
    <comment ref="D737" authorId="312" shapeId="0">
      <text>
        <r>
          <rPr>
            <b/>
            <sz val="9"/>
            <rFont val="Tahoma"/>
          </rPr>
          <t>Jana Holíková:</t>
        </r>
        <r>
          <rPr>
            <sz val="9"/>
            <rFont val="Tahoma"/>
          </rPr>
          <t xml:space="preserve">
24034/03 +285.000
24661/10 -17.000
</t>
        </r>
      </text>
    </comment>
    <comment ref="D742" authorId="313" shapeId="0">
      <text>
        <r>
          <rPr>
            <b/>
            <sz val="9"/>
            <rFont val="Tahoma"/>
          </rPr>
          <t>Jana Holíková:</t>
        </r>
        <r>
          <rPr>
            <sz val="9"/>
            <rFont val="Tahoma"/>
          </rPr>
          <t xml:space="preserve">
24031/03 +2.980.000 úz
24570/05 dopl.úz:
+419.000 (0390)
+181.000 (0390)
+   2.000 (0390)
+ 161.000 (2390)
+2.217.000 (2390)
-2.980.000 (0390)
24612/08 -62.560
24127/09 +298.000 úz914 0390
</t>
        </r>
      </text>
    </comment>
    <comment ref="D743" authorId="314" shapeId="0">
      <text>
        <r>
          <rPr>
            <b/>
            <sz val="9"/>
            <rFont val="Tahoma"/>
          </rPr>
          <t>Jana Holíková:</t>
        </r>
        <r>
          <rPr>
            <sz val="9"/>
            <rFont val="Tahoma"/>
          </rPr>
          <t xml:space="preserve">
24031/04 +559.000 úz
24570/05 dopl úz914:
+492.000 (2391)
+36.000 (2391)
+ 31.000 (1391)
-559.000 (1391)
24127/09 +61.000 úz914 1391
</t>
        </r>
      </text>
    </comment>
    <comment ref="D744" authorId="315" shapeId="0">
      <text>
        <r>
          <rPr>
            <b/>
            <sz val="9"/>
            <rFont val="Tahoma"/>
          </rPr>
          <t>Jana Holíková:</t>
        </r>
        <r>
          <rPr>
            <sz val="9"/>
            <rFont val="Tahoma"/>
          </rPr>
          <t xml:space="preserve">
24031/04 +1.034.000
24570/05 dopl.úz914
+978.000 (2393)
+ 56.000 (1393)
-1.037.000 (1393)
24127/09 +82.000 úz914 1393
24150/11 +354.926 2393
</t>
        </r>
      </text>
    </comment>
    <comment ref="D745" authorId="316" shapeId="0">
      <text>
        <r>
          <rPr>
            <b/>
            <sz val="9"/>
            <rFont val="Tahoma"/>
          </rPr>
          <t>Jana Holíková:</t>
        </r>
        <r>
          <rPr>
            <sz val="9"/>
            <rFont val="Tahoma"/>
          </rPr>
          <t xml:space="preserve">
24507/01 -+2.400.000
změna org
24612/08 +62.560
nabíjecí st.
</t>
        </r>
      </text>
    </comment>
    <comment ref="D749" authorId="317" shapeId="0">
      <text>
        <r>
          <rPr>
            <b/>
            <sz val="9"/>
            <rFont val="Tahoma"/>
          </rPr>
          <t>Jana Holíková:</t>
        </r>
        <r>
          <rPr>
            <sz val="9"/>
            <rFont val="Tahoma"/>
          </rPr>
          <t xml:space="preserve">
24081/06 +50.000
</t>
        </r>
      </text>
    </comment>
    <comment ref="D752" authorId="318" shapeId="0">
      <text>
        <r>
          <rPr>
            <b/>
            <sz val="9"/>
            <rFont val="Tahoma"/>
          </rPr>
          <t>Jana Holíková:</t>
        </r>
        <r>
          <rPr>
            <sz val="9"/>
            <rFont val="Tahoma"/>
          </rPr>
          <t xml:space="preserve">
24081/06 -50.000
24141/10 +300.000
24172/12 +199.650 úz916
</t>
        </r>
      </text>
    </comment>
    <comment ref="D753" authorId="319" shapeId="0">
      <text>
        <r>
          <rPr>
            <b/>
            <sz val="9"/>
            <rFont val="Tahoma"/>
          </rPr>
          <t>Jana Holíková:</t>
        </r>
        <r>
          <rPr>
            <sz val="9"/>
            <rFont val="Tahoma"/>
          </rPr>
          <t xml:space="preserve">
24172/12 +122.000 úz916
</t>
        </r>
      </text>
    </comment>
    <comment ref="D756" authorId="320" shapeId="0">
      <text>
        <r>
          <rPr>
            <b/>
            <sz val="9"/>
            <rFont val="Tahoma"/>
          </rPr>
          <t>Jana Holíková:</t>
        </r>
        <r>
          <rPr>
            <sz val="9"/>
            <rFont val="Tahoma"/>
          </rPr>
          <t xml:space="preserve">
24006/01 +3.337.434
24091/07 +164.201
</t>
        </r>
      </text>
    </comment>
    <comment ref="D757" authorId="321" shapeId="0">
      <text>
        <r>
          <rPr>
            <b/>
            <sz val="9"/>
            <rFont val="Tahoma"/>
          </rPr>
          <t>Jana Holíková:</t>
        </r>
        <r>
          <rPr>
            <sz val="9"/>
            <rFont val="Tahoma"/>
          </rPr>
          <t xml:space="preserve">
24153/11 -900.000
24172/12 +115.320,48 úz916
24175/12 +10.970
24181/12 -115.320,48
</t>
        </r>
      </text>
    </comment>
    <comment ref="D758" authorId="322" shapeId="0">
      <text>
        <r>
          <rPr>
            <b/>
            <sz val="9"/>
            <rFont val="Tahoma"/>
          </rPr>
          <t>Jana Holíková:</t>
        </r>
        <r>
          <rPr>
            <sz val="9"/>
            <rFont val="Tahoma"/>
          </rPr>
          <t xml:space="preserve">
24143/10 +15.885
24175/12 +3.744
</t>
        </r>
      </text>
    </comment>
    <comment ref="D764" authorId="323" shapeId="0">
      <text>
        <r>
          <rPr>
            <b/>
            <sz val="9"/>
            <rFont val="Tahoma"/>
          </rPr>
          <t>Jana Holíková:</t>
        </r>
        <r>
          <rPr>
            <sz val="9"/>
            <rFont val="Tahoma"/>
          </rPr>
          <t xml:space="preserve">
24153/11 +600.000
24172/12 +170.645,83 úz916
24181/12 -170.645,83
</t>
        </r>
      </text>
    </comment>
    <comment ref="D765" authorId="324" shapeId="0">
      <text>
        <r>
          <rPr>
            <b/>
            <sz val="9"/>
            <rFont val="Tahoma"/>
          </rPr>
          <t>Jana Holíková:</t>
        </r>
        <r>
          <rPr>
            <sz val="9"/>
            <rFont val="Tahoma"/>
          </rPr>
          <t xml:space="preserve">
24143/10 +36.117
</t>
        </r>
      </text>
    </comment>
    <comment ref="D766" authorId="325" shapeId="0">
      <text>
        <r>
          <rPr>
            <b/>
            <sz val="9"/>
            <rFont val="Tahoma"/>
          </rPr>
          <t>Jana Holíková:</t>
        </r>
        <r>
          <rPr>
            <sz val="9"/>
            <rFont val="Tahoma"/>
          </rPr>
          <t xml:space="preserve">
24090/07 +76.031,56
24091/07 -186.050
24153/11 -150.000
</t>
        </r>
      </text>
    </comment>
    <comment ref="D777" authorId="326" shapeId="0">
      <text>
        <r>
          <rPr>
            <b/>
            <sz val="9"/>
            <rFont val="Tahoma"/>
          </rPr>
          <t>Jana Holíková:</t>
        </r>
        <r>
          <rPr>
            <sz val="9"/>
            <rFont val="Tahoma"/>
          </rPr>
          <t xml:space="preserve">
24571/06 +88.036
24704/12 +61.250,20
24710/12 +41.140
</t>
        </r>
      </text>
    </comment>
    <comment ref="D781" authorId="327" shapeId="0">
      <text>
        <r>
          <rPr>
            <b/>
            <sz val="9"/>
            <rFont val="Tahoma"/>
          </rPr>
          <t>Jana Holíková:</t>
        </r>
        <r>
          <rPr>
            <sz val="9"/>
            <rFont val="Tahoma"/>
          </rPr>
          <t xml:space="preserve">
24533/03 -25.482,15
24564/05 -7.793
24571/06 -88.036
24630/09 -11.950,96
24704/12 -97.880,80
24710/12 -41.140
</t>
        </r>
      </text>
    </comment>
    <comment ref="D782" authorId="328" shapeId="0">
      <text>
        <r>
          <rPr>
            <b/>
            <sz val="9"/>
            <rFont val="Tahoma"/>
          </rPr>
          <t>Jana Holíková:</t>
        </r>
        <r>
          <rPr>
            <sz val="9"/>
            <rFont val="Tahoma"/>
          </rPr>
          <t xml:space="preserve">
24533/03 +25.482,15
24564/05 +7.793
24630/09 +11.950,96
24704/12 +36.630,60
</t>
        </r>
      </text>
    </comment>
    <comment ref="D785" authorId="329" shapeId="0">
      <text>
        <r>
          <rPr>
            <b/>
            <sz val="9"/>
            <rFont val="Tahoma"/>
          </rPr>
          <t>Jana Holíková:</t>
        </r>
        <r>
          <rPr>
            <sz val="9"/>
            <rFont val="Tahoma"/>
          </rPr>
          <t xml:space="preserve">
24533/03 -7.633
24570/06 -2.800
24124/09 +300.000
24630/09 -3.687
24637/09 +186.181,75
24162/11 +800.000
24177/12 -51.056,46
</t>
        </r>
      </text>
    </comment>
    <comment ref="D786" authorId="330" shapeId="0">
      <text>
        <r>
          <rPr>
            <b/>
            <sz val="9"/>
            <rFont val="Tahoma"/>
          </rPr>
          <t>Jana Holíková:</t>
        </r>
        <r>
          <rPr>
            <sz val="9"/>
            <rFont val="Tahoma"/>
          </rPr>
          <t xml:space="preserve">
24533/03 +7.633
24571/06 +2.800
24630/09 +3.687
</t>
        </r>
      </text>
    </comment>
    <comment ref="D790" authorId="331" shapeId="0">
      <text>
        <r>
          <rPr>
            <b/>
            <sz val="9"/>
            <rFont val="Tahoma"/>
          </rPr>
          <t>Jana Holíková:</t>
        </r>
        <r>
          <rPr>
            <sz val="9"/>
            <rFont val="Tahoma"/>
          </rPr>
          <t xml:space="preserve">
24637/09 -186.181,75
</t>
        </r>
      </text>
    </comment>
    <comment ref="D811" authorId="332" shapeId="0">
      <text>
        <r>
          <rPr>
            <b/>
            <sz val="9"/>
            <rFont val="Tahoma"/>
          </rPr>
          <t>Jana Holíková:</t>
        </r>
        <r>
          <rPr>
            <sz val="9"/>
            <rFont val="Tahoma"/>
          </rPr>
          <t xml:space="preserve">
24704/12 -10.000
</t>
        </r>
      </text>
    </comment>
    <comment ref="D812" authorId="333" shapeId="0">
      <text>
        <r>
          <rPr>
            <b/>
            <sz val="9"/>
            <rFont val="Tahoma"/>
          </rPr>
          <t>Jana Holíková:</t>
        </r>
        <r>
          <rPr>
            <sz val="9"/>
            <rFont val="Tahoma"/>
          </rPr>
          <t xml:space="preserve">
24704/12 +10.000
</t>
        </r>
      </text>
    </comment>
    <comment ref="D815" authorId="334" shapeId="0">
      <text>
        <r>
          <rPr>
            <b/>
            <sz val="9"/>
            <rFont val="Tahoma"/>
          </rPr>
          <t>Jana Holíková:</t>
        </r>
        <r>
          <rPr>
            <sz val="9"/>
            <rFont val="Tahoma"/>
          </rPr>
          <t xml:space="preserve">
24648/10 +2.000.000
24710/12 +200.000
</t>
        </r>
      </text>
    </comment>
    <comment ref="D816" authorId="335" shapeId="0">
      <text>
        <r>
          <rPr>
            <b/>
            <sz val="9"/>
            <rFont val="Tahoma"/>
          </rPr>
          <t>Jana Holíková:</t>
        </r>
        <r>
          <rPr>
            <sz val="9"/>
            <rFont val="Tahoma"/>
          </rPr>
          <t xml:space="preserve">
24648/10 -2.000.000
</t>
        </r>
      </text>
    </comment>
    <comment ref="D818" authorId="336" shapeId="0">
      <text>
        <r>
          <rPr>
            <b/>
            <sz val="9"/>
            <rFont val="Tahoma"/>
          </rPr>
          <t>Jana Holíková:</t>
        </r>
        <r>
          <rPr>
            <sz val="9"/>
            <rFont val="Tahoma"/>
          </rPr>
          <t xml:space="preserve">
24710/12 -200.000
</t>
        </r>
      </text>
    </comment>
    <comment ref="D819" authorId="337" shapeId="0">
      <text>
        <r>
          <rPr>
            <b/>
            <sz val="9"/>
            <rFont val="Tahoma"/>
          </rPr>
          <t>Jana Holíková:</t>
        </r>
        <r>
          <rPr>
            <sz val="9"/>
            <rFont val="Tahoma"/>
          </rPr>
          <t xml:space="preserve">
24101/07 -20.000
</t>
        </r>
      </text>
    </comment>
    <comment ref="D824" authorId="338" shapeId="0">
      <text>
        <r>
          <rPr>
            <b/>
            <sz val="9"/>
            <rFont val="Tahoma"/>
          </rPr>
          <t>Jana Holíková:</t>
        </r>
        <r>
          <rPr>
            <sz val="9"/>
            <rFont val="Tahoma"/>
          </rPr>
          <t xml:space="preserve">
24533/03 +210.000
24719/12 -210.000
</t>
        </r>
      </text>
    </comment>
    <comment ref="D825" authorId="339" shapeId="0">
      <text>
        <r>
          <rPr>
            <b/>
            <sz val="9"/>
            <rFont val="Tahoma"/>
          </rPr>
          <t>Jana Holíková:</t>
        </r>
        <r>
          <rPr>
            <sz val="9"/>
            <rFont val="Tahoma"/>
          </rPr>
          <t xml:space="preserve">
24630/09 +220.000
</t>
        </r>
      </text>
    </comment>
    <comment ref="D831" authorId="340" shapeId="0">
      <text>
        <r>
          <rPr>
            <b/>
            <sz val="9"/>
            <rFont val="Tahoma"/>
          </rPr>
          <t>Jana Holíková:</t>
        </r>
        <r>
          <rPr>
            <sz val="9"/>
            <rFont val="Tahoma"/>
          </rPr>
          <t xml:space="preserve">
24669.11 -1.000.000
</t>
        </r>
      </text>
    </comment>
    <comment ref="D832" authorId="341" shapeId="0">
      <text>
        <r>
          <rPr>
            <b/>
            <sz val="9"/>
            <rFont val="Tahoma"/>
          </rPr>
          <t>Jana Holíková:</t>
        </r>
        <r>
          <rPr>
            <sz val="9"/>
            <rFont val="Tahoma"/>
          </rPr>
          <t xml:space="preserve">
24669/11 +1.000.000
</t>
        </r>
      </text>
    </comment>
    <comment ref="D837" authorId="342" shapeId="0">
      <text>
        <r>
          <rPr>
            <b/>
            <sz val="9"/>
            <rFont val="Tahoma"/>
          </rPr>
          <t>Jana Holíková:</t>
        </r>
        <r>
          <rPr>
            <sz val="9"/>
            <rFont val="Tahoma"/>
          </rPr>
          <t xml:space="preserve">
24648/10  +21.000
</t>
        </r>
      </text>
    </comment>
    <comment ref="D841" authorId="343" shapeId="0">
      <text>
        <r>
          <rPr>
            <b/>
            <sz val="9"/>
            <rFont val="Tahoma"/>
          </rPr>
          <t>Jana Holíková:</t>
        </r>
        <r>
          <rPr>
            <sz val="9"/>
            <rFont val="Tahoma"/>
          </rPr>
          <t xml:space="preserve">
24153/11 -200.000
</t>
        </r>
      </text>
    </comment>
    <comment ref="D842" authorId="344" shapeId="0">
      <text>
        <r>
          <rPr>
            <b/>
            <sz val="9"/>
            <rFont val="Tahoma"/>
          </rPr>
          <t>Jana Holíková:</t>
        </r>
        <r>
          <rPr>
            <sz val="9"/>
            <rFont val="Tahoma"/>
          </rPr>
          <t xml:space="preserve">
24101/07 -20.000
</t>
        </r>
      </text>
    </comment>
    <comment ref="D843" authorId="345" shapeId="0">
      <text>
        <r>
          <rPr>
            <b/>
            <sz val="9"/>
            <rFont val="Tahoma"/>
          </rPr>
          <t>Jana Holíková:</t>
        </r>
        <r>
          <rPr>
            <sz val="9"/>
            <rFont val="Tahoma"/>
          </rPr>
          <t xml:space="preserve">
24702.12 +2.000
</t>
        </r>
      </text>
    </comment>
    <comment ref="D846" authorId="346" shapeId="0">
      <text>
        <r>
          <rPr>
            <b/>
            <sz val="9"/>
            <rFont val="Tahoma"/>
          </rPr>
          <t>Jana Holíková:</t>
        </r>
        <r>
          <rPr>
            <sz val="9"/>
            <rFont val="Tahoma"/>
          </rPr>
          <t xml:space="preserve">
24090/07 -274.519,07
24101/07 +40.000
24153/11 -100.000
</t>
        </r>
      </text>
    </comment>
    <comment ref="D848" authorId="347" shapeId="0">
      <text>
        <r>
          <rPr>
            <b/>
            <sz val="9"/>
            <rFont val="Tahoma"/>
          </rPr>
          <t>Jana Holíková:</t>
        </r>
        <r>
          <rPr>
            <sz val="9"/>
            <rFont val="Tahoma"/>
          </rPr>
          <t xml:space="preserve">
24533/03 -210.000
24719/12 +210.000
</t>
        </r>
      </text>
    </comment>
    <comment ref="D852" authorId="348" shapeId="0">
      <text>
        <r>
          <rPr>
            <b/>
            <sz val="9"/>
            <rFont val="Tahoma"/>
          </rPr>
          <t>Jana Holíková:</t>
        </r>
        <r>
          <rPr>
            <sz val="9"/>
            <rFont val="Tahoma"/>
          </rPr>
          <t xml:space="preserve">
24702/12 -2.000
</t>
        </r>
      </text>
    </comment>
    <comment ref="D854" authorId="349" shapeId="0">
      <text>
        <r>
          <rPr>
            <b/>
            <sz val="9"/>
            <rFont val="Tahoma"/>
          </rPr>
          <t>Jana Holíková:</t>
        </r>
        <r>
          <rPr>
            <sz val="9"/>
            <rFont val="Tahoma"/>
          </rPr>
          <t xml:space="preserve">
24648/10 -21.000
</t>
        </r>
      </text>
    </comment>
    <comment ref="D858" authorId="350" shapeId="0">
      <text>
        <r>
          <rPr>
            <b/>
            <sz val="9"/>
            <rFont val="Tahoma"/>
          </rPr>
          <t>Jana Holíková:</t>
        </r>
        <r>
          <rPr>
            <sz val="9"/>
            <rFont val="Tahoma"/>
          </rPr>
          <t xml:space="preserve">
24630/09 -100.000
</t>
        </r>
      </text>
    </comment>
    <comment ref="D860" authorId="351" shapeId="0">
      <text>
        <r>
          <rPr>
            <b/>
            <sz val="9"/>
            <rFont val="Tahoma"/>
          </rPr>
          <t>Jana Holíková:</t>
        </r>
        <r>
          <rPr>
            <sz val="9"/>
            <rFont val="Tahoma"/>
          </rPr>
          <t xml:space="preserve">
24630/09 -120.000
</t>
        </r>
      </text>
    </comment>
    <comment ref="D863" authorId="352" shapeId="0">
      <text>
        <r>
          <rPr>
            <b/>
            <sz val="9"/>
            <rFont val="Tahoma"/>
          </rPr>
          <t>Jana Holíková:</t>
        </r>
        <r>
          <rPr>
            <sz val="9"/>
            <rFont val="Tahoma"/>
          </rPr>
          <t xml:space="preserve">
24704/12 -101.000
</t>
        </r>
      </text>
    </comment>
    <comment ref="D865" authorId="353" shapeId="0">
      <text>
        <r>
          <rPr>
            <b/>
            <sz val="9"/>
            <rFont val="Tahoma"/>
          </rPr>
          <t>Jana Holíková:</t>
        </r>
        <r>
          <rPr>
            <sz val="9"/>
            <rFont val="Tahoma"/>
          </rPr>
          <t xml:space="preserve">
24704/12 -350.000
</t>
        </r>
      </text>
    </comment>
    <comment ref="D866" authorId="354" shapeId="0">
      <text>
        <r>
          <rPr>
            <b/>
            <sz val="9"/>
            <rFont val="Tahoma"/>
          </rPr>
          <t>Jana Holíková:</t>
        </r>
        <r>
          <rPr>
            <sz val="9"/>
            <rFont val="Tahoma"/>
          </rPr>
          <t xml:space="preserve">
24648/10 -60.000
</t>
        </r>
      </text>
    </comment>
    <comment ref="D868" authorId="355" shapeId="0">
      <text>
        <r>
          <rPr>
            <b/>
            <sz val="9"/>
            <rFont val="Tahoma"/>
          </rPr>
          <t>Jana Holíková:</t>
        </r>
        <r>
          <rPr>
            <sz val="9"/>
            <rFont val="Tahoma"/>
          </rPr>
          <t xml:space="preserve">
24704/12 +451.000
</t>
        </r>
      </text>
    </comment>
    <comment ref="D869" authorId="356" shapeId="0">
      <text>
        <r>
          <rPr>
            <b/>
            <sz val="9"/>
            <rFont val="Tahoma"/>
          </rPr>
          <t>Jana Holíková:</t>
        </r>
        <r>
          <rPr>
            <sz val="9"/>
            <rFont val="Tahoma"/>
          </rPr>
          <t xml:space="preserve">
24648/10 +60.000
</t>
        </r>
      </text>
    </comment>
    <comment ref="D876" authorId="357" shapeId="0">
      <text>
        <r>
          <rPr>
            <b/>
            <sz val="9"/>
            <rFont val="Tahoma"/>
          </rPr>
          <t>Jana Holíková:</t>
        </r>
        <r>
          <rPr>
            <sz val="9"/>
            <rFont val="Tahoma"/>
          </rPr>
          <t xml:space="preserve">
24597/07 -10.000
</t>
        </r>
      </text>
    </comment>
    <comment ref="D879" authorId="358" shapeId="0">
      <text>
        <r>
          <rPr>
            <b/>
            <sz val="9"/>
            <rFont val="Tahoma"/>
          </rPr>
          <t>Jana Holíková:</t>
        </r>
        <r>
          <rPr>
            <sz val="9"/>
            <rFont val="Tahoma"/>
          </rPr>
          <t xml:space="preserve">
24597/07 +10.000
</t>
        </r>
      </text>
    </comment>
    <comment ref="D884" authorId="359" shapeId="0">
      <text>
        <r>
          <rPr>
            <b/>
            <sz val="9"/>
            <rFont val="Tahoma"/>
          </rPr>
          <t>Jana Holíková:</t>
        </r>
        <r>
          <rPr>
            <sz val="9"/>
            <rFont val="Tahoma"/>
          </rPr>
          <t xml:space="preserve">
24042/03 -45.000
24103/07 -30.000
</t>
        </r>
      </text>
    </comment>
    <comment ref="D885" authorId="360" shapeId="0">
      <text>
        <r>
          <rPr>
            <b/>
            <sz val="9"/>
            <rFont val="Tahoma"/>
          </rPr>
          <t>Jana Holíková:</t>
        </r>
        <r>
          <rPr>
            <sz val="9"/>
            <rFont val="Tahoma"/>
          </rPr>
          <t xml:space="preserve">
24177/12 -3.000
</t>
        </r>
      </text>
    </comment>
    <comment ref="D887" authorId="361" shapeId="0">
      <text>
        <r>
          <rPr>
            <b/>
            <sz val="9"/>
            <rFont val="Tahoma"/>
          </rPr>
          <t>Jana Holíková:</t>
        </r>
        <r>
          <rPr>
            <sz val="9"/>
            <rFont val="Tahoma"/>
          </rPr>
          <t xml:space="preserve">
24042/03 +45.000
24103/07 +30.000
</t>
        </r>
      </text>
    </comment>
    <comment ref="D895" authorId="362" shapeId="0">
      <text>
        <r>
          <rPr>
            <b/>
            <sz val="9"/>
            <rFont val="Tahoma"/>
          </rPr>
          <t>Jana Holíková:</t>
        </r>
        <r>
          <rPr>
            <sz val="9"/>
            <rFont val="Tahoma"/>
          </rPr>
          <t xml:space="preserve">
24165/12 +60.170,97 
</t>
        </r>
      </text>
    </comment>
    <comment ref="D897" authorId="363" shapeId="0">
      <text>
        <r>
          <rPr>
            <b/>
            <sz val="9"/>
            <rFont val="Tahoma"/>
          </rPr>
          <t>Jana Holíková:</t>
        </r>
        <r>
          <rPr>
            <sz val="9"/>
            <rFont val="Tahoma"/>
          </rPr>
          <t xml:space="preserve">
34176/12 +80.000
24176/12 +40.000
</t>
        </r>
      </text>
    </comment>
    <comment ref="D899" authorId="364" shapeId="0">
      <text>
        <r>
          <rPr>
            <b/>
            <sz val="9"/>
            <rFont val="Tahoma"/>
          </rPr>
          <t>Jana Holíková:</t>
        </r>
        <r>
          <rPr>
            <sz val="9"/>
            <rFont val="Tahoma"/>
          </rPr>
          <t xml:space="preserve">
24049/04 +16.435.050
</t>
        </r>
      </text>
    </comment>
    <comment ref="D900" authorId="365" shapeId="0">
      <text>
        <r>
          <rPr>
            <b/>
            <sz val="9"/>
            <rFont val="Tahoma"/>
          </rPr>
          <t>Jana Holíková:</t>
        </r>
        <r>
          <rPr>
            <sz val="9"/>
            <rFont val="Tahoma"/>
          </rPr>
          <t xml:space="preserve">
24176/12 +4.345.805
</t>
        </r>
      </text>
    </comment>
    <comment ref="D902" authorId="366" shapeId="0">
      <text>
        <r>
          <rPr>
            <b/>
            <sz val="9"/>
            <rFont val="Tahoma"/>
          </rPr>
          <t>Jana Holíková:</t>
        </r>
        <r>
          <rPr>
            <sz val="9"/>
            <rFont val="Tahoma"/>
          </rPr>
          <t xml:space="preserve">
24039/03  0322
+ 5.068,40  253 1441
+45.615,60  911 1445
</t>
        </r>
      </text>
    </comment>
    <comment ref="D903" authorId="367" shapeId="0">
      <text>
        <r>
          <rPr>
            <b/>
            <sz val="9"/>
            <rFont val="Tahoma"/>
          </rPr>
          <t>Jana Holíková:</t>
        </r>
        <r>
          <rPr>
            <sz val="9"/>
            <rFont val="Tahoma"/>
          </rPr>
          <t xml:space="preserve">
24040/03  0323
+ 4.089  253 1441
+36.801  911 1445
</t>
        </r>
      </text>
    </comment>
    <comment ref="D904" authorId="368" shapeId="0">
      <text>
        <r>
          <rPr>
            <b/>
            <sz val="9"/>
            <rFont val="Tahoma"/>
          </rPr>
          <t>Jana Holíková:</t>
        </r>
        <r>
          <rPr>
            <sz val="9"/>
            <rFont val="Tahoma"/>
          </rPr>
          <t xml:space="preserve">
24022/02  0321
+ 1.835,40  253 1441
+16.518,60 911 1445
</t>
        </r>
      </text>
    </comment>
    <comment ref="D905" authorId="369" shapeId="0">
      <text>
        <r>
          <rPr>
            <b/>
            <sz val="9"/>
            <rFont val="Tahoma"/>
          </rPr>
          <t>Jana Holíková:</t>
        </r>
        <r>
          <rPr>
            <sz val="9"/>
            <rFont val="Tahoma"/>
          </rPr>
          <t xml:space="preserve">
24022/02  0321
+ 1.835,40  253 1441
+16.518,60 911 1445
24120/09 +26.616
</t>
        </r>
      </text>
    </comment>
    <comment ref="D907" authorId="370" shapeId="0">
      <text>
        <r>
          <rPr>
            <b/>
            <sz val="9"/>
            <rFont val="Tahoma"/>
          </rPr>
          <t>Jana Holíková:</t>
        </r>
        <r>
          <rPr>
            <sz val="9"/>
            <rFont val="Tahoma"/>
          </rPr>
          <t xml:space="preserve">
24003/01 -10.000
24004/01 -15.000
24005/01 -272.932
24006/01 -3.337.434
24011/01 -192.228
24012/01 +192.228
24015/02 +319.987,99
24016/02 -90.488
24017/02 +289.333
24019/02 -266.805
24020/02 -96.558
24024/03 +400.000
24025.03 -348.800
24026.03 +3.226.272,84
24032/03 -70.000
24033/03 -59.000
24035/03 +5.514.060
24043/03 +1.548
24045/03 +5.904.137,50
24046/04 +1.844.214,70
24047/04 +1.284
24051/04 -231.352,61
24052/04 +21.989
24058/04 -80.000
24059/05 -134.310
24063/05 +8.862
24064/05 -313.948
24067/05 -10.000
24068/05 -150.000
24069/05
-36.900 -30.000
24070/05 -5.000
24071/05 -40.000
24072/05 
-1.002.336,01 +943.202,20
24073/06 +16.164.266,27
24077/06 +13.443,03
24083/06 -150.000
24084/06 -250.000
24085/06 -147.000
24587/06 -75.000
24087/07 +1.000.000
24088/07 
-8.304.000 -1.693.400 -15.114
24090/07 +271.932,51
24091/07 +21.849
24094/07 -10.000
24097/07 -1.500.000
24106/08 -47.000
24109/08 -280.926,31
24114/08 -1.700.000
24115/08 +6.726.142,50
24118/09 -500.000 -125.387,36
24119/09 -200.000
24120/09 -26.616
24123/09 -23.134
24124/09 -300.000
24128/09 -18.000
24133/10 -173.723
24134/10 +-32.936
24136/10 -100.000
24138/10 -77.027,69
24140/10 +57.566.790
24141/10 -300.000
24143/10 +11.999 část
24146/10
-335.194 +6.150.000 +19.000.000
+1.500.000 +15.000.000 +3.750.000
+2.859.600 +150.000 +700.000
24149/11 -15.000
24150/11 -354.926
24153/11 +100.000 +1.500.000 -250.000 +200.000 -600.000 +600.000 +900.000 +800.000 +102.363 +175.301 +150.000
24154/11 +102.602,50
24155/11 -102.602,50
24156/11 +1.600
24158/11 +173.723
24159/11 +88.500
24162/11 -800.000
24165/12 -60.140,97
24168/12 +28.000
24169/12 +1.160
24170/12 +690.000
24171/12 -214.771
24173/12 +891.942,97
24175/12 +79.163
24176/12 -20.673.707,52
24176/12 +77.027,69
24177/12 +543.686,07
24179/12 +1.089.981,05
24180/12 +700.000
24181/12 +503.648,36
24182/12 +14.953.726
</t>
        </r>
      </text>
    </comment>
    <comment ref="D908" authorId="371" shapeId="0">
      <text>
        <r>
          <rPr>
            <b/>
            <sz val="9"/>
            <rFont val="Tahoma"/>
          </rPr>
          <t>Jana Holíková:</t>
        </r>
        <r>
          <rPr>
            <sz val="9"/>
            <rFont val="Tahoma"/>
          </rPr>
          <t xml:space="preserve">
24587/06 +75.000
24177/12 -30.416,95
</t>
        </r>
      </text>
    </comment>
  </commentList>
</comments>
</file>

<file path=xl/sharedStrings.xml><?xml version="1.0" encoding="utf-8"?>
<sst xmlns="http://schemas.openxmlformats.org/spreadsheetml/2006/main" count="3324" uniqueCount="1909">
  <si>
    <t>Příloha č. 1</t>
  </si>
  <si>
    <r>
      <rPr>
        <b/>
        <sz val="9"/>
        <rFont val="Arial CE"/>
      </rPr>
      <t xml:space="preserve">Rozpočtová skladba                                                                                                                                                                                                                                                    </t>
    </r>
    <r>
      <rPr>
        <sz val="8"/>
        <rFont val="Arial CE"/>
      </rPr>
      <t xml:space="preserve"> ORJ/odd.par./pol./org./ÚZ</t>
    </r>
  </si>
  <si>
    <r>
      <rPr>
        <b/>
        <sz val="14"/>
        <rFont val="Arial CE"/>
      </rPr>
      <t xml:space="preserve">Návrh rozpočtu města Nový Jičín 
na rok 2021                                                                                                                                                                                                                                                                                                                                                                                  </t>
    </r>
    <r>
      <rPr>
        <sz val="11"/>
        <rFont val="Arial CE"/>
      </rPr>
      <t xml:space="preserve"> (údaje </t>
    </r>
    <r>
      <rPr>
        <b/>
        <sz val="11"/>
        <rFont val="Arial CE"/>
      </rPr>
      <t>v textu</t>
    </r>
    <r>
      <rPr>
        <sz val="11"/>
        <rFont val="Arial CE"/>
      </rPr>
      <t xml:space="preserve"> jsou v tis. Kč)          </t>
    </r>
    <r>
      <rPr>
        <b/>
        <sz val="14"/>
        <rFont val="Arial CE"/>
      </rPr>
      <t xml:space="preserve">                  </t>
    </r>
  </si>
  <si>
    <r>
      <rPr>
        <b/>
        <sz val="12"/>
        <rFont val="Arial CE"/>
      </rPr>
      <t xml:space="preserve">Schválený
rozpočet 2020
</t>
    </r>
    <r>
      <rPr>
        <sz val="9"/>
        <rFont val="Arial CE"/>
      </rPr>
      <t>(v Kč)</t>
    </r>
  </si>
  <si>
    <r>
      <rPr>
        <b/>
        <sz val="12"/>
        <rFont val="Arial CE"/>
      </rPr>
      <t xml:space="preserve">Upravený
rozpočet                                                                                                                                                                                                                                                                                                                                                                                                                                                                                                                                         k 31.8.2020
</t>
    </r>
    <r>
      <rPr>
        <sz val="9"/>
        <rFont val="Arial CE"/>
      </rPr>
      <t>(v Kč)</t>
    </r>
  </si>
  <si>
    <r>
      <rPr>
        <b/>
        <sz val="12"/>
        <rFont val="Arial CE"/>
      </rPr>
      <t xml:space="preserve">Očekávané plnění
k 31.12. 2020
</t>
    </r>
    <r>
      <rPr>
        <sz val="9"/>
        <rFont val="Arial CE"/>
      </rPr>
      <t>(v Kč)</t>
    </r>
  </si>
  <si>
    <r>
      <rPr>
        <b/>
        <sz val="12"/>
        <rFont val="Arial CE"/>
      </rPr>
      <t xml:space="preserve">Skutečnost za
k 31.8. 2020
</t>
    </r>
    <r>
      <rPr>
        <sz val="9"/>
        <rFont val="Arial CE"/>
      </rPr>
      <t>(v Kč)</t>
    </r>
  </si>
  <si>
    <r>
      <rPr>
        <b/>
        <sz val="12"/>
        <rFont val="Arial CE"/>
      </rPr>
      <t xml:space="preserve">2021                                                                                                                                                                                                                                                                                                                                                                                                                      </t>
    </r>
    <r>
      <rPr>
        <sz val="9"/>
        <rFont val="Arial CE"/>
      </rPr>
      <t xml:space="preserve"> (v Kč)   </t>
    </r>
    <r>
      <rPr>
        <b/>
        <sz val="9"/>
        <rFont val="Arial CE"/>
      </rPr>
      <t xml:space="preserve">        </t>
    </r>
    <r>
      <rPr>
        <b/>
        <sz val="12"/>
        <rFont val="Arial CE"/>
      </rPr>
      <t xml:space="preserve">                                                                                                                                                                  </t>
    </r>
  </si>
  <si>
    <t>Příjmy</t>
  </si>
  <si>
    <t>Třída 1 - Daňové příjmy</t>
  </si>
  <si>
    <t>Třída 2 - Nedaňové příjmy</t>
  </si>
  <si>
    <t>Třída 3 - Kapitálové příjmy</t>
  </si>
  <si>
    <t>Třída 4 - Přijaté transfery (dotace)</t>
  </si>
  <si>
    <t>Příjmy celkem</t>
  </si>
  <si>
    <t>Třída 8 - Financování</t>
  </si>
  <si>
    <t>Úhrn zdrojů</t>
  </si>
  <si>
    <r>
      <rPr>
        <b/>
        <sz val="14"/>
        <rFont val="Arial CE"/>
      </rPr>
      <t>Výdaje:</t>
    </r>
    <r>
      <rPr>
        <sz val="14"/>
        <rFont val="Arial CE"/>
      </rPr>
      <t xml:space="preserve"> </t>
    </r>
    <r>
      <rPr>
        <i/>
        <sz val="12"/>
        <rFont val="Arial CE"/>
      </rPr>
      <t xml:space="preserve">(ORJ = organizační jednotka) </t>
    </r>
  </si>
  <si>
    <t>Třída 5 - Běžné výdaje</t>
  </si>
  <si>
    <t>Třída 6 - Kapitálové výdaje</t>
  </si>
  <si>
    <t>z toho:</t>
  </si>
  <si>
    <t xml:space="preserve">ORJ 1xx - Odbor správy majetku                                                                                                                                                                                                                                                                                                                                                                                                                                                                                          </t>
  </si>
  <si>
    <t>v tom: 102 - Vodní hospodářství</t>
  </si>
  <si>
    <t xml:space="preserve">           110 - Doprava</t>
  </si>
  <si>
    <t xml:space="preserve">           120 - Majetkoprávní záležitosti</t>
  </si>
  <si>
    <t xml:space="preserve">           139 - Komunální služby</t>
  </si>
  <si>
    <t xml:space="preserve">ORJ 6xx - Odbor rozvoje a investic                                                                                                                                                                                                                                                                                                                                                                                                                                                                                   </t>
  </si>
  <si>
    <t>v tom: 602 - Vodní hospodářství</t>
  </si>
  <si>
    <t xml:space="preserve">           610 - Doprava</t>
  </si>
  <si>
    <t xml:space="preserve">           615 - Zdravé město a marketing</t>
  </si>
  <si>
    <t xml:space="preserve">           639 - Komunální služby</t>
  </si>
  <si>
    <t xml:space="preserve">           641 - Dotace, návratné finanční výpomoci a dary cizích subjektům </t>
  </si>
  <si>
    <t>ORJ 009 - Obecní živnostenský úřad</t>
  </si>
  <si>
    <r>
      <rPr>
        <b/>
        <i/>
        <sz val="14"/>
        <rFont val="Arial CE"/>
      </rPr>
      <t xml:space="preserve">ORJ 011 - Návštěvnické centrum NJ-město klobouků </t>
    </r>
    <r>
      <rPr>
        <i/>
        <sz val="12"/>
        <rFont val="Arial CE"/>
      </rPr>
      <t>(org. složka)</t>
    </r>
  </si>
  <si>
    <t>ORJ 210 - Odbor dopravy</t>
  </si>
  <si>
    <t>ORJ 313 - Odbor přestupkových agend</t>
  </si>
  <si>
    <t xml:space="preserve">ORJ 317 - Odbor správních agend                                                                                                                                                                                                                                                                                                                                                                                                                                                                                          </t>
  </si>
  <si>
    <t>ORJ 4xx - Odbor školství, kultury a sportu</t>
  </si>
  <si>
    <t>v tom: 414 - Školství, sport</t>
  </si>
  <si>
    <t xml:space="preserve">           416 - Kultura</t>
  </si>
  <si>
    <t xml:space="preserve">           441 - Dotace, návratné finanční výpomoci a dary cizím subjektům</t>
  </si>
  <si>
    <t>ORJ 018 - Městská policie NJ</t>
  </si>
  <si>
    <t xml:space="preserve">ORJ 019 - Odbor organizační </t>
  </si>
  <si>
    <r>
      <rPr>
        <b/>
        <i/>
        <sz val="14"/>
        <rFont val="Arial CE"/>
      </rPr>
      <t>ORJ 919 - Odbor kancelář vedení města</t>
    </r>
    <r>
      <rPr>
        <i/>
        <sz val="12"/>
        <rFont val="Arial CE"/>
      </rPr>
      <t xml:space="preserve">                                                                                                                                                                                                                                                                                                                                                                                                                                                                                                                           </t>
    </r>
  </si>
  <si>
    <t>ORJ 5xx - Odbor sociálních věcí</t>
  </si>
  <si>
    <t>v tom: 528 - Sociální věci</t>
  </si>
  <si>
    <t xml:space="preserve">           541 - Dotace, návratné finanční výpomoci a dary cizím subjektům</t>
  </si>
  <si>
    <r>
      <rPr>
        <b/>
        <i/>
        <sz val="14"/>
        <rFont val="Arial CE"/>
      </rPr>
      <t xml:space="preserve">ORJ 029 - Prosenior NJ </t>
    </r>
    <r>
      <rPr>
        <i/>
        <sz val="12"/>
        <rFont val="Arial CE"/>
      </rPr>
      <t>(org. složka)</t>
    </r>
  </si>
  <si>
    <t>v tom:  Pečovatelská služba (org. 0390)</t>
  </si>
  <si>
    <t xml:space="preserve">            Denní stacionář (org. 1391)</t>
  </si>
  <si>
    <t xml:space="preserve">            Odlehčovací služba Pohoda (org. 1393)</t>
  </si>
  <si>
    <t>ORJ 035 - Odbor životního prostředí</t>
  </si>
  <si>
    <t>ORJ 037 - Odbor bytový</t>
  </si>
  <si>
    <t>ORJ 040 - Odbor územního plánování a stavebního řádu</t>
  </si>
  <si>
    <t xml:space="preserve">v tom: 041 - Dotace cizím subjektům </t>
  </si>
  <si>
    <t>ORJ 741 - Odbor finanční</t>
  </si>
  <si>
    <t>Výdaje celkem</t>
  </si>
  <si>
    <t xml:space="preserve">Příjmy </t>
  </si>
  <si>
    <t xml:space="preserve">Třída 1 - Daňové příjmy                                                                                                                                                                                                                                                                                                                                                                                                                                                                                                  </t>
  </si>
  <si>
    <r>
      <rPr>
        <b/>
        <sz val="10"/>
        <rFont val="Arial CE"/>
      </rPr>
      <t xml:space="preserve">Daň z příjmů fyzických osob placená plátci </t>
    </r>
    <r>
      <rPr>
        <sz val="9"/>
        <rFont val="Arial CE"/>
      </rPr>
      <t>(sdílená část)</t>
    </r>
    <r>
      <rPr>
        <b/>
        <sz val="10"/>
        <rFont val="Arial CE"/>
      </rPr>
      <t xml:space="preserve"> </t>
    </r>
    <r>
      <rPr>
        <sz val="10"/>
        <rFont val="Arial CE"/>
      </rPr>
      <t xml:space="preserve">                                                         </t>
    </r>
  </si>
  <si>
    <r>
      <rPr>
        <b/>
        <sz val="10"/>
        <rFont val="Arial CE"/>
      </rPr>
      <t xml:space="preserve">Daň z příjmů fyzických osob placená plátci </t>
    </r>
    <r>
      <rPr>
        <sz val="9"/>
        <rFont val="Arial CE"/>
      </rPr>
      <t xml:space="preserve">(motivační 1,5%)            </t>
    </r>
    <r>
      <rPr>
        <sz val="10"/>
        <rFont val="Arial CE"/>
      </rPr>
      <t xml:space="preserve">                                       </t>
    </r>
  </si>
  <si>
    <r>
      <rPr>
        <b/>
        <sz val="10"/>
        <rFont val="Arial CE"/>
      </rPr>
      <t>Daň z příjmů fyzických osob placená poplatníky</t>
    </r>
    <r>
      <rPr>
        <sz val="9"/>
        <rFont val="Arial CE"/>
      </rPr>
      <t xml:space="preserve"> (sdílená) </t>
    </r>
    <r>
      <rPr>
        <i/>
        <sz val="9"/>
        <rFont val="Arial CE"/>
      </rPr>
      <t xml:space="preserve"> </t>
    </r>
    <r>
      <rPr>
        <sz val="9"/>
        <rFont val="Arial CE"/>
      </rPr>
      <t xml:space="preserve">      </t>
    </r>
    <r>
      <rPr>
        <b/>
        <sz val="10"/>
        <rFont val="Arial CE"/>
      </rPr>
      <t xml:space="preserve">                                                   </t>
    </r>
  </si>
  <si>
    <r>
      <rPr>
        <b/>
        <sz val="10"/>
        <rFont val="Arial CE"/>
      </rPr>
      <t xml:space="preserve">Daň z příjmů fyzických osob vybíraná srážkou </t>
    </r>
    <r>
      <rPr>
        <sz val="9"/>
        <rFont val="Arial CE"/>
      </rPr>
      <t>(podle zvláštní sazby daně)</t>
    </r>
  </si>
  <si>
    <r>
      <rPr>
        <b/>
        <sz val="10"/>
        <rFont val="Arial CE"/>
      </rPr>
      <t xml:space="preserve">Daň z příjmů právnických osob </t>
    </r>
    <r>
      <rPr>
        <sz val="9"/>
        <rFont val="Arial CE"/>
      </rPr>
      <t xml:space="preserve">(sdílená)        </t>
    </r>
    <r>
      <rPr>
        <b/>
        <sz val="10"/>
        <rFont val="Arial CE"/>
      </rPr>
      <t xml:space="preserve">                                                                     </t>
    </r>
    <r>
      <rPr>
        <sz val="9"/>
        <rFont val="Arial CE"/>
      </rPr>
      <t xml:space="preserve"> </t>
    </r>
  </si>
  <si>
    <r>
      <rPr>
        <b/>
        <sz val="10"/>
        <rFont val="Arial CE"/>
      </rPr>
      <t xml:space="preserve">Daň z příjmů právnických osob za obec </t>
    </r>
    <r>
      <rPr>
        <sz val="9"/>
        <rFont val="Arial CE"/>
      </rPr>
      <t>(za město NJ) = 100%</t>
    </r>
  </si>
  <si>
    <r>
      <rPr>
        <b/>
        <sz val="10"/>
        <rFont val="Arial CE"/>
      </rPr>
      <t xml:space="preserve">Daň z přidané hodnoty </t>
    </r>
    <r>
      <rPr>
        <sz val="9"/>
        <rFont val="Arial CE"/>
      </rPr>
      <t xml:space="preserve">(sdílená) </t>
    </r>
    <r>
      <rPr>
        <b/>
        <sz val="9"/>
        <rFont val="Arial CE"/>
      </rPr>
      <t xml:space="preserve">           </t>
    </r>
    <r>
      <rPr>
        <b/>
        <sz val="10"/>
        <rFont val="Arial CE"/>
      </rPr>
      <t xml:space="preserve">                                                                                  </t>
    </r>
    <r>
      <rPr>
        <b/>
        <sz val="9"/>
        <rFont val="Arial CE"/>
      </rPr>
      <t xml:space="preserve"> </t>
    </r>
  </si>
  <si>
    <t>Odvody za odnětí půdy ze zemědělského půdního fondu</t>
  </si>
  <si>
    <t>Poplatky za odnětí pozemků plnění funkcí lesa</t>
  </si>
  <si>
    <t>Poplatky za povolené vypouštění odpadních vod do vod podzemních</t>
  </si>
  <si>
    <t>Poplatek za provoz systému shromažďování, sběru, přepravy, třídění, využívání a odstraňování komunálních odpadů</t>
  </si>
  <si>
    <t>Poplatek ze psů</t>
  </si>
  <si>
    <t>Poplatek za užívání veřejného prostranství</t>
  </si>
  <si>
    <t xml:space="preserve">z toho: odbor obecní živnostenský úřad </t>
  </si>
  <si>
    <r>
      <rPr>
        <sz val="10"/>
        <rFont val="Arial CE"/>
      </rPr>
      <t xml:space="preserve">            odbor správy majetku (</t>
    </r>
    <r>
      <rPr>
        <sz val="9"/>
        <rFont val="Arial CE"/>
      </rPr>
      <t>překopy+zábory+MP vyhrazené parkování)</t>
    </r>
  </si>
  <si>
    <r>
      <rPr>
        <sz val="10"/>
        <rFont val="Arial CE"/>
      </rPr>
      <t xml:space="preserve">            odbor životního prostředí</t>
    </r>
    <r>
      <rPr>
        <sz val="9"/>
        <rFont val="Arial CE"/>
      </rPr>
      <t xml:space="preserve"> (zvláštní užívání zeleně)</t>
    </r>
  </si>
  <si>
    <r>
      <rPr>
        <b/>
        <sz val="10"/>
        <rFont val="Arial CE"/>
      </rPr>
      <t xml:space="preserve">Poplatek za povolení k vjezdu do vybraných míst </t>
    </r>
    <r>
      <rPr>
        <sz val="9"/>
        <rFont val="Arial CE"/>
      </rPr>
      <t>(od r. 2020: příjmy z parkovacích automatů v městské památkové rezervaci 30 zůstávají TSM, NCNJ: abonentní a rezidentní karty 90)</t>
    </r>
  </si>
  <si>
    <t>z toho: TSM NJ (příjmy z parkovacích automatů )</t>
  </si>
  <si>
    <t xml:space="preserve">            NC NJ (příjmy z abonentních a rezidentních karet)</t>
  </si>
  <si>
    <t>Příjmy za zkoušky z odborné způsobilosti od žadatelů o řidičské oprávnění</t>
  </si>
  <si>
    <t>Příjmy úhrad za dobývání nerostů a poplatků za geologické práce</t>
  </si>
  <si>
    <t>Ostatní odvody z vybraných činností a služeb j.n.</t>
  </si>
  <si>
    <t>Správní poplatky</t>
  </si>
  <si>
    <t>z toho: odbor dopravy</t>
  </si>
  <si>
    <r>
      <rPr>
        <sz val="10"/>
        <rFont val="Arial CE"/>
      </rPr>
      <t xml:space="preserve">            obecní živnostenský úřad </t>
    </r>
    <r>
      <rPr>
        <sz val="9"/>
        <rFont val="Arial CE"/>
      </rPr>
      <t>(nové a změnové výpisy z živnost.rejstříku 378, vydání výpisů z živnost.rejstříku 2,                                                                                                                                                                                                                                                                                                                                                                                                                vydání povolení k hernímu prostoru 30, osvědčení zemědělský podnikatel 10)</t>
    </r>
  </si>
  <si>
    <t xml:space="preserve">            odbor územního plánování a stavebního řádu </t>
  </si>
  <si>
    <r>
      <rPr>
        <sz val="10"/>
        <rFont val="Arial CE"/>
      </rPr>
      <t xml:space="preserve">            odbor správních agend </t>
    </r>
    <r>
      <rPr>
        <sz val="9"/>
        <rFont val="Arial CE"/>
      </rPr>
      <t>(r. 2021: matrika 170, ohlaš. 40, CzechPoint 70, OP+CD 720)</t>
    </r>
  </si>
  <si>
    <r>
      <rPr>
        <sz val="10"/>
        <rFont val="Arial CE"/>
      </rPr>
      <t xml:space="preserve">            odbor životního prostředí </t>
    </r>
    <r>
      <rPr>
        <sz val="9"/>
        <rFont val="Arial CE"/>
      </rPr>
      <t>(r. 2021: rybářské a lovecké lístky 80, vodní hospodářství 100, odpady 2)</t>
    </r>
  </si>
  <si>
    <r>
      <rPr>
        <sz val="10"/>
        <rFont val="Arial CE"/>
      </rPr>
      <t xml:space="preserve">            odbor finanční </t>
    </r>
    <r>
      <rPr>
        <sz val="9"/>
        <rFont val="Arial CE"/>
      </rPr>
      <t>(ověřování + splátkové kalendáře)</t>
    </r>
  </si>
  <si>
    <t>Daň z hazardních her s vvýjimkou dílčí daně z technických her</t>
  </si>
  <si>
    <t>Dílčí daň z technických her</t>
  </si>
  <si>
    <r>
      <rPr>
        <b/>
        <sz val="10"/>
        <rFont val="Arial CE"/>
      </rPr>
      <t xml:space="preserve">Daň z nemovitých věcí </t>
    </r>
    <r>
      <rPr>
        <sz val="9"/>
        <rFont val="Arial CE"/>
      </rPr>
      <t xml:space="preserve">(výlučná)    </t>
    </r>
    <r>
      <rPr>
        <b/>
        <sz val="10"/>
        <rFont val="Arial CE"/>
      </rPr>
      <t xml:space="preserve">                                                                                                              </t>
    </r>
  </si>
  <si>
    <t>Příjmy z vlastní činnosti</t>
  </si>
  <si>
    <t xml:space="preserve">               § 1019 ostatní zemědělská a potravinářská činnost a rozvoj</t>
  </si>
  <si>
    <r>
      <rPr>
        <sz val="10"/>
        <rFont val="Arial CE"/>
      </rPr>
      <t xml:space="preserve">               § 1031 pěstební činnost </t>
    </r>
    <r>
      <rPr>
        <sz val="9"/>
        <rFont val="Arial CE"/>
      </rPr>
      <t>(těžba v městských lesích)</t>
    </r>
  </si>
  <si>
    <r>
      <rPr>
        <sz val="10"/>
        <rFont val="Arial CE"/>
      </rPr>
      <t xml:space="preserve">               § 2143 cestovní ruch</t>
    </r>
    <r>
      <rPr>
        <sz val="9"/>
        <rFont val="Arial CE"/>
      </rPr>
      <t xml:space="preserve"> (Návštěvnické centrum NJ-město klobouků)</t>
    </r>
  </si>
  <si>
    <r>
      <rPr>
        <sz val="10"/>
        <rFont val="Arial CE"/>
      </rPr>
      <t xml:space="preserve">               § 2229 Baby-Senior taxi </t>
    </r>
    <r>
      <rPr>
        <sz val="9"/>
        <rFont val="Arial CE"/>
      </rPr>
      <t>(prodej průkazek)</t>
    </r>
  </si>
  <si>
    <r>
      <rPr>
        <sz val="10"/>
        <rFont val="Arial CE"/>
      </rPr>
      <t xml:space="preserve">               § 3412 sportovní zařízení v majetku obce</t>
    </r>
    <r>
      <rPr>
        <sz val="9"/>
        <rFont val="Arial CE"/>
      </rPr>
      <t xml:space="preserve"> (bazé</t>
    </r>
    <r>
      <rPr>
        <sz val="9"/>
        <rFont val="Arial CE"/>
      </rPr>
      <t>n: Basketbalový klub,o.s.-vstupné, nájmy)</t>
    </r>
  </si>
  <si>
    <r>
      <rPr>
        <sz val="10"/>
        <rFont val="Arial CE"/>
      </rPr>
      <t xml:space="preserve">               § 3412 sportovní zařízení v majetku obce </t>
    </r>
    <r>
      <rPr>
        <sz val="9"/>
        <rFont val="Arial CE"/>
      </rPr>
      <t>(zimní stadión: Hokejový klub-vstupné, nájmy)</t>
    </r>
  </si>
  <si>
    <r>
      <rPr>
        <sz val="10"/>
        <rFont val="Arial CE"/>
      </rPr>
      <t xml:space="preserve">               § 3612 tržby za správu SVJ</t>
    </r>
    <r>
      <rPr>
        <sz val="9"/>
        <rFont val="Arial CE"/>
      </rPr>
      <t xml:space="preserve"> (odbor bytový)</t>
    </r>
  </si>
  <si>
    <r>
      <rPr>
        <sz val="10"/>
        <rFont val="Arial CE"/>
      </rPr>
      <t xml:space="preserve">               § 3613 tržby za metropolitní síť </t>
    </r>
    <r>
      <rPr>
        <sz val="9"/>
        <rFont val="Arial CE"/>
      </rPr>
      <t>(odbor organizační)</t>
    </r>
  </si>
  <si>
    <r>
      <rPr>
        <sz val="10"/>
        <rFont val="Arial CE"/>
      </rPr>
      <t xml:space="preserve">               § 3632 poplatky za hrobová místa</t>
    </r>
    <r>
      <rPr>
        <sz val="9"/>
        <rFont val="Arial CE"/>
      </rPr>
      <t xml:space="preserve"> (odbor správy majetku: od r. 2020 zůstává TSM)</t>
    </r>
  </si>
  <si>
    <r>
      <rPr>
        <sz val="10"/>
        <rFont val="Arial CE"/>
      </rPr>
      <t xml:space="preserve">               § 4351 </t>
    </r>
    <r>
      <rPr>
        <sz val="10"/>
        <rFont val="Arial CE"/>
      </rPr>
      <t xml:space="preserve">pečovatelská služba, denní stacionář, odlehč. služba Pohoda </t>
    </r>
    <r>
      <rPr>
        <sz val="9"/>
        <rFont val="Arial CE"/>
      </rPr>
      <t>(Prosenior NJ)</t>
    </r>
  </si>
  <si>
    <r>
      <rPr>
        <sz val="10"/>
        <rFont val="Arial CE"/>
      </rPr>
      <t xml:space="preserve">               § 5311 bezpečnost a veřejný pořádek </t>
    </r>
    <r>
      <rPr>
        <sz val="9"/>
        <rFont val="Arial CE"/>
      </rPr>
      <t>(Městská policie)</t>
    </r>
  </si>
  <si>
    <r>
      <rPr>
        <sz val="10"/>
        <rFont val="Arial CE"/>
      </rPr>
      <t xml:space="preserve">               § 6171 činnost místní správy </t>
    </r>
    <r>
      <rPr>
        <sz val="9"/>
        <rFont val="Arial CE"/>
      </rPr>
      <t>(kopírování pro veřejnost)</t>
    </r>
  </si>
  <si>
    <r>
      <rPr>
        <b/>
        <sz val="10"/>
        <rFont val="Arial CE"/>
      </rPr>
      <t xml:space="preserve">Ostatní příjmy z vlastní činnosti </t>
    </r>
    <r>
      <rPr>
        <sz val="9"/>
        <rFont val="Arial CE"/>
      </rPr>
      <t>(odbor správy majetku: věcná břemena s DPH 21%)</t>
    </r>
  </si>
  <si>
    <r>
      <rPr>
        <b/>
        <sz val="10"/>
        <rFont val="Arial CE"/>
      </rPr>
      <t xml:space="preserve">Odvody příspěvkových organizací </t>
    </r>
    <r>
      <rPr>
        <sz val="9"/>
        <rFont val="Arial CE"/>
      </rPr>
      <t>(z fondu investic: odpisy z nemovitého majetku)</t>
    </r>
    <r>
      <rPr>
        <b/>
        <i/>
        <sz val="9"/>
        <rFont val="Arial CE"/>
      </rPr>
      <t xml:space="preserve">       </t>
    </r>
    <r>
      <rPr>
        <sz val="9"/>
        <rFont val="Arial CE"/>
      </rPr>
      <t xml:space="preserve">      </t>
    </r>
  </si>
  <si>
    <r>
      <rPr>
        <b/>
        <sz val="10"/>
        <rFont val="Arial CE"/>
      </rPr>
      <t xml:space="preserve">Příjmy z pronájmu pozemků </t>
    </r>
    <r>
      <rPr>
        <sz val="9"/>
        <rFont val="Arial CE"/>
      </rPr>
      <t>(odbor správy majetku: s 0% DPH 1140, s 21% DPH 850 + zápočet oplocení p. Perútka 8,78833)</t>
    </r>
  </si>
  <si>
    <t>Příjmy z pronájmů ostatních nemovitých věcí a jejich částí</t>
  </si>
  <si>
    <r>
      <rPr>
        <sz val="10"/>
        <rFont val="Arial CE"/>
      </rPr>
      <t xml:space="preserve">              § 2212 vyhrazené parkování formou nájemní smlouvy </t>
    </r>
    <r>
      <rPr>
        <sz val="9"/>
        <rFont val="Arial CE"/>
      </rPr>
      <t>(odbor správy majetku: v režimu DPH)</t>
    </r>
  </si>
  <si>
    <r>
      <rPr>
        <sz val="10"/>
        <rFont val="Arial CE"/>
      </rPr>
      <t xml:space="preserve">              § 2310 nájem ostatních nemovitostí </t>
    </r>
    <r>
      <rPr>
        <sz val="9"/>
        <rFont val="Arial CE"/>
      </rPr>
      <t>(odbor správy majetku)</t>
    </r>
  </si>
  <si>
    <r>
      <rPr>
        <sz val="10"/>
        <rFont val="Arial CE"/>
      </rPr>
      <t xml:space="preserve">              § 2321 nájem Kanalizace od SmVaK (DSO) </t>
    </r>
    <r>
      <rPr>
        <sz val="9"/>
        <rFont val="Arial CE"/>
      </rPr>
      <t>- účet 2310441 Plán financování obnovy (PFO)</t>
    </r>
  </si>
  <si>
    <r>
      <rPr>
        <sz val="10"/>
        <rFont val="Arial CE"/>
      </rPr>
      <t xml:space="preserve">              § 3122 nájem EDUCA </t>
    </r>
    <r>
      <rPr>
        <sz val="9"/>
        <rFont val="Arial CE"/>
      </rPr>
      <t>(odbor bytový)</t>
    </r>
  </si>
  <si>
    <r>
      <rPr>
        <sz val="10"/>
        <rFont val="Arial CE"/>
      </rPr>
      <t xml:space="preserve">              § 3612 z bytů v majetku města</t>
    </r>
    <r>
      <rPr>
        <sz val="9"/>
        <rFont val="Arial CE"/>
      </rPr>
      <t xml:space="preserve"> (odbor bytový: nájmy 32000, zálohy na služby 18500, vyplácení přeplatků, pacht Suvorovova 441,650)</t>
    </r>
  </si>
  <si>
    <r>
      <rPr>
        <sz val="10"/>
        <rFont val="Arial CE"/>
      </rPr>
      <t xml:space="preserve">              § 3613 v nebytových prostorech </t>
    </r>
    <r>
      <rPr>
        <sz val="9"/>
        <rFont val="Arial CE"/>
      </rPr>
      <t>(odbor organizační: Kavamat 3, Metropolitní síť 83,405+1194,7929)</t>
    </r>
  </si>
  <si>
    <r>
      <rPr>
        <sz val="10"/>
        <rFont val="Arial CE"/>
      </rPr>
      <t xml:space="preserve">              § 3613 v nebyt.prostorech </t>
    </r>
    <r>
      <rPr>
        <sz val="9"/>
        <rFont val="Arial CE"/>
      </rPr>
      <t>(odbor správy majetku: s DPH 0% je 100 =nájem plynovodu, s DPH 21%=325)</t>
    </r>
  </si>
  <si>
    <r>
      <rPr>
        <sz val="10"/>
        <rFont val="Arial CE"/>
      </rPr>
      <t xml:space="preserve">              § 3613 v nebytových prostorech </t>
    </r>
    <r>
      <rPr>
        <sz val="9"/>
        <rFont val="Arial CE"/>
      </rPr>
      <t>(odbor bytový: nájmy 13500, zálohy na služby 3000, kryté stání Loučka 240, krátkodobé 20, Hotel Praha 746, zálohy na služby a energie Hotel Praha 216, nájem teplovod Smet.sady 134)</t>
    </r>
  </si>
  <si>
    <r>
      <rPr>
        <sz val="10"/>
        <rFont val="Arial CE"/>
      </rPr>
      <t xml:space="preserve">              § 3634 v zásobování teplem </t>
    </r>
    <r>
      <rPr>
        <sz val="9"/>
        <rFont val="Arial CE"/>
      </rPr>
      <t>(VEOLIA)</t>
    </r>
  </si>
  <si>
    <r>
      <rPr>
        <sz val="10"/>
        <rFont val="Arial CE"/>
      </rPr>
      <t xml:space="preserve">              § 4351 v domech s pečovatelskou službou </t>
    </r>
    <r>
      <rPr>
        <sz val="9"/>
        <rFont val="Arial CE"/>
      </rPr>
      <t xml:space="preserve">(nájmy: krátkodobé 18), </t>
    </r>
    <r>
      <rPr>
        <sz val="8"/>
        <rFont val="Arial CE"/>
      </rPr>
      <t>pozn.:skut.k 31.8.2020 vč.pol.2329</t>
    </r>
  </si>
  <si>
    <r>
      <rPr>
        <sz val="10"/>
        <rFont val="Arial CE"/>
      </rPr>
      <t xml:space="preserve">              § 4379 v klubech seniorů </t>
    </r>
    <r>
      <rPr>
        <sz val="9"/>
        <rFont val="Arial CE"/>
      </rPr>
      <t xml:space="preserve">(nájmy: dlouhodobé 16, krátkodobé 11) </t>
    </r>
  </si>
  <si>
    <t>Příjmy z úroků</t>
  </si>
  <si>
    <t>Sankční platby přijaté od jiných subjektů</t>
  </si>
  <si>
    <r>
      <rPr>
        <sz val="10"/>
        <rFont val="Arial CE"/>
      </rPr>
      <t xml:space="preserve">z toho:  § 2141 vnitřní obchod </t>
    </r>
    <r>
      <rPr>
        <sz val="9"/>
        <rFont val="Arial CE"/>
      </rPr>
      <t>(obecní živnostenský úřad: ve správním řízení 5, v blokovém řízení 15)</t>
    </r>
  </si>
  <si>
    <t xml:space="preserve">             § 2169 stavební úřad</t>
  </si>
  <si>
    <t xml:space="preserve">             § 2223 dopravní přestupky </t>
  </si>
  <si>
    <r>
      <rPr>
        <sz val="10"/>
        <rFont val="Arial CE"/>
      </rPr>
      <t xml:space="preserve">             § 2223 dopravní přestupky </t>
    </r>
    <r>
      <rPr>
        <sz val="9"/>
        <rFont val="Arial CE"/>
      </rPr>
      <t>(radary)</t>
    </r>
  </si>
  <si>
    <t xml:space="preserve">             § 3613 smluvní pokuta Čerťák (odbor bytový)</t>
  </si>
  <si>
    <t xml:space="preserve">             § 3633 smluvní pokuta IS RD Za Školou</t>
  </si>
  <si>
    <t xml:space="preserve">             § 3769 ostatní správa v ochraně životního prostředí       </t>
  </si>
  <si>
    <r>
      <rPr>
        <sz val="10"/>
        <rFont val="Arial CE"/>
      </rPr>
      <t xml:space="preserve">             § 5311 bezpečnost a veřejný pořádek </t>
    </r>
    <r>
      <rPr>
        <sz val="9"/>
        <rFont val="Arial CE"/>
      </rPr>
      <t>(Městská policie: na místě zaplacené 500, na místě nezapl. 150)</t>
    </r>
  </si>
  <si>
    <r>
      <rPr>
        <sz val="10"/>
        <rFont val="Arial CE"/>
      </rPr>
      <t xml:space="preserve">             § 6171 pokuty </t>
    </r>
    <r>
      <rPr>
        <sz val="9"/>
        <rFont val="Arial CE"/>
      </rPr>
      <t>(odbor přestupkových agend)</t>
    </r>
  </si>
  <si>
    <r>
      <rPr>
        <sz val="10"/>
        <rFont val="Arial CE"/>
      </rPr>
      <t xml:space="preserve">             § 6171 pokuty </t>
    </r>
    <r>
      <rPr>
        <sz val="9"/>
        <rFont val="Arial CE"/>
      </rPr>
      <t>(odbor správních agend)</t>
    </r>
  </si>
  <si>
    <r>
      <rPr>
        <b/>
        <sz val="10"/>
        <rFont val="Arial CE"/>
      </rPr>
      <t xml:space="preserve">Ostatní příjmy z fin.vypořádání předch.let od jiných veřej.rozpočtů </t>
    </r>
    <r>
      <rPr>
        <sz val="10"/>
        <rFont val="Arial CE"/>
      </rPr>
      <t xml:space="preserve">doplatek dotace 2019-volby do EP </t>
    </r>
  </si>
  <si>
    <r>
      <rPr>
        <b/>
        <sz val="10"/>
        <rFont val="Arial CE"/>
      </rPr>
      <t xml:space="preserve">Ostatní přijaté vratky transferů </t>
    </r>
    <r>
      <rPr>
        <sz val="10"/>
        <rFont val="Arial CE"/>
      </rPr>
      <t>(příspěvků a dotací)</t>
    </r>
  </si>
  <si>
    <t>z toho § 3111 MŠ vratky příspěvků 2019 na energie (org.305+307+309)</t>
  </si>
  <si>
    <t xml:space="preserve">           § 3111 MŠ vratky dotace 2019 - Šablony I (org. 0309)</t>
  </si>
  <si>
    <t xml:space="preserve">           § 3111 vratky veř.výpomoci 2019 - individuální žádosti kultura+sport (org.1180)</t>
  </si>
  <si>
    <t xml:space="preserve">           § 3113 ZŠ vratky příspěvků 2019 na energie (org.321+325)</t>
  </si>
  <si>
    <t xml:space="preserve">           § 3113 ZŠ vratky dotace 2019 - Šablony I  (org. 0323)</t>
  </si>
  <si>
    <t xml:space="preserve">           § 3233 SVČ Fokus vratky příspěvků 2019 na energie</t>
  </si>
  <si>
    <t xml:space="preserve">           § 3311 Beskydské divadlo vratky příspěvků 2019 na energie</t>
  </si>
  <si>
    <t xml:space="preserve">           § 3392 MěKS vratky příspěvků 2019 na energie</t>
  </si>
  <si>
    <t xml:space="preserve">           § 3412 Basketbalový klub z.s.-vratky příspěvků 2019 energie a provoz</t>
  </si>
  <si>
    <t xml:space="preserve">           § 3419 vratky veř.výpomoci 2019 - sport (org.1134, 1136,1137, 1141, 1180)</t>
  </si>
  <si>
    <t xml:space="preserve">           § 3429 vratky veř.výpomoci 2019 - sport (org. 1141)</t>
  </si>
  <si>
    <t xml:space="preserve">           § 4171- § 4379 dávky a podpory v soc.zabezpečení z minulých let</t>
  </si>
  <si>
    <t>Příjmy z prodeje krd a drobného dld majetku</t>
  </si>
  <si>
    <r>
      <rPr>
        <b/>
        <sz val="10"/>
        <rFont val="Arial CE"/>
      </rPr>
      <t xml:space="preserve">Přijaté neinvestiční dary </t>
    </r>
    <r>
      <rPr>
        <sz val="9"/>
        <rFont val="Arial CE"/>
      </rPr>
      <t xml:space="preserve">(Veolia Dalkia ČR-financování kulturních a společenských akcí města) </t>
    </r>
  </si>
  <si>
    <t>Přijaté pojistné náhrady</t>
  </si>
  <si>
    <t>Přijaté nekapitálové příspěvky a náhrady</t>
  </si>
  <si>
    <r>
      <rPr>
        <sz val="10"/>
        <rFont val="Arial CE"/>
      </rPr>
      <t xml:space="preserve">             § 2141 vnitřní obchod </t>
    </r>
    <r>
      <rPr>
        <sz val="9"/>
        <rFont val="Arial CE"/>
      </rPr>
      <t>(obecní živnostenský úřad: náklady řízení)</t>
    </r>
  </si>
  <si>
    <r>
      <rPr>
        <sz val="10"/>
        <rFont val="Arial CE"/>
      </rPr>
      <t xml:space="preserve">             § 2223 bezpečnost silničního provozu </t>
    </r>
    <r>
      <rPr>
        <sz val="9"/>
        <rFont val="Arial CE"/>
      </rPr>
      <t>(dopravní přestupky: náklady řízení)</t>
    </r>
  </si>
  <si>
    <r>
      <rPr>
        <sz val="10"/>
        <rFont val="Arial CE"/>
      </rPr>
      <t xml:space="preserve">             § 3612 bytové hospodářství </t>
    </r>
    <r>
      <rPr>
        <sz val="9"/>
        <rFont val="Arial CE"/>
      </rPr>
      <t>(odbor bytový: úhrada nákladů soudních řízení+poplatky z prodlení)</t>
    </r>
  </si>
  <si>
    <r>
      <rPr>
        <sz val="10"/>
        <rFont val="Arial CE"/>
      </rPr>
      <t xml:space="preserve">             § 3613 nebytové hospodářství </t>
    </r>
    <r>
      <rPr>
        <sz val="9"/>
        <rFont val="Arial CE"/>
      </rPr>
      <t>(odb.bytový: úhrada nákladů soudních řízení+popl.z prodlení,OSM 3,84798)</t>
    </r>
  </si>
  <si>
    <r>
      <rPr>
        <sz val="10"/>
        <rFont val="Arial CE"/>
      </rPr>
      <t xml:space="preserve">             § 3631 veřejné osvětlení (náhrada za </t>
    </r>
    <r>
      <rPr>
        <sz val="9"/>
        <rFont val="Arial CE"/>
      </rPr>
      <t>VO na území obce Šenov u NJ+F67</t>
    </r>
    <r>
      <rPr>
        <sz val="10"/>
        <rFont val="Arial CE"/>
      </rPr>
      <t>)</t>
    </r>
  </si>
  <si>
    <r>
      <rPr>
        <sz val="10"/>
        <rFont val="Arial CE"/>
      </rPr>
      <t xml:space="preserve">             § 3632 pohřebnictví (</t>
    </r>
    <r>
      <rPr>
        <sz val="9"/>
        <rFont val="Arial CE"/>
      </rPr>
      <t>příspěvek od Česko-něm fondu budoucnosti na sanaci čestných hrobů NJ</t>
    </r>
    <r>
      <rPr>
        <sz val="10"/>
        <rFont val="Arial CE"/>
      </rPr>
      <t>)</t>
    </r>
  </si>
  <si>
    <r>
      <rPr>
        <sz val="10"/>
        <rFont val="Arial CE"/>
      </rPr>
      <t xml:space="preserve">             § 3639 náklady řízení </t>
    </r>
    <r>
      <rPr>
        <sz val="9"/>
        <rFont val="Arial CE"/>
      </rPr>
      <t>(odbor finanční)</t>
    </r>
  </si>
  <si>
    <r>
      <rPr>
        <sz val="10"/>
        <rFont val="Arial CE"/>
      </rPr>
      <t xml:space="preserve">             § 3722 sběr a svoz komunálních odpadů </t>
    </r>
    <r>
      <rPr>
        <sz val="9"/>
        <rFont val="Arial CE"/>
      </rPr>
      <t xml:space="preserve">(příspěvek od EKOKOMu)               </t>
    </r>
  </si>
  <si>
    <r>
      <rPr>
        <sz val="10"/>
        <rFont val="Arial CE"/>
      </rPr>
      <t xml:space="preserve">             § 3769 ostatní správa v ochraně životního prostředí</t>
    </r>
    <r>
      <rPr>
        <sz val="9"/>
        <rFont val="Arial CE"/>
      </rPr>
      <t xml:space="preserve">       </t>
    </r>
  </si>
  <si>
    <r>
      <rPr>
        <sz val="10"/>
        <rFont val="Arial CE"/>
      </rPr>
      <t xml:space="preserve">             § 4329 ostatní soc.péče a pomoc dětem a mládeži</t>
    </r>
    <r>
      <rPr>
        <sz val="9"/>
        <rFont val="Arial CE"/>
      </rPr>
      <t xml:space="preserve">   </t>
    </r>
  </si>
  <si>
    <r>
      <rPr>
        <sz val="10"/>
        <rFont val="Arial CE"/>
      </rPr>
      <t xml:space="preserve">             § 5311 bezpečnost a veřejný pořádek</t>
    </r>
    <r>
      <rPr>
        <sz val="9"/>
        <rFont val="Arial CE"/>
      </rPr>
      <t xml:space="preserve"> (Městská policie: náhrady)</t>
    </r>
  </si>
  <si>
    <r>
      <rPr>
        <sz val="10"/>
        <rFont val="Arial CE"/>
      </rPr>
      <t xml:space="preserve">             § 6171 činnost místní správy </t>
    </r>
    <r>
      <rPr>
        <sz val="9"/>
        <rFont val="Arial CE"/>
      </rPr>
      <t>(odbor přestupkových agend: náklady řízení)</t>
    </r>
  </si>
  <si>
    <r>
      <rPr>
        <sz val="10"/>
        <rFont val="Arial CE"/>
      </rPr>
      <t xml:space="preserve">             § 6171 činnost místní správy</t>
    </r>
    <r>
      <rPr>
        <sz val="9"/>
        <rFont val="Arial CE"/>
      </rPr>
      <t xml:space="preserve"> (náhrady škod, dobropisy z min.let)</t>
    </r>
  </si>
  <si>
    <r>
      <rPr>
        <sz val="10"/>
        <rFont val="Arial CE"/>
      </rPr>
      <t xml:space="preserve">             § 6171 činnost místní správy</t>
    </r>
    <r>
      <rPr>
        <sz val="9"/>
        <rFont val="Arial CE"/>
      </rPr>
      <t xml:space="preserve"> (odbor finanční: exekuční a soudní náklady)</t>
    </r>
  </si>
  <si>
    <r>
      <rPr>
        <sz val="10"/>
        <rFont val="Arial CE"/>
      </rPr>
      <t xml:space="preserve">             § 6409 ostatní činnosti j.n. (</t>
    </r>
    <r>
      <rPr>
        <sz val="9"/>
        <rFont val="Arial CE"/>
      </rPr>
      <t>příspěvek na opravu kamenného divadla</t>
    </r>
    <r>
      <rPr>
        <sz val="10"/>
        <rFont val="Arial CE"/>
      </rPr>
      <t>)</t>
    </r>
  </si>
  <si>
    <t>Neidentifikované příjmy</t>
  </si>
  <si>
    <t>Ostatní nedaňové příjmy j.n.</t>
  </si>
  <si>
    <t>z toho: § 2292 dopravní obslužnost (odbor dopravy)</t>
  </si>
  <si>
    <r>
      <rPr>
        <sz val="10"/>
        <rFont val="Arial CE"/>
      </rPr>
      <t xml:space="preserve">             § 3341 kabelová televize Straník-přihlášky</t>
    </r>
    <r>
      <rPr>
        <sz val="9"/>
        <rFont val="Arial CE"/>
      </rPr>
      <t xml:space="preserve"> </t>
    </r>
    <r>
      <rPr>
        <sz val="10"/>
        <rFont val="Arial CE"/>
      </rPr>
      <t>(odbor správy majetku)</t>
    </r>
  </si>
  <si>
    <t xml:space="preserve">             § 3612 bytové hospodářství (odbor bytový)</t>
  </si>
  <si>
    <t xml:space="preserve">             § 3613 nebytové hospodářství (odbor bytový)</t>
  </si>
  <si>
    <r>
      <rPr>
        <sz val="10"/>
        <rFont val="Arial CE"/>
      </rPr>
      <t xml:space="preserve">             § 3613 chata Jičínka </t>
    </r>
    <r>
      <rPr>
        <sz val="10"/>
        <rFont val="Arial CE"/>
      </rPr>
      <t>(org. 4381)=účet 2310440, OSM kovošrot 0,310 + ostatní=účet 2310600</t>
    </r>
  </si>
  <si>
    <r>
      <rPr>
        <sz val="10"/>
        <rFont val="Arial CE"/>
      </rPr>
      <t xml:space="preserve">             § 3632</t>
    </r>
    <r>
      <rPr>
        <sz val="10"/>
        <rFont val="Arial CE"/>
      </rPr>
      <t xml:space="preserve"> pohřebnictví (odbor sociálních věcí - příjmy ze sociálních pohřbů)</t>
    </r>
  </si>
  <si>
    <r>
      <rPr>
        <sz val="10"/>
        <rFont val="Arial CE"/>
      </rPr>
      <t xml:space="preserve">             § 3639 provoz internetu ve Straníku </t>
    </r>
    <r>
      <rPr>
        <sz val="10"/>
        <rFont val="Arial CE"/>
      </rPr>
      <t>(odbor správy majetku)</t>
    </r>
  </si>
  <si>
    <t xml:space="preserve">             § 4351 domy s pečovatelskou službou (odbor bytový)</t>
  </si>
  <si>
    <t xml:space="preserve">             § 4399 ostatní záležitosti soc.věcí a politiky zaměstnanosti</t>
  </si>
  <si>
    <t xml:space="preserve">             § 6171 odbor organizační (DPH)</t>
  </si>
  <si>
    <t xml:space="preserve">             § 6409 odbor organizační </t>
  </si>
  <si>
    <r>
      <rPr>
        <b/>
        <sz val="10"/>
        <rFont val="Arial CE"/>
      </rPr>
      <t xml:space="preserve">Splátky půjč.prostředků od podnik.subjektů-FO </t>
    </r>
    <r>
      <rPr>
        <sz val="10"/>
        <rFont val="Arial CE"/>
      </rPr>
      <t>(návratná fin.výpomoc 2019 org.1180-Ing.Žitníková, projekt Beránek s plandavým ouškem)</t>
    </r>
  </si>
  <si>
    <r>
      <rPr>
        <b/>
        <sz val="10"/>
        <rFont val="Arial CE"/>
      </rPr>
      <t xml:space="preserve">Příjmy z prodeje pozemků </t>
    </r>
    <r>
      <rPr>
        <sz val="10"/>
        <rFont val="Arial CE"/>
      </rPr>
      <t>(v mil. Kč: za Kauflandem 5,95 + Dolní Brána 3,9 + IS Za Školou 3.etapa 44,064+ Lokalita Pod Skalkou 14,478 + chata Bludovice 0,8 + SBD Venkov 1,8 + trafostanice ČP 0,4 + ost. 2,5)</t>
    </r>
  </si>
  <si>
    <t xml:space="preserve">Příjmy z prodeje ostatních nemovitých věcí a jejich částí </t>
  </si>
  <si>
    <t xml:space="preserve">z toho: bytový dům Purkyňova 40 (podíl města 64/100) </t>
  </si>
  <si>
    <t xml:space="preserve">            nebytový dům Karla Čapka 15</t>
  </si>
  <si>
    <t xml:space="preserve">            bytový dům Hoblíkova 32</t>
  </si>
  <si>
    <t xml:space="preserve">            bytový dům Dolní Brána 26</t>
  </si>
  <si>
    <t xml:space="preserve">            nebytový dům Hoblíkova 3</t>
  </si>
  <si>
    <t xml:space="preserve">            nebytový dům U Jezu - celý areál - odhad</t>
  </si>
  <si>
    <t xml:space="preserve">            bytový dům Beskydská 176 (Škola života) - odhad</t>
  </si>
  <si>
    <t xml:space="preserve">            vodovodní řady města na pozemcích Žilina, Bludovice, NJ (ORJ 102)</t>
  </si>
  <si>
    <r>
      <rPr>
        <b/>
        <sz val="10"/>
        <rFont val="Arial CE"/>
      </rPr>
      <t>Příjmy z prodeje ostatního hmotného dlouhodobého majetku</t>
    </r>
    <r>
      <rPr>
        <sz val="9"/>
        <rFont val="Arial CE"/>
      </rPr>
      <t xml:space="preserve"> </t>
    </r>
  </si>
  <si>
    <r>
      <rPr>
        <b/>
        <sz val="10"/>
        <rFont val="Arial CE"/>
      </rPr>
      <t>Ostatní příjmy z prodeje dlouhodobého majetku</t>
    </r>
    <r>
      <rPr>
        <sz val="9"/>
        <rFont val="Arial CE"/>
      </rPr>
      <t xml:space="preserve"> (odbor organizační: metropolitní síť)</t>
    </r>
  </si>
  <si>
    <r>
      <rPr>
        <b/>
        <sz val="10"/>
        <rFont val="Arial CE"/>
      </rPr>
      <t xml:space="preserve">Přijaté dary na pořízení dlouhodobého majetku </t>
    </r>
    <r>
      <rPr>
        <sz val="10"/>
        <rFont val="Arial CE"/>
      </rPr>
      <t>(chodník Na Valech-spoluúčast, komunikace ČSAD r. 2021)</t>
    </r>
  </si>
  <si>
    <t>Přijaté příspěvky na pořízení dlouhodobého majetku</t>
  </si>
  <si>
    <t>Ostatní investiční příjmy j.n.</t>
  </si>
  <si>
    <t xml:space="preserve">             Modernizace kotelny zimního stadionu- bude u dotace na Rekonstrukci střechy</t>
  </si>
  <si>
    <t xml:space="preserve">             Vybudování kotelny v DPS U Jičínky 25</t>
  </si>
  <si>
    <t xml:space="preserve">             Místo pro přecházení Bludovice u České školy</t>
  </si>
  <si>
    <t xml:space="preserve">             Stavební úprava a nástavba objektu SVČ Fokus</t>
  </si>
  <si>
    <t>Třída 4  - Přijaté transfery</t>
  </si>
  <si>
    <t xml:space="preserve">Neinvestiční přijaté transfery z všeobecné pokladní správy státního rozpočtu </t>
  </si>
  <si>
    <t xml:space="preserve">               kompenzační bonus v souvislosti s kriz.opatřeními spojenými s výskytem koronaviru </t>
  </si>
  <si>
    <t xml:space="preserve">               na společné volby do Senátu Parlamentu ČR a zastupitelstev krajů</t>
  </si>
  <si>
    <r>
      <rPr>
        <b/>
        <sz val="10"/>
        <rFont val="Arial CE"/>
      </rPr>
      <t xml:space="preserve">Neinvestiční přijaté transfery ze státního rozpočtu v rámci souhrnného dotačního vztahu </t>
    </r>
    <r>
      <rPr>
        <sz val="10"/>
        <rFont val="Arial CE"/>
      </rPr>
      <t>(2020: příspěvek na výkon státní správy, z toho základní působnost 958935,0949 + matriční působnost 709659,9826 + příspěvek za narozené 520950 + příspěvek za sňatek 433320 + příspěvek za úmrtí 542800 + příspěvek za určení otcovství 39919 + stavební působnost 4236063,649 + pověřený obecní úřad 7723640,937 + rozšířená působnost 23616817,65 + obč.průkazy (5454 ks) + veřejné opatrovnictví 1363000 (47 opatr.) + 1530786 územní plánování + 236555 řidičské průkazy (2057 ks) + zaokrouhleno)                                                                                                                                                                                                                                                                                                                                                                                                                                                                     (2021: ...................................)</t>
    </r>
  </si>
  <si>
    <t xml:space="preserve">Ostatní neinvestiční přijaté transfery ze státního rozpočtu </t>
  </si>
  <si>
    <r>
      <rPr>
        <sz val="10"/>
        <rFont val="Arial CE"/>
      </rPr>
      <t xml:space="preserve">              ostatní </t>
    </r>
    <r>
      <rPr>
        <sz val="9"/>
        <rFont val="Arial CE"/>
      </rPr>
      <t>(minimální podíl melioračních dřevin, aj.)</t>
    </r>
  </si>
  <si>
    <t xml:space="preserve">              Výkon pěstounské péče (ÚZ 13010)</t>
  </si>
  <si>
    <t xml:space="preserve">              Výkon sociálněprávní ochrany dětí (ÚZ 13011)</t>
  </si>
  <si>
    <t xml:space="preserve">              Na výkon sociální práce mimo SPOD (ÚZ 13015)</t>
  </si>
  <si>
    <t xml:space="preserve">                                                        ÚZ 13351</t>
  </si>
  <si>
    <t xml:space="preserve">              MMR IROP SR NIV-EÚ bytového domu Revoluční 36 (ÚZ 17015)</t>
  </si>
  <si>
    <t xml:space="preserve">              MMR IROP EU NIV-EÚ bytového domu Revoluční 36 (ÚZ 17016)</t>
  </si>
  <si>
    <t xml:space="preserve">              Mze-zmírnění dopadů kůrovcové kalamity v lesích 1.10.2017-31.12.2018 (ÚZ 29030)</t>
  </si>
  <si>
    <t xml:space="preserve">                                                 ÚZ 33063</t>
  </si>
  <si>
    <t xml:space="preserve">                                                 ÚZ 34053</t>
  </si>
  <si>
    <t xml:space="preserve">              Min.kultury-Program regenerace MPR a MPZ</t>
  </si>
  <si>
    <t>Neinvestiční přijaté transfery od obcí</t>
  </si>
  <si>
    <r>
      <rPr>
        <sz val="10"/>
        <rFont val="Arial CE"/>
      </rPr>
      <t xml:space="preserve">z toho: za veřejnoprávní smlouvy s ostatními obcemi na úseku přestupků </t>
    </r>
    <r>
      <rPr>
        <sz val="9"/>
        <rFont val="Arial CE"/>
      </rPr>
      <t>(odbor přestupkových agend)</t>
    </r>
  </si>
  <si>
    <r>
      <rPr>
        <sz val="10"/>
        <rFont val="Arial CE"/>
      </rPr>
      <t xml:space="preserve">             za veřejnopravní smlouvy s ostatními obcemi </t>
    </r>
    <r>
      <rPr>
        <sz val="9"/>
        <rFont val="Arial CE"/>
      </rPr>
      <t>(Městská policie-odchyt psů)</t>
    </r>
  </si>
  <si>
    <t xml:space="preserve">             za poskytování odlehčovací služby Pohoda (ProSenior NJ)</t>
  </si>
  <si>
    <t xml:space="preserve">             na poskytování podpory soc.služeb dle zákona o soc.službách ORJ 541, org.1113</t>
  </si>
  <si>
    <t xml:space="preserve">             na poskytování podpory soc.služeb dle zákona o soc.službách ORJ 541, org.1114</t>
  </si>
  <si>
    <t xml:space="preserve">             za veřejnoprávní smlouvy s ostatními obcemi (odbor životního prostředí - veř.zeleň)</t>
  </si>
  <si>
    <r>
      <rPr>
        <sz val="10"/>
        <rFont val="Arial CE"/>
      </rPr>
      <t xml:space="preserve">             za veřejnoprávní smlouvy s ostatními obcemi </t>
    </r>
    <r>
      <rPr>
        <sz val="9"/>
        <rFont val="Arial CE"/>
      </rPr>
      <t>(</t>
    </r>
    <r>
      <rPr>
        <sz val="10"/>
        <rFont val="Arial CE"/>
      </rPr>
      <t>stavební úřad</t>
    </r>
    <r>
      <rPr>
        <sz val="9"/>
        <rFont val="Arial CE"/>
      </rPr>
      <t>)</t>
    </r>
  </si>
  <si>
    <t xml:space="preserve">Neinvestiční přijaté transfery od krajů </t>
  </si>
  <si>
    <t xml:space="preserve">              pořízení ochranných prostředků a pomůcek pro dopravce veř.dopravy- covid-19 (ÚZ 27009) </t>
  </si>
  <si>
    <t xml:space="preserve">              Okresní a kraj.soutěže typu AaB-SVČ Fokus (ÚZ 133)</t>
  </si>
  <si>
    <t xml:space="preserve">              podpora technických atraktivit v NJ (ÚZ 201)</t>
  </si>
  <si>
    <t xml:space="preserve">              zajištění výkonu regionálních funkcí knihoven-MěKS (ÚZ 345)</t>
  </si>
  <si>
    <r>
      <rPr>
        <sz val="10"/>
        <rFont val="Arial CE"/>
      </rPr>
      <t xml:space="preserve">              poskytování sociálních služeb (ÚZ 13305) - </t>
    </r>
    <r>
      <rPr>
        <sz val="9"/>
        <rFont val="Arial CE"/>
      </rPr>
      <t>pro Prosenior</t>
    </r>
  </si>
  <si>
    <r>
      <rPr>
        <sz val="9"/>
        <rFont val="Arial CE"/>
      </rPr>
      <t>2360100/741/6330/</t>
    </r>
    <r>
      <rPr>
        <b/>
        <sz val="9"/>
        <rFont val="Arial CE"/>
      </rPr>
      <t>4134</t>
    </r>
    <r>
      <rPr>
        <sz val="9"/>
        <rFont val="Arial CE"/>
      </rPr>
      <t>/0/0</t>
    </r>
  </si>
  <si>
    <r>
      <rPr>
        <b/>
        <sz val="10"/>
        <rFont val="Arial CE"/>
      </rPr>
      <t xml:space="preserve">Převody z rozpočtových účtů </t>
    </r>
    <r>
      <rPr>
        <sz val="9"/>
        <rFont val="Arial CE"/>
      </rPr>
      <t>(sociální fond)</t>
    </r>
  </si>
  <si>
    <t>Investiční přijaté transfery ze SF</t>
  </si>
  <si>
    <t xml:space="preserve">              SFŽP -IV- nákup vozidel na alternativní pohon pro město NJ (ÚZ 90992)</t>
  </si>
  <si>
    <t xml:space="preserve">              SZIF-dotace pro JSDH Straník</t>
  </si>
  <si>
    <t xml:space="preserve">              SZIF- IV-SR-Program na rozvoj venkova-proj.Oprava kamenného divadla Skalky (ÚZ 89509)</t>
  </si>
  <si>
    <t xml:space="preserve">              SZIF- IV-EU-Program na rozvoj venkova-proj.Oprava kamenného divadla Skalky (ÚZ 89510)</t>
  </si>
  <si>
    <t>Ostatní investiční přijaté transfery ze státního rozpočtu</t>
  </si>
  <si>
    <t xml:space="preserve">             Zborovská 11 (revitalizace bytového domu) - dle rozhodnutí o poskytnutí dotace</t>
  </si>
  <si>
    <t xml:space="preserve">             Na Lani 212 (revitalizace bytového domu) -  dle rozhodnutí o poskytnutí dotace</t>
  </si>
  <si>
    <t xml:space="preserve">              MMR - Místo pro přecházení na silnici I/57 Bludovice u NJ (ÚZ 17969) </t>
  </si>
  <si>
    <t xml:space="preserve">              MMR IROP SR IV-EÚ bytového domu Revoluční 36 (ÚZ 17968)</t>
  </si>
  <si>
    <t xml:space="preserve">              MMR IROP EU IV-EÚ bytového domu Revoluční 36 (ÚZ 17969)</t>
  </si>
  <si>
    <t xml:space="preserve">              MMR IROP SR IV-Regulační plán MPR NJ (ÚZ 17968)</t>
  </si>
  <si>
    <t xml:space="preserve">              MMR IROP EU IV-Regulační plán MPR NJ (ÚZ 17969)</t>
  </si>
  <si>
    <t xml:space="preserve">              Opatření ke snížení energ.náročnosti VO - EFEKT 2021 (ÚZ 22500) </t>
  </si>
  <si>
    <t xml:space="preserve">                                          ÚZ 33502</t>
  </si>
  <si>
    <t xml:space="preserve">                                          ÚZ 34544</t>
  </si>
  <si>
    <t>Investiční přijaté transfery od krajů</t>
  </si>
  <si>
    <t xml:space="preserve">             Huckelovy vily (ÚZ 201) - dotace</t>
  </si>
  <si>
    <t xml:space="preserve">             Podpora technických atraktivit v NJ (ÚZ 201)</t>
  </si>
  <si>
    <t xml:space="preserve">             Rozšíření průmyslové zóny 2.etapa - dotace MSK (ÚZ 201)</t>
  </si>
  <si>
    <t xml:space="preserve">             Cyklostezka NJ-Hostašovice - úsek vojenská vlečka (ÚZ 719)</t>
  </si>
  <si>
    <r>
      <rPr>
        <b/>
        <sz val="10"/>
        <rFont val="Arial CE"/>
      </rPr>
      <t xml:space="preserve">Změna stavu krátkodobých prostředků na bankovních účtech </t>
    </r>
    <r>
      <rPr>
        <sz val="9"/>
        <rFont val="Arial CE"/>
      </rPr>
      <t>(zapojení konečného zůstatku k 31.12.2020 na účtech města)</t>
    </r>
  </si>
  <si>
    <r>
      <rPr>
        <b/>
        <sz val="10"/>
        <rFont val="Arial CE"/>
      </rPr>
      <t xml:space="preserve">Aktivní krátkodobé operace řízení likvidity - příjmy </t>
    </r>
    <r>
      <rPr>
        <sz val="9"/>
        <rFont val="Arial CE"/>
      </rPr>
      <t>(zhodnocování volných finančních zdrojů města)</t>
    </r>
  </si>
  <si>
    <r>
      <rPr>
        <b/>
        <sz val="10"/>
        <rFont val="Arial CE"/>
      </rPr>
      <t>Dlouhodobé přijaté půjčené prostředky</t>
    </r>
    <r>
      <rPr>
        <sz val="9"/>
        <rFont val="Arial CE"/>
      </rPr>
      <t xml:space="preserve"> (investiční úvěr na akce: Revitalizace K Archívu 2+Revitalizace Zborovská 11+Revitalizace Na Lani 212)</t>
    </r>
  </si>
  <si>
    <t>Změna stavu dlouhodobých prostředků na bankovních účtech</t>
  </si>
  <si>
    <t>Operace z peněžních účtů organizace nemající charakter příjmů a výdajů vládního sektoru</t>
  </si>
  <si>
    <t xml:space="preserve">            splátky úvěru do DSO regionu Novojičínska - Kanalizace Žilina-Loučka</t>
  </si>
  <si>
    <t xml:space="preserve">            DPH - přenesená daňová povinnost</t>
  </si>
  <si>
    <t>Výdaje</t>
  </si>
  <si>
    <t>ORJ 1xx - Odbor správy majetku</t>
  </si>
  <si>
    <t>102 - Vodní hospodářství</t>
  </si>
  <si>
    <r>
      <rPr>
        <b/>
        <sz val="10"/>
        <rFont val="Arial CE"/>
      </rPr>
      <t>Pitná voda</t>
    </r>
    <r>
      <rPr>
        <sz val="9"/>
        <rFont val="Arial CE"/>
      </rPr>
      <t xml:space="preserve"> (účet 2310800)</t>
    </r>
  </si>
  <si>
    <t>0387/2310/5151</t>
  </si>
  <si>
    <t xml:space="preserve">           dovoz pitné vody </t>
  </si>
  <si>
    <t>0387/2310/5169</t>
  </si>
  <si>
    <r>
      <rPr>
        <sz val="10"/>
        <rFont val="Arial CE"/>
      </rPr>
      <t xml:space="preserve">           </t>
    </r>
    <r>
      <rPr>
        <sz val="9"/>
        <rFont val="Arial CE"/>
      </rPr>
      <t xml:space="preserve">PD k opravám, pasport vodovodů </t>
    </r>
  </si>
  <si>
    <t>0387/2310/5171</t>
  </si>
  <si>
    <r>
      <rPr>
        <sz val="10"/>
        <rFont val="Arial CE"/>
      </rPr>
      <t xml:space="preserve">           </t>
    </r>
    <r>
      <rPr>
        <sz val="9"/>
        <rFont val="Arial CE"/>
      </rPr>
      <t>opravy a udržba</t>
    </r>
  </si>
  <si>
    <r>
      <rPr>
        <b/>
        <sz val="10"/>
        <rFont val="Arial CE"/>
      </rPr>
      <t xml:space="preserve">Odvádění a čištění odpadních vod a nakládání s kaly </t>
    </r>
    <r>
      <rPr>
        <sz val="9"/>
        <rFont val="Arial CE"/>
      </rPr>
      <t>(účet 2310800)</t>
    </r>
  </si>
  <si>
    <t>0387/2321/5151</t>
  </si>
  <si>
    <t xml:space="preserve">            studená voda </t>
  </si>
  <si>
    <t>0387/2321/5169</t>
  </si>
  <si>
    <t xml:space="preserve">            revize, poplatky, PD k opravám, pasport kanalizace</t>
  </si>
  <si>
    <t>0387/2321/5171</t>
  </si>
  <si>
    <t xml:space="preserve">            opravy a údržba</t>
  </si>
  <si>
    <r>
      <rPr>
        <sz val="10"/>
        <rFont val="Arial CE"/>
      </rPr>
      <t xml:space="preserve">            Plán financování obnovy </t>
    </r>
    <r>
      <rPr>
        <sz val="9"/>
        <rFont val="Arial CE"/>
      </rPr>
      <t>(účet 2310441) - opr. a udržování (rekonstrukce - obnova kanallizačních šachet ul. Slezská a Na Prachárně)</t>
    </r>
  </si>
  <si>
    <r>
      <rPr>
        <b/>
        <sz val="10"/>
        <rFont val="Arial CE"/>
      </rPr>
      <t xml:space="preserve">Úpravy drobných vodních toků </t>
    </r>
    <r>
      <rPr>
        <sz val="10"/>
        <rFont val="Arial CE"/>
      </rPr>
      <t>(účet 231 0800)</t>
    </r>
  </si>
  <si>
    <t>0387/2333/5169</t>
  </si>
  <si>
    <t xml:space="preserve">            revize, poplatky, PD k opravám</t>
  </si>
  <si>
    <t>0387/2333/5171</t>
  </si>
  <si>
    <t>110 - Doprava</t>
  </si>
  <si>
    <r>
      <rPr>
        <b/>
        <sz val="10"/>
        <rFont val="Arial CE"/>
      </rPr>
      <t xml:space="preserve">Silnice </t>
    </r>
    <r>
      <rPr>
        <sz val="8"/>
        <rFont val="Arial CE"/>
      </rPr>
      <t>(účet 2310800)</t>
    </r>
  </si>
  <si>
    <t>z toho: Investice celkem</t>
  </si>
  <si>
    <t>0517/2212/6351</t>
  </si>
  <si>
    <t xml:space="preserve">                  parkovací automaty - obnova (TSM)</t>
  </si>
  <si>
    <t xml:space="preserve">                  dvoumístné vozidlo o celkové hmotnosti 3,5 t se sklápěcí korbou (TSM)</t>
  </si>
  <si>
    <t xml:space="preserve">                  dřevěné prodejní stánky (TSM)</t>
  </si>
  <si>
    <t>0517/2212/5331</t>
  </si>
  <si>
    <r>
      <rPr>
        <sz val="10"/>
        <rFont val="Arial CE"/>
      </rPr>
      <t xml:space="preserve">             veřejně prospěšné práce </t>
    </r>
    <r>
      <rPr>
        <sz val="9"/>
        <rFont val="Arial CE"/>
      </rPr>
      <t>(TSM)</t>
    </r>
  </si>
  <si>
    <r>
      <rPr>
        <sz val="10"/>
        <rFont val="Arial CE"/>
      </rPr>
      <t xml:space="preserve">             oprava a údržba místních komunikací </t>
    </r>
    <r>
      <rPr>
        <sz val="9"/>
        <rFont val="Arial CE"/>
      </rPr>
      <t>(TSM)</t>
    </r>
  </si>
  <si>
    <t>0517/2212/5139</t>
  </si>
  <si>
    <t xml:space="preserve">             nákup materiálu jinde nezařazený</t>
  </si>
  <si>
    <t>0386/2212/5171</t>
  </si>
  <si>
    <t xml:space="preserve">             oprava a údržba místních komunikací - město</t>
  </si>
  <si>
    <t>0386/2212/5169</t>
  </si>
  <si>
    <r>
      <rPr>
        <sz val="10"/>
        <rFont val="Arial CE"/>
      </rPr>
      <t xml:space="preserve">             </t>
    </r>
    <r>
      <rPr>
        <sz val="10"/>
        <rFont val="Arial CE"/>
      </rPr>
      <t>služby -  PD k opravám, revize, poplatky</t>
    </r>
  </si>
  <si>
    <r>
      <rPr>
        <sz val="10"/>
        <rFont val="Arial CE"/>
      </rPr>
      <t xml:space="preserve">             </t>
    </r>
    <r>
      <rPr>
        <sz val="10"/>
        <rFont val="Arial CE"/>
      </rPr>
      <t>služby -  pasport místních komunikací</t>
    </r>
  </si>
  <si>
    <t>0386/2212/5164</t>
  </si>
  <si>
    <r>
      <rPr>
        <sz val="10"/>
        <rFont val="Arial CE"/>
      </rPr>
      <t xml:space="preserve">             </t>
    </r>
    <r>
      <rPr>
        <sz val="10"/>
        <rFont val="Arial CE"/>
      </rPr>
      <t>nájemné</t>
    </r>
  </si>
  <si>
    <r>
      <rPr>
        <b/>
        <sz val="10"/>
        <rFont val="Arial CE"/>
      </rPr>
      <t xml:space="preserve">Ostatní záležitosti pozemních komunikací </t>
    </r>
    <r>
      <rPr>
        <sz val="9"/>
        <rFont val="Arial CE"/>
      </rPr>
      <t>(účet 2310800)</t>
    </r>
  </si>
  <si>
    <t>0386/2219/5169</t>
  </si>
  <si>
    <t xml:space="preserve">             služby - PD k opravám, revize, poplatky</t>
  </si>
  <si>
    <t>0386/2219/5171</t>
  </si>
  <si>
    <t xml:space="preserve">             opravy a udržování chodníků</t>
  </si>
  <si>
    <t>0386/2219/5362</t>
  </si>
  <si>
    <t xml:space="preserve">             platby daní a poplatků, sankce</t>
  </si>
  <si>
    <t>0517/2219/5331</t>
  </si>
  <si>
    <t xml:space="preserve">             parkoviště (TSM)</t>
  </si>
  <si>
    <r>
      <rPr>
        <b/>
        <sz val="10"/>
        <rFont val="Arial CE"/>
      </rPr>
      <t>Provoz veřejné silniční dopravy</t>
    </r>
    <r>
      <rPr>
        <sz val="9"/>
        <rFont val="Arial CE"/>
      </rPr>
      <t xml:space="preserve"> (účet 2310800)</t>
    </r>
  </si>
  <si>
    <t>0386/2221/5169</t>
  </si>
  <si>
    <t>z toho: služby - revize, poplatky, PD k opravám</t>
  </si>
  <si>
    <t>0386/2221/5171</t>
  </si>
  <si>
    <t xml:space="preserve">            opravy autobusových přístřešků</t>
  </si>
  <si>
    <t>120 - Majetkoprávní záležitosti</t>
  </si>
  <si>
    <t>Komunální služby a územní rozvoj j.n.</t>
  </si>
  <si>
    <t>0092/3639/6130</t>
  </si>
  <si>
    <r>
      <rPr>
        <sz val="10"/>
        <rFont val="Arial CE"/>
      </rPr>
      <t xml:space="preserve">z toho: investice - výkupy pozemků </t>
    </r>
    <r>
      <rPr>
        <sz val="9"/>
        <rFont val="Arial CE"/>
      </rPr>
      <t>(ostatní 0,5+Orlita 0,9+Jednota 0,2)</t>
    </r>
  </si>
  <si>
    <t>0002/3639/5122</t>
  </si>
  <si>
    <r>
      <rPr>
        <sz val="10"/>
        <rFont val="Arial CE"/>
      </rPr>
      <t xml:space="preserve">            věcná břemena (</t>
    </r>
    <r>
      <rPr>
        <sz val="9"/>
        <rFont val="Arial CE"/>
      </rPr>
      <t>účet 2310440)</t>
    </r>
  </si>
  <si>
    <r>
      <rPr>
        <sz val="10"/>
        <rFont val="Arial CE"/>
      </rPr>
      <t xml:space="preserve">            věcná břemena (</t>
    </r>
    <r>
      <rPr>
        <sz val="9"/>
        <rFont val="Arial CE"/>
      </rPr>
      <t>účet 2310800)</t>
    </r>
  </si>
  <si>
    <t>0092/3639/5021</t>
  </si>
  <si>
    <t xml:space="preserve">            majetkoprávní - ostatní osobní výdaje (dohoda)</t>
  </si>
  <si>
    <t>0092/3639/5166</t>
  </si>
  <si>
    <t xml:space="preserve">            majetkoprávní - sociální pojištění</t>
  </si>
  <si>
    <t>0092/3639/5169</t>
  </si>
  <si>
    <t xml:space="preserve">            majetkoprávní - zdravotní pojištění</t>
  </si>
  <si>
    <t>0092/3639/5164</t>
  </si>
  <si>
    <t xml:space="preserve">            majetkoprávní - nájemné</t>
  </si>
  <si>
    <t xml:space="preserve">            majetkoprávní - znalecké posudky</t>
  </si>
  <si>
    <t xml:space="preserve">            majetkoprávní - posudky a geometrické plány</t>
  </si>
  <si>
    <t>0092/3639/5179</t>
  </si>
  <si>
    <t xml:space="preserve">            majetkoprávní - ostatní nákupy jinde nezařazené (kauce - veřejná dražba)</t>
  </si>
  <si>
    <t>0092/3639/5361</t>
  </si>
  <si>
    <t xml:space="preserve">            majetkoprávní - nákup kolků</t>
  </si>
  <si>
    <t>0092/3639/5362</t>
  </si>
  <si>
    <t xml:space="preserve">            majetkoprávní - správní poplatky</t>
  </si>
  <si>
    <t xml:space="preserve">139 - Komunální služby </t>
  </si>
  <si>
    <r>
      <rPr>
        <b/>
        <sz val="10"/>
        <rFont val="Arial CE"/>
      </rPr>
      <t>Rozhlas a televize</t>
    </r>
    <r>
      <rPr>
        <sz val="9"/>
        <rFont val="Arial CE"/>
      </rPr>
      <t xml:space="preserve"> (účet 2310800) </t>
    </r>
  </si>
  <si>
    <t>0513/3341/5171</t>
  </si>
  <si>
    <t xml:space="preserve">            opravy a udržování</t>
  </si>
  <si>
    <t>0513/3341/5362</t>
  </si>
  <si>
    <t xml:space="preserve">            poplatky</t>
  </si>
  <si>
    <r>
      <rPr>
        <b/>
        <sz val="10"/>
        <rFont val="Arial CE"/>
      </rPr>
      <t xml:space="preserve">Využití volného času dětí a mládeže </t>
    </r>
    <r>
      <rPr>
        <sz val="9"/>
        <rFont val="Arial CE"/>
      </rPr>
      <t>(účet 2310800)</t>
    </r>
  </si>
  <si>
    <t>0382/3421/5137</t>
  </si>
  <si>
    <t xml:space="preserve">             Dětská hřiště - drobný hmotný dlouhodobý majetek</t>
  </si>
  <si>
    <t>0382/3421/5139</t>
  </si>
  <si>
    <t xml:space="preserve">             Dětská hřiště - nákup materiálu</t>
  </si>
  <si>
    <t>0382/3421/5169</t>
  </si>
  <si>
    <t xml:space="preserve">             Dětská hřiště -ostatní služby (revize, PD k opravám)</t>
  </si>
  <si>
    <t>0382/3421/5171</t>
  </si>
  <si>
    <t xml:space="preserve">             Dětská hřiště - opravy a údržba </t>
  </si>
  <si>
    <t>0517/3421/5331</t>
  </si>
  <si>
    <t xml:space="preserve">             Dětská hřiště - příspěvek na údržbu a opravy TSM </t>
  </si>
  <si>
    <r>
      <rPr>
        <b/>
        <sz val="10"/>
        <rFont val="Arial CE"/>
      </rPr>
      <t xml:space="preserve">Nebytové hospodářství </t>
    </r>
    <r>
      <rPr>
        <sz val="9"/>
        <rFont val="Arial CE"/>
      </rPr>
      <t>(účet 2310800)</t>
    </r>
  </si>
  <si>
    <t>0382/3613/5137</t>
  </si>
  <si>
    <t xml:space="preserve">             drobný hmotný dlouhodobý majetek</t>
  </si>
  <si>
    <t>0382/3613/5139</t>
  </si>
  <si>
    <t xml:space="preserve">              nákup materiálu jinde nezařazeného</t>
  </si>
  <si>
    <t>0382/3613/5151</t>
  </si>
  <si>
    <t xml:space="preserve">              voda</t>
  </si>
  <si>
    <t>0382/3613/5154</t>
  </si>
  <si>
    <t xml:space="preserve">              elektrická energie</t>
  </si>
  <si>
    <t>0382/3613/5169</t>
  </si>
  <si>
    <t xml:space="preserve">              nákup služeb</t>
  </si>
  <si>
    <t xml:space="preserve">              nákup služeb - nátěry lam, košů, laviček v MPR</t>
  </si>
  <si>
    <t>0382/3613/5171</t>
  </si>
  <si>
    <t xml:space="preserve">              opravy a údržba</t>
  </si>
  <si>
    <r>
      <rPr>
        <b/>
        <sz val="10"/>
        <rFont val="Arial CE"/>
      </rPr>
      <t xml:space="preserve">Veřejné osvětlení (VO) </t>
    </r>
    <r>
      <rPr>
        <sz val="9"/>
        <rFont val="Arial CE"/>
      </rPr>
      <t>(účet 2310800)</t>
    </r>
  </si>
  <si>
    <t>0382/3631/5169</t>
  </si>
  <si>
    <t xml:space="preserve">             nákup služeb</t>
  </si>
  <si>
    <t>0382/3631/5171</t>
  </si>
  <si>
    <t xml:space="preserve">             opravy a údržba VO</t>
  </si>
  <si>
    <t>0517/3631/5331</t>
  </si>
  <si>
    <t xml:space="preserve">             příspěvek TSM</t>
  </si>
  <si>
    <t>0382/3631/5154</t>
  </si>
  <si>
    <t xml:space="preserve">             elektrická energie </t>
  </si>
  <si>
    <r>
      <rPr>
        <b/>
        <sz val="10"/>
        <rFont val="Arial CE"/>
      </rPr>
      <t xml:space="preserve">Pohřebnictví </t>
    </r>
    <r>
      <rPr>
        <sz val="10"/>
        <rFont val="Arial CE"/>
      </rPr>
      <t xml:space="preserve">(účet 2310800) </t>
    </r>
  </si>
  <si>
    <t>z toho: investice celkem = inv. příspěvky TSM</t>
  </si>
  <si>
    <t>0517/3632/6351</t>
  </si>
  <si>
    <t xml:space="preserve">                    Oplocení hřbitova v městské části Žilina</t>
  </si>
  <si>
    <t xml:space="preserve">                    Zastřešení prostoru před márnicí na hřbitově v Novém Jičíně </t>
  </si>
  <si>
    <t xml:space="preserve">                    Upgrade softwaru pro pasportizaci hřbitovů </t>
  </si>
  <si>
    <t xml:space="preserve">                    Oprava kamenné zdi</t>
  </si>
  <si>
    <t xml:space="preserve">                    Projektová dokumentace ke GO smuteční síně a márnice</t>
  </si>
  <si>
    <t>0517/3632/5331</t>
  </si>
  <si>
    <t xml:space="preserve">             příspěvek TSM - údržba</t>
  </si>
  <si>
    <t>0382/3632/5169</t>
  </si>
  <si>
    <t xml:space="preserve">             nákup služeb - pasport ozelenění hřbitova</t>
  </si>
  <si>
    <t>0382/3632/5171</t>
  </si>
  <si>
    <t xml:space="preserve">             opravy a údržba hřbitova</t>
  </si>
  <si>
    <r>
      <rPr>
        <b/>
        <sz val="10"/>
        <rFont val="Arial CE"/>
      </rPr>
      <t>Komunální služby a územní rozvoj j.n.</t>
    </r>
    <r>
      <rPr>
        <sz val="9"/>
        <rFont val="Arial CE"/>
      </rPr>
      <t xml:space="preserve"> </t>
    </r>
  </si>
  <si>
    <t>0382/3639/6121</t>
  </si>
  <si>
    <r>
      <rPr>
        <sz val="10"/>
        <rFont val="Arial CE"/>
      </rPr>
      <t xml:space="preserve">z toho: investice celkem - zápočet oplocení p. Perútka </t>
    </r>
    <r>
      <rPr>
        <sz val="9"/>
        <rFont val="Arial CE"/>
      </rPr>
      <t>(účet 2310440)</t>
    </r>
  </si>
  <si>
    <t>0382/3639/5139</t>
  </si>
  <si>
    <r>
      <rPr>
        <sz val="10"/>
        <rFont val="Arial CE"/>
      </rPr>
      <t xml:space="preserve">            přípojky na televizní kabelové rozvody Straník - materiál</t>
    </r>
    <r>
      <rPr>
        <sz val="9"/>
        <rFont val="Arial CE"/>
      </rPr>
      <t xml:space="preserve"> (účet 231 0800)</t>
    </r>
  </si>
  <si>
    <r>
      <rPr>
        <b/>
        <sz val="10"/>
        <rFont val="Arial CE"/>
      </rPr>
      <t xml:space="preserve">Ostatní záležitosti bydlení, komunálních služeb a územního rozvoje </t>
    </r>
    <r>
      <rPr>
        <sz val="9"/>
        <rFont val="Arial CE"/>
      </rPr>
      <t>(účet 2310800)</t>
    </r>
  </si>
  <si>
    <t>0517/3699/5331</t>
  </si>
  <si>
    <r>
      <rPr>
        <sz val="10"/>
        <rFont val="Arial CE"/>
      </rPr>
      <t xml:space="preserve">z toho: mobiliář </t>
    </r>
    <r>
      <rPr>
        <sz val="9"/>
        <rFont val="Arial CE"/>
      </rPr>
      <t>(TSM 200)</t>
    </r>
  </si>
  <si>
    <t xml:space="preserve">ORJ 6XX - Odbor rozvoje a investic </t>
  </si>
  <si>
    <t>602 - Vodní hospodářství</t>
  </si>
  <si>
    <t>4387/2310/6121</t>
  </si>
  <si>
    <t xml:space="preserve">                      Vodovod Loučka, Císařská </t>
  </si>
  <si>
    <t>5380/2310/6121</t>
  </si>
  <si>
    <t xml:space="preserve">                      Akumulační nádrž na vodu Straník PD</t>
  </si>
  <si>
    <t>5387/2310/6121</t>
  </si>
  <si>
    <t xml:space="preserve">                      Vodovod Žilina, Pstruží potok - Životice </t>
  </si>
  <si>
    <t>6387/2310/6121</t>
  </si>
  <si>
    <t xml:space="preserve">                      Vodovod Bludovice, Záhumenní </t>
  </si>
  <si>
    <t>5410/2321/6121</t>
  </si>
  <si>
    <t xml:space="preserve">                      Kanalizace Žilina, U Mlýna PD - ukončeno 8/2020</t>
  </si>
  <si>
    <t>5430/2321/6121</t>
  </si>
  <si>
    <r>
      <rPr>
        <sz val="10"/>
        <rFont val="Arial CE"/>
      </rPr>
      <t xml:space="preserve">                      </t>
    </r>
    <r>
      <rPr>
        <sz val="10"/>
        <rFont val="Arial CE"/>
      </rPr>
      <t xml:space="preserve">Zatrubnění dešťové kanalizace Žilina p. č. 951 </t>
    </r>
  </si>
  <si>
    <t>5434/2321/6121</t>
  </si>
  <si>
    <t xml:space="preserve">                      Jednotná kanalizace Žilina, Příčná </t>
  </si>
  <si>
    <t>8387/2321/6121</t>
  </si>
  <si>
    <t xml:space="preserve">                      Kanalizace Žilina, Okružní PD</t>
  </si>
  <si>
    <t>9387/2321/6121</t>
  </si>
  <si>
    <t xml:space="preserve">                      Kanalizace Trlicova - aktualizace PD</t>
  </si>
  <si>
    <t>XXXX/2321/6121</t>
  </si>
  <si>
    <t xml:space="preserve">                      Odvodnění lokality Loučka, Na Lani (cyklostezka, kryté stání) PD</t>
  </si>
  <si>
    <r>
      <rPr>
        <b/>
        <sz val="10"/>
        <rFont val="Arial CE"/>
      </rPr>
      <t xml:space="preserve">Úpravy drobných vodních toků </t>
    </r>
    <r>
      <rPr>
        <sz val="9"/>
        <rFont val="Arial CE"/>
      </rPr>
      <t>(účet 2310800)</t>
    </r>
  </si>
  <si>
    <t>5412/2333/6121</t>
  </si>
  <si>
    <t xml:space="preserve">                      Úprava Stranického potoka 3. etapa - ukončeno 3/2020</t>
  </si>
  <si>
    <t>610 - Doprava</t>
  </si>
  <si>
    <r>
      <rPr>
        <b/>
        <sz val="10"/>
        <rFont val="Arial CE"/>
      </rPr>
      <t xml:space="preserve">Silnice </t>
    </r>
    <r>
      <rPr>
        <sz val="9"/>
        <rFont val="Arial CE"/>
      </rPr>
      <t>(účet 2310800)</t>
    </r>
  </si>
  <si>
    <t xml:space="preserve">                     Velkoplošné opravy MK nad 500 000 Kč - služby</t>
  </si>
  <si>
    <t xml:space="preserve">                     Velkoplošné opravy MK nad 500 000 Kč </t>
  </si>
  <si>
    <t>4385/2212/6121</t>
  </si>
  <si>
    <t xml:space="preserve">                     Rondel Gen. Hlaďo - K Nemocnici PD</t>
  </si>
  <si>
    <t>5376/2212/6121</t>
  </si>
  <si>
    <t xml:space="preserve">                     Příjezdová  komunikace areál ČSAD</t>
  </si>
  <si>
    <t>5377/2212/6121</t>
  </si>
  <si>
    <t xml:space="preserve">                     Přechod včetně rondelu K Nemocnici, Pod Skalkou, B. Martinů PD</t>
  </si>
  <si>
    <t>5378/2212/6121</t>
  </si>
  <si>
    <t xml:space="preserve">                     Příjezdová  komunikace ČOV Kojetín PD</t>
  </si>
  <si>
    <t>5379/2212/6121</t>
  </si>
  <si>
    <t xml:space="preserve">                     Rozšíření komunikace Kojetín p. č. 625/1 (Bala) </t>
  </si>
  <si>
    <t>5390/2212/6121</t>
  </si>
  <si>
    <t xml:space="preserve">                     Most - propustek Straník č. p. 86 </t>
  </si>
  <si>
    <t>5391/2212/6121</t>
  </si>
  <si>
    <r>
      <rPr>
        <sz val="10"/>
        <rFont val="Arial CE"/>
      </rPr>
      <t xml:space="preserve">                     M</t>
    </r>
    <r>
      <rPr>
        <sz val="10"/>
        <rFont val="Arial CE"/>
      </rPr>
      <t>ost Jiráskova, pod gymnáziem PD</t>
    </r>
  </si>
  <si>
    <t>5397/2212/6121</t>
  </si>
  <si>
    <t xml:space="preserve">                     Komunikace Žilina, Za Školou p. č. 616/2</t>
  </si>
  <si>
    <t>5414/2212/6121</t>
  </si>
  <si>
    <t xml:space="preserve">                     Komunikace  Žilina, Potoční</t>
  </si>
  <si>
    <t>5432/2212/6121</t>
  </si>
  <si>
    <t xml:space="preserve">                     Přechod SVČ Fokus, K Nemocnici </t>
  </si>
  <si>
    <t xml:space="preserve"> </t>
  </si>
  <si>
    <t>5433/2212/6121</t>
  </si>
  <si>
    <t xml:space="preserve">                     Lávka Novosady PD</t>
  </si>
  <si>
    <t>8386/2212/6121</t>
  </si>
  <si>
    <t xml:space="preserve">                     Most Revoluční u domu č. p. 105 </t>
  </si>
  <si>
    <t>9386/2212/6121</t>
  </si>
  <si>
    <t xml:space="preserve">                     Most Loučka, V Kútě PD</t>
  </si>
  <si>
    <t>9388/2212/6121</t>
  </si>
  <si>
    <t xml:space="preserve">                     Stacionární místo pro radar Bludovice </t>
  </si>
  <si>
    <t>XXXX/2212/6121</t>
  </si>
  <si>
    <t xml:space="preserve">                     Most Dolní Brána (u Laposu) </t>
  </si>
  <si>
    <t xml:space="preserve">                     Komunikace - propojení Hoblíkova - Žižkova PD</t>
  </si>
  <si>
    <t xml:space="preserve">                     Komunikace K Archivu PD</t>
  </si>
  <si>
    <t xml:space="preserve">                     Rekonstrukce komunikace Straník - Kojetín PD</t>
  </si>
  <si>
    <t xml:space="preserve">                     Velkoplošné opravy chodníků nad 500 000 Kč - služby</t>
  </si>
  <si>
    <t xml:space="preserve">                     Velkoplošné opravy chodníků nad 500 000 Kč </t>
  </si>
  <si>
    <t>0507/2219/6121</t>
  </si>
  <si>
    <t xml:space="preserve">                    Chodníkové těleso Žilina, Pstruží potok - Životice (opěrná zeď) 4. etapa</t>
  </si>
  <si>
    <t>2384/2219/6121</t>
  </si>
  <si>
    <t xml:space="preserve">                    Laudonovo nádvoří </t>
  </si>
  <si>
    <t>2386/2219/6121</t>
  </si>
  <si>
    <t xml:space="preserve">                    Cyklostezka NJ - Hostašovice, vlečka </t>
  </si>
  <si>
    <t>5370/2219/6121</t>
  </si>
  <si>
    <t xml:space="preserve">                    Čerťák 3. etapa</t>
  </si>
  <si>
    <t>5371/2219/6121</t>
  </si>
  <si>
    <t xml:space="preserve">                    Cykloboxy PD</t>
  </si>
  <si>
    <t>5372/2219/6121</t>
  </si>
  <si>
    <t xml:space="preserve">                    Prodloužení turistické trasy Čerťák PD</t>
  </si>
  <si>
    <t>5373/2219/6121</t>
  </si>
  <si>
    <t xml:space="preserve">                    Parkoviště Žilina p. č. 673/2 (u kostela)</t>
  </si>
  <si>
    <t>5374/2219/6121</t>
  </si>
  <si>
    <t xml:space="preserve">                    Parkoviště Straník, hřbitov</t>
  </si>
  <si>
    <t>5375/2219/6121</t>
  </si>
  <si>
    <t xml:space="preserve">                    Chodníkové těleso, opěrná zeď Revoluční I/57 </t>
  </si>
  <si>
    <t>5385/2219/6121</t>
  </si>
  <si>
    <t xml:space="preserve">                    Chodníkové těleso Loučka, Na Drážkách</t>
  </si>
  <si>
    <t>5393/2219/6121</t>
  </si>
  <si>
    <t xml:space="preserve">                    Chodníkové těleso Na Valech - ukončeno 03/2020</t>
  </si>
  <si>
    <t>5404/2219/6121</t>
  </si>
  <si>
    <t xml:space="preserve">                    Rozšíření cyklostezky Bludovice</t>
  </si>
  <si>
    <t>5406/2219/6121</t>
  </si>
  <si>
    <t xml:space="preserve">                    Parkovací stání Dlouhá (úsek Palackého - Budovatelů)</t>
  </si>
  <si>
    <t>5417/2219/6121</t>
  </si>
  <si>
    <t xml:space="preserve">                    Chodníkové těleso k autobusové zastávce Bocheta </t>
  </si>
  <si>
    <t>5419/2219/6121</t>
  </si>
  <si>
    <t xml:space="preserve">                    Parkoviště Dlouhá č. o. 8 - 14, 2. etapa </t>
  </si>
  <si>
    <t>5420/2219/6121</t>
  </si>
  <si>
    <t xml:space="preserve">                    Rozšíření odstavných ploch Vančurova  č. o. 2 -10 PD</t>
  </si>
  <si>
    <t>5421/2219/6121</t>
  </si>
  <si>
    <t xml:space="preserve">                    Parkoviště B. Martinů - krátkodobé stání</t>
  </si>
  <si>
    <t>5431/2219/6121</t>
  </si>
  <si>
    <t xml:space="preserve">                    Chodníkové těleso u silnice I/57 p. č. 700/1 Bludovice </t>
  </si>
  <si>
    <t>7385/2219/6121</t>
  </si>
  <si>
    <t xml:space="preserve">                    Kontejnerová stání </t>
  </si>
  <si>
    <t>8384/2219/6121</t>
  </si>
  <si>
    <t xml:space="preserve">                    Parkoviště Restaurace Na Skalkách </t>
  </si>
  <si>
    <t>XXXX/2219/6121</t>
  </si>
  <si>
    <t xml:space="preserve">                    Společná stezka pro chodce a cyklisty, Rybníčky  PD</t>
  </si>
  <si>
    <t xml:space="preserve">                    Parkoviště Hoblíkova PD</t>
  </si>
  <si>
    <t xml:space="preserve">                    Parkoviště Budovatelů, bytové domy č. o. 5, 7, 9  PD</t>
  </si>
  <si>
    <t xml:space="preserve">                    Parkovací stání Dlouhá, bytové domy č. o. 42 - 48 PD</t>
  </si>
  <si>
    <t xml:space="preserve">                    Parkoviště Dlouhá (výměníková stanice - bytový dům č. o. 40) PD</t>
  </si>
  <si>
    <t xml:space="preserve">                    Parkoviště Luční p. č.  218/9 PD</t>
  </si>
  <si>
    <t xml:space="preserve">                    Parkovací stání Revoluční p. č. 673/13 PD</t>
  </si>
  <si>
    <t xml:space="preserve">                    Parkoviště Smetanovy sady, bytové domy č. o. 20, 22, 24 PD</t>
  </si>
  <si>
    <t xml:space="preserve">                    Zpevněné plochy a mobiliář  Tyršova </t>
  </si>
  <si>
    <t xml:space="preserve">                    Regenerace panelového sídliště Nerudova PD</t>
  </si>
  <si>
    <t xml:space="preserve">                    Chodníkové těleso U Stadionu  PD</t>
  </si>
  <si>
    <t xml:space="preserve">                    Zpevněné plochy okolo Beskydského divadla PD</t>
  </si>
  <si>
    <t>5398/2221/6121</t>
  </si>
  <si>
    <t xml:space="preserve">                    Autobusová zastávká Žilina, U Partyzána </t>
  </si>
  <si>
    <t>5407/2221/6121</t>
  </si>
  <si>
    <t xml:space="preserve">                    Autobusová zastávka Žilina, U Požární zbrojnice</t>
  </si>
  <si>
    <t>5422/2221/6121</t>
  </si>
  <si>
    <t xml:space="preserve">                    Autobusová zastávká Pod Svincem - ukončeno 09/2020</t>
  </si>
  <si>
    <t>XXXX/2221/6121</t>
  </si>
  <si>
    <t xml:space="preserve">                    Autobusová zastávka Straník na pozemku p. č. 191/45</t>
  </si>
  <si>
    <t xml:space="preserve">615 - Oddělení rozvoje - plány, marketing, Zdravé město </t>
  </si>
  <si>
    <t>Komunální služby - nebytové prostory  - oddělení investic (účet 2310800)</t>
  </si>
  <si>
    <t>1388/3613/5169</t>
  </si>
  <si>
    <t xml:space="preserve">                    Studie - oddělení investic</t>
  </si>
  <si>
    <t>Komunální služby a rozvoj - plány, propagace, marketing, Zdravé město (účet 2310800)</t>
  </si>
  <si>
    <t>1388/3639/5021</t>
  </si>
  <si>
    <t xml:space="preserve">                    Dohody (odměny) Architektonická soutěž Hala NJ</t>
  </si>
  <si>
    <t>1388/3639/5139</t>
  </si>
  <si>
    <t xml:space="preserve">                    Ostatní materiál</t>
  </si>
  <si>
    <t>1388/3639/5164</t>
  </si>
  <si>
    <t xml:space="preserve">                   Jarní škola NSZM - nájmy místností</t>
  </si>
  <si>
    <t>1388/3639/5166</t>
  </si>
  <si>
    <t xml:space="preserve">                    Konzultační služby (z toho městský architekt 460 000 Kč)</t>
  </si>
  <si>
    <t>1388/3639/5169</t>
  </si>
  <si>
    <t xml:space="preserve">                    Rozvojové plány, studie, propagace, marketing, Zdravé město, particip.rozpočet, administrace projektů, architektonické soutěže (víceúčelová sportovní hala), SPRM, rozvojové studie (revitalizace Horního nádraží, cykloopatření B. Martinů, urbanistická studie sportovní areál), pořízení sčítačů pro monitoring cyklodopravy, Jarní škola Zdravých měst   </t>
  </si>
  <si>
    <t>1388/3639/5175</t>
  </si>
  <si>
    <t xml:space="preserve">                   Pohoštění</t>
  </si>
  <si>
    <t>1388/3639/5222</t>
  </si>
  <si>
    <t xml:space="preserve">                   Mládež kraji</t>
  </si>
  <si>
    <t>1388/3639/5229</t>
  </si>
  <si>
    <t xml:space="preserve">                   Členský poplatek národní síť zdravých měst a MAS Lašsko</t>
  </si>
  <si>
    <t>1388/3639/6122</t>
  </si>
  <si>
    <t xml:space="preserve">                   Mobilní zastřešení Straník - participativní rozpočet</t>
  </si>
  <si>
    <t xml:space="preserve">639 - Komunální služby a územní rozvoj </t>
  </si>
  <si>
    <r>
      <rPr>
        <b/>
        <sz val="10"/>
        <rFont val="Arial CE"/>
      </rPr>
      <t xml:space="preserve">Sportovní zařízení v majetku obce </t>
    </r>
    <r>
      <rPr>
        <sz val="9"/>
        <rFont val="Arial CE"/>
      </rPr>
      <t>(účet 2310800)</t>
    </r>
  </si>
  <si>
    <t>XXXX/3412/6121</t>
  </si>
  <si>
    <t xml:space="preserve">                   Skatepark ve sportovním areálu U Stadionu PD</t>
  </si>
  <si>
    <t xml:space="preserve">                   Tenisová hala na ul. B. Martinů PD</t>
  </si>
  <si>
    <t>5368/3613/6121</t>
  </si>
  <si>
    <t xml:space="preserve">                   Čítárna</t>
  </si>
  <si>
    <t>5369/3613/6121</t>
  </si>
  <si>
    <t xml:space="preserve">                   Úprava Smetanových sadů PD</t>
  </si>
  <si>
    <t>5424/3613/6121</t>
  </si>
  <si>
    <t xml:space="preserve">                   Oplocení vč. ochranné bariéry Školy života Žilina, Beskydská PD</t>
  </si>
  <si>
    <t>6389/3613/6121</t>
  </si>
  <si>
    <t xml:space="preserve">                   Kryté stání Loučka - opatření proti vodě, přeložka VO</t>
  </si>
  <si>
    <t>XXXX/3613/6121</t>
  </si>
  <si>
    <t xml:space="preserve">                   Sociálně-provozní objekt ve sport.areálu U Stadionu PD</t>
  </si>
  <si>
    <t>5362/3631/5169</t>
  </si>
  <si>
    <t xml:space="preserve">                   VO Generel</t>
  </si>
  <si>
    <t>0541/3631/6121</t>
  </si>
  <si>
    <t xml:space="preserve">                   VO Nádražní - ukončeno 8/2020</t>
  </si>
  <si>
    <t>0542/3631/6121</t>
  </si>
  <si>
    <t xml:space="preserve">                   VO Purkyňova</t>
  </si>
  <si>
    <t>5435/3631/6121</t>
  </si>
  <si>
    <t xml:space="preserve">                   Opatření ke snížení energ.náročnosti VO - EFEKT 2021</t>
  </si>
  <si>
    <t>4395/3631/6121</t>
  </si>
  <si>
    <t xml:space="preserve">                   VO Bludovice, pneuservis - ukončeno 6/2020</t>
  </si>
  <si>
    <t>5359/3631/6121</t>
  </si>
  <si>
    <t xml:space="preserve">                   VO Štefanikova ČSOB</t>
  </si>
  <si>
    <t>5360/3631/6121</t>
  </si>
  <si>
    <t xml:space="preserve">                   VO Hřbitovní</t>
  </si>
  <si>
    <t>5363/3631/6121</t>
  </si>
  <si>
    <t xml:space="preserve">                   VO cyklostezka průmyslová zóna PD</t>
  </si>
  <si>
    <t>5364/3631/6121</t>
  </si>
  <si>
    <t xml:space="preserve">                   VO Smetanovy sady a Skalky </t>
  </si>
  <si>
    <t>5365/3631/6121</t>
  </si>
  <si>
    <t xml:space="preserve">                   VO Skalky - parkoviště </t>
  </si>
  <si>
    <t>5366/3631/6121</t>
  </si>
  <si>
    <t xml:space="preserve">                   VO Štefanikova ČS (okolo ČSOB)</t>
  </si>
  <si>
    <t>5367/3631/6121</t>
  </si>
  <si>
    <t xml:space="preserve">                   VO Loučka - Křenová, Jičínská, Za Potokem</t>
  </si>
  <si>
    <t>6383/3631/6121</t>
  </si>
  <si>
    <t xml:space="preserve">                   VO K Archivu PD</t>
  </si>
  <si>
    <r>
      <rPr>
        <b/>
        <sz val="10"/>
        <rFont val="Arial CE"/>
      </rPr>
      <t>Hřbitovy</t>
    </r>
    <r>
      <rPr>
        <sz val="9"/>
        <rFont val="Arial CE"/>
      </rPr>
      <t xml:space="preserve"> (účet 2310800)</t>
    </r>
  </si>
  <si>
    <t>5361/3632/5171</t>
  </si>
  <si>
    <t xml:space="preserve">                   Sanace čestných hrobů</t>
  </si>
  <si>
    <t>5361/3632/6121</t>
  </si>
  <si>
    <r>
      <rPr>
        <b/>
        <sz val="10"/>
        <rFont val="Arial CE"/>
      </rPr>
      <t>Výstavba a údržba místních inženýrských sítí (IS)</t>
    </r>
    <r>
      <rPr>
        <sz val="9"/>
        <rFont val="Arial CE"/>
      </rPr>
      <t xml:space="preserve"> (účet 2310800)</t>
    </r>
  </si>
  <si>
    <t>0538/3633/6121</t>
  </si>
  <si>
    <t xml:space="preserve">                   Rozšíření průmyslové zóny PD</t>
  </si>
  <si>
    <t>0539/3633/6121</t>
  </si>
  <si>
    <t xml:space="preserve">                   IS Žilina, Za Školou</t>
  </si>
  <si>
    <t>5425/3633/6121</t>
  </si>
  <si>
    <t xml:space="preserve">                   IS RD Bocheta PD 4. etapa</t>
  </si>
  <si>
    <t>641 - Oddělení rozvoje - dotace ČOV, topení Kojetín, kotlíkové dotace</t>
  </si>
  <si>
    <t>1388/2321/6371</t>
  </si>
  <si>
    <t xml:space="preserve">                    Dotace ČOV</t>
  </si>
  <si>
    <t>1388/3634/6371</t>
  </si>
  <si>
    <t xml:space="preserve">                    Dotace na ekologické vytápění Kojetín</t>
  </si>
  <si>
    <t>1388/3713/6342</t>
  </si>
  <si>
    <t xml:space="preserve">                    Kotlíkové dotace MSK</t>
  </si>
  <si>
    <r>
      <rPr>
        <b/>
        <sz val="10"/>
        <rFont val="Arial CE"/>
      </rPr>
      <t xml:space="preserve">Vnitřní obchod </t>
    </r>
    <r>
      <rPr>
        <sz val="9"/>
        <rFont val="Arial CE"/>
      </rPr>
      <t>(nákup materiálu 16, zpracování dat 3, ostatní služby 366, věcné dary 10, neinvestiční transfery neziskovým organizacím 80, reklamní tabule MPR 200)</t>
    </r>
  </si>
  <si>
    <r>
      <rPr>
        <b/>
        <sz val="10"/>
        <rFont val="Arial CE"/>
      </rPr>
      <t>Rozhlas a televize</t>
    </r>
    <r>
      <rPr>
        <b/>
        <sz val="9"/>
        <rFont val="Arial CE"/>
      </rPr>
      <t xml:space="preserve"> </t>
    </r>
    <r>
      <rPr>
        <sz val="9"/>
        <rFont val="Arial CE"/>
      </rPr>
      <t>(TV Polar, záznamy ze ZM)</t>
    </r>
  </si>
  <si>
    <r>
      <rPr>
        <b/>
        <sz val="10"/>
        <rFont val="Arial CE"/>
      </rPr>
      <t xml:space="preserve">Ostatní záležitosti kultury, církví a sdělovacích prostředků </t>
    </r>
    <r>
      <rPr>
        <sz val="9"/>
        <rFont val="Arial CE"/>
      </rPr>
      <t>(odměny za užití duševního vlastnictví 20)</t>
    </r>
  </si>
  <si>
    <t>ORJ 011 - Návštěvnické centrum Nový Jičín - město klobouků</t>
  </si>
  <si>
    <r>
      <rPr>
        <b/>
        <sz val="10"/>
        <rFont val="Arial CE"/>
      </rPr>
      <t xml:space="preserve">Vnitřní obchod  </t>
    </r>
    <r>
      <rPr>
        <b/>
        <sz val="9"/>
        <rFont val="Arial CE"/>
      </rPr>
      <t xml:space="preserve">- </t>
    </r>
    <r>
      <rPr>
        <sz val="9"/>
        <rFont val="Arial CE"/>
      </rPr>
      <t xml:space="preserve">opravy a údržba 25, materiál 38, služby 64, příspěvek TSM celkem (jarmarky, vánoční strom, výzdoba,…) 454, pohoštění 5, DHM 100, stroje, přístroje, zařízení 540.  </t>
    </r>
  </si>
  <si>
    <r>
      <rPr>
        <b/>
        <sz val="10"/>
        <rFont val="Arial CE"/>
      </rPr>
      <t>Cestovní ruch</t>
    </r>
    <r>
      <rPr>
        <b/>
        <sz val="9"/>
        <rFont val="Arial CE"/>
      </rPr>
      <t xml:space="preserve"> </t>
    </r>
    <r>
      <rPr>
        <sz val="9"/>
        <rFont val="Arial CE"/>
      </rPr>
      <t xml:space="preserve">(platy 3600, dohody 360, soc.poj. 982 080, zdrav. poj. 356 400, náhrada mezd za nemoc 20, platby daní a popl. Stát. rozp. 6,5, knihy, tisk 6, drobný hmotný maj. 480, materiál (kalendáře, upom. Př., tiskoviny,…) 640, materiál DPH 374,5, poštovné 4, telefony 10, pronájem 277, služby zprac. dat. 30, nákup služeb (prop. inz., služby) 1170, nákup služeb DPH (služby spojené s kelímky NICKNACK) 170 976, opravy a údržba 80, cestovné 10, pohoštění 80, ost.nák.j.n. 4,5, neinvest. transféry 140, neinvest. přísp. Pivobraní 170. </t>
    </r>
  </si>
  <si>
    <r>
      <rPr>
        <b/>
        <sz val="10"/>
        <rFont val="Arial CE"/>
      </rPr>
      <t>Ost.záležitosti kultury, církví a sdělovacích prostředků</t>
    </r>
    <r>
      <rPr>
        <sz val="10"/>
        <rFont val="Arial CE"/>
      </rPr>
      <t xml:space="preserve"> (</t>
    </r>
    <r>
      <rPr>
        <sz val="9"/>
        <rFont val="Arial CE"/>
      </rPr>
      <t xml:space="preserve">platby za autorská práva - OSA, Integram) </t>
    </r>
  </si>
  <si>
    <r>
      <rPr>
        <b/>
        <sz val="10"/>
        <rFont val="Arial CE"/>
      </rPr>
      <t>Mezinárodní spolupráce</t>
    </r>
    <r>
      <rPr>
        <sz val="9"/>
        <rFont val="Arial CE"/>
      </rPr>
      <t xml:space="preserve"> - materiál 55, materiál DPH 5, PHM 5, nájemné 20, služby 280, cestovné 40, pohoštění 110.</t>
    </r>
  </si>
  <si>
    <t>Bezpečnost silničního provozu (BESIP)</t>
  </si>
  <si>
    <t xml:space="preserve">             DHM 6, materiál 3, nájemné 42, služby 10, opravy a udržování 7, pohoštění 2, věcné dary 6 </t>
  </si>
  <si>
    <r>
      <rPr>
        <b/>
        <sz val="10"/>
        <rFont val="Arial CE"/>
      </rPr>
      <t xml:space="preserve">Ostatní záležitosti v silniční dopravě - </t>
    </r>
    <r>
      <rPr>
        <sz val="10"/>
        <rFont val="Arial CE"/>
      </rPr>
      <t>odvod ekologické daně 12/2019</t>
    </r>
  </si>
  <si>
    <r>
      <rPr>
        <b/>
        <sz val="10"/>
        <rFont val="Arial CE"/>
      </rPr>
      <t>Dopravní obslužnost</t>
    </r>
    <r>
      <rPr>
        <sz val="10"/>
        <rFont val="Arial CE"/>
      </rPr>
      <t xml:space="preserve"> - veřejná doprava</t>
    </r>
  </si>
  <si>
    <t>z toho: územní dopravní obslužnost dle smlouvy s MSK</t>
  </si>
  <si>
    <r>
      <rPr>
        <sz val="10"/>
        <rFont val="Arial CE"/>
      </rPr>
      <t xml:space="preserve">             příspěvek na MHD</t>
    </r>
    <r>
      <rPr>
        <sz val="9"/>
        <rFont val="Arial CE"/>
      </rPr>
      <t xml:space="preserve"> (ARRIVA) - dle smlouvy </t>
    </r>
  </si>
  <si>
    <r>
      <rPr>
        <sz val="10"/>
        <rFont val="Arial CE"/>
      </rPr>
      <t xml:space="preserve">             příspěvek na ochranné chem prostředky a pomůcky pro dopravce veř.dopravy </t>
    </r>
    <r>
      <rPr>
        <sz val="9"/>
        <rFont val="Arial CE"/>
      </rPr>
      <t>(ARRIVA) - z MSK (úz 27009)</t>
    </r>
  </si>
  <si>
    <r>
      <rPr>
        <sz val="10"/>
        <rFont val="Arial CE"/>
      </rPr>
      <t xml:space="preserve">             kompenzace ztráty dopravci za rozšíření tarifu "město" 2020: </t>
    </r>
    <r>
      <rPr>
        <sz val="10"/>
        <rFont val="Arial CE"/>
      </rPr>
      <t xml:space="preserve">dokrytí ztráty za provozování skibusu: </t>
    </r>
  </si>
  <si>
    <t xml:space="preserve">                dokrytí ztráty za provozovaní autobusového spojení Hranice na Moravě </t>
  </si>
  <si>
    <r>
      <rPr>
        <b/>
        <sz val="10"/>
        <rFont val="Arial CE"/>
      </rPr>
      <t xml:space="preserve">Bezpečnost silničního provozu - </t>
    </r>
    <r>
      <rPr>
        <sz val="10"/>
        <rFont val="Arial CE"/>
      </rPr>
      <t>znalecké posudky při řešení dopravních deliktů+tlumočení</t>
    </r>
  </si>
  <si>
    <r>
      <rPr>
        <b/>
        <sz val="10"/>
        <rFont val="Arial CE"/>
      </rPr>
      <t xml:space="preserve">Činnost místní správy - </t>
    </r>
    <r>
      <rPr>
        <sz val="10"/>
        <rFont val="Arial CE"/>
      </rPr>
      <t>ostatní platy (refundace vč.pojist.), konzult.a porad.služby, náhrady svědkům</t>
    </r>
  </si>
  <si>
    <t>ORJ 317 - Odbor správních agend</t>
  </si>
  <si>
    <t>Volby do zastupitelstev krajů</t>
  </si>
  <si>
    <t xml:space="preserve">Volby do Poslanecké sněmovny </t>
  </si>
  <si>
    <t>414 - Školství</t>
  </si>
  <si>
    <t>Předškolní zařízení</t>
  </si>
  <si>
    <t xml:space="preserve">příspěvky a dotace vlastní: na provoz MŠ </t>
  </si>
  <si>
    <t xml:space="preserve">                                            na údržbu MŠ </t>
  </si>
  <si>
    <t xml:space="preserve">                                            na investice</t>
  </si>
  <si>
    <r>
      <rPr>
        <sz val="10"/>
        <rFont val="Arial CE"/>
      </rPr>
      <t xml:space="preserve">             v tom:  </t>
    </r>
    <r>
      <rPr>
        <b/>
        <i/>
        <sz val="10"/>
        <rFont val="Arial CE"/>
      </rPr>
      <t>MŠ Sady</t>
    </r>
    <r>
      <rPr>
        <sz val="10"/>
        <rFont val="Arial CE"/>
      </rPr>
      <t xml:space="preserve"> (org. 305)</t>
    </r>
  </si>
  <si>
    <t xml:space="preserve">                               - příspěvek na provoz, včetně energií 850, včetně odpisů z nemovitého majetku </t>
  </si>
  <si>
    <t xml:space="preserve">                              </t>
  </si>
  <si>
    <r>
      <rPr>
        <sz val="10"/>
        <rFont val="Arial CE"/>
      </rPr>
      <t xml:space="preserve">                               - příspěvek na údržbu </t>
    </r>
    <r>
      <rPr>
        <sz val="9"/>
        <rFont val="Arial CE"/>
      </rPr>
      <t>(oprava střešních svodů MŠ Revoluční a zásaků vody do kanalizace, oprava venkovního schodiště - zahradad Sm.sady, orpava chodníků na zaahradě MŠ Revoluční, malování a nátěry, oprava terasy MŠ Revoluční ) při zapojení FI 100</t>
    </r>
  </si>
  <si>
    <r>
      <rPr>
        <sz val="10"/>
        <rFont val="Arial CE"/>
      </rPr>
      <t xml:space="preserve">                               - příspěvek na investice</t>
    </r>
    <r>
      <rPr>
        <sz val="9"/>
        <rFont val="Arial CE"/>
      </rPr>
      <t xml:space="preserve"> (revitalizace zahrady MŠ Smetanovy sady, elektroinstalace MŠ Jiráskova-havarijní stav, rekonstrukce vzduchotechniky MŠ Jiráskova)</t>
    </r>
  </si>
  <si>
    <r>
      <rPr>
        <b/>
        <i/>
        <sz val="10"/>
        <rFont val="Arial CE"/>
      </rPr>
      <t xml:space="preserve">                          MŠ Máj</t>
    </r>
    <r>
      <rPr>
        <sz val="10"/>
        <rFont val="Arial CE"/>
      </rPr>
      <t xml:space="preserve"> (org. 307)</t>
    </r>
  </si>
  <si>
    <t xml:space="preserve">                               - příspěvek na provoz, včetně energií 1270, včetně odpisů z nemovitého majetku </t>
  </si>
  <si>
    <r>
      <rPr>
        <sz val="10"/>
        <rFont val="Arial CE"/>
      </rPr>
      <t xml:space="preserve">                               - příspěvek na údržbu </t>
    </r>
    <r>
      <rPr>
        <sz val="9"/>
        <rFont val="Arial CE"/>
      </rPr>
      <t>(malování a nátěry, oprava plotu, výměna podlahových krytin, PD sanace sušárny a prádelny MŠ Vančurova, zajištění dešťové mřížky okapů u MŠ Jubilejní, oprava výtahu) při zapojení FR a FI 170</t>
    </r>
  </si>
  <si>
    <r>
      <rPr>
        <sz val="10"/>
        <rFont val="Arial CE"/>
      </rPr>
      <t xml:space="preserve">                               - příspěvek na investice</t>
    </r>
    <r>
      <rPr>
        <sz val="9"/>
        <rFont val="Arial CE"/>
      </rPr>
      <t xml:space="preserve"> (myčka ) zapojení FI 50</t>
    </r>
  </si>
  <si>
    <r>
      <rPr>
        <sz val="10"/>
        <rFont val="Arial CE"/>
      </rPr>
      <t xml:space="preserve">                          </t>
    </r>
    <r>
      <rPr>
        <b/>
        <i/>
        <sz val="10"/>
        <rFont val="Arial CE"/>
      </rPr>
      <t>MŠ Trojlístek</t>
    </r>
    <r>
      <rPr>
        <sz val="10"/>
        <rFont val="Arial CE"/>
      </rPr>
      <t xml:space="preserve"> (org. 309)</t>
    </r>
  </si>
  <si>
    <r>
      <rPr>
        <sz val="10"/>
        <rFont val="Arial CE"/>
      </rPr>
      <t xml:space="preserve">                               - příspěvek na údržbu </t>
    </r>
    <r>
      <rPr>
        <sz val="9"/>
        <rFont val="Arial CE"/>
      </rPr>
      <t>(oprava plotu MŠ Kom - poslední etapa, oprava kuchyněk a parapetů MŠ Máchova, oprava výtahu MŠ Máchova, výměna podlahových krytin, malování a nátěry, oprava sprchy MŠ Beskydská, ochranný val proti zatečení MŠ Beskydská)</t>
    </r>
  </si>
  <si>
    <r>
      <rPr>
        <sz val="10"/>
        <rFont val="Arial CE"/>
      </rPr>
      <t xml:space="preserve">                               - příspěvek na investice </t>
    </r>
    <r>
      <rPr>
        <sz val="9"/>
        <rFont val="Arial CE"/>
      </rPr>
      <t xml:space="preserve">(PD rekonstrukce elektroinstalace MŠ Máchova, myčka) </t>
    </r>
    <r>
      <rPr>
        <sz val="10"/>
        <rFont val="Arial CE"/>
      </rPr>
      <t>zapojení FI 50</t>
    </r>
  </si>
  <si>
    <t>Základní školy</t>
  </si>
  <si>
    <t xml:space="preserve">rezerva+vyhodnocení žáků </t>
  </si>
  <si>
    <t xml:space="preserve">příspěvky vlastní: na provoz ZŠ </t>
  </si>
  <si>
    <t xml:space="preserve">                             na údržbu ZŠ </t>
  </si>
  <si>
    <t xml:space="preserve">                             na investice</t>
  </si>
  <si>
    <r>
      <rPr>
        <sz val="10"/>
        <rFont val="Arial CE"/>
      </rPr>
      <t xml:space="preserve">              v tom:  </t>
    </r>
    <r>
      <rPr>
        <b/>
        <i/>
        <sz val="10"/>
        <rFont val="Arial CE"/>
      </rPr>
      <t xml:space="preserve">ZŠ Jubilejní </t>
    </r>
    <r>
      <rPr>
        <sz val="10"/>
        <rFont val="Arial CE"/>
      </rPr>
      <t xml:space="preserve">celkem (org. 321) </t>
    </r>
  </si>
  <si>
    <t xml:space="preserve">                              - příspěvek na provoz, včetně energií 3700, včetně odpisů z nemovitého majetku </t>
  </si>
  <si>
    <r>
      <rPr>
        <sz val="10"/>
        <rFont val="Arial CE"/>
      </rPr>
      <t xml:space="preserve">                              - přísp.na údržbu</t>
    </r>
    <r>
      <rPr>
        <sz val="9"/>
        <rFont val="Arial CE"/>
      </rPr>
      <t xml:space="preserve"> (Jubilejní: malování a nátěry, stabilizace střešního pláště proti větru, ZŠ Dlouhá: PD sanace havraijní stav ve ŠJ, malování a nátěry, vnitřní obložení stěn šatny, úprava podlahy v tělocvičně)</t>
    </r>
  </si>
  <si>
    <r>
      <rPr>
        <sz val="10"/>
        <rFont val="Arial CE"/>
      </rPr>
      <t xml:space="preserve">                              - příspěvek na investice </t>
    </r>
    <r>
      <rPr>
        <sz val="9"/>
        <rFont val="Arial CE"/>
      </rPr>
      <t xml:space="preserve">(Jubilejní: rek. školního hřiště, zpracování žádosti, rekonstukce učeben dílen, náklady související s dotací IROP, plynový kotel ve ŠJ, krouhač zeleniny, objednávkový systém ŠJ, Dlouhá: PD rekonstrukce výtahu a bezbariérovosti budovy) při </t>
    </r>
    <r>
      <rPr>
        <sz val="10"/>
        <rFont val="Arial CE"/>
      </rPr>
      <t>zapojení FI 300</t>
    </r>
  </si>
  <si>
    <r>
      <rPr>
        <sz val="10"/>
        <rFont val="Arial CE"/>
      </rPr>
      <t xml:space="preserve">              v tom:  </t>
    </r>
    <r>
      <rPr>
        <b/>
        <i/>
        <sz val="10"/>
        <rFont val="Arial CE"/>
      </rPr>
      <t xml:space="preserve">ZŠ Komenského 66 </t>
    </r>
    <r>
      <rPr>
        <sz val="10"/>
        <rFont val="Arial CE"/>
      </rPr>
      <t>(org. 322)</t>
    </r>
  </si>
  <si>
    <t xml:space="preserve">                              - příspěvek na provoz, včetně energií 1700, včetně odpisů z nemovitého majetku </t>
  </si>
  <si>
    <r>
      <rPr>
        <sz val="10"/>
        <rFont val="Arial CE"/>
      </rPr>
      <t xml:space="preserve">                              - příspěvek na údržbu </t>
    </r>
    <r>
      <rPr>
        <sz val="9"/>
        <rFont val="Arial CE"/>
      </rPr>
      <t>(malování a nátěry, čištění fasády, výměna plechových podhledů v přízemí, oprava výtahu, zapojení FR a FI 320)</t>
    </r>
  </si>
  <si>
    <r>
      <rPr>
        <sz val="10"/>
        <rFont val="Arial CE"/>
      </rPr>
      <t xml:space="preserve">                              - příspěvek na investice </t>
    </r>
    <r>
      <rPr>
        <sz val="9"/>
        <rFont val="Arial CE"/>
      </rPr>
      <t xml:space="preserve">(spoluúčast města na projektu IROP, modernizace odborné učebny F, Ch, Z,) </t>
    </r>
  </si>
  <si>
    <r>
      <rPr>
        <sz val="10"/>
        <rFont val="Arial CE"/>
      </rPr>
      <t xml:space="preserve">                          </t>
    </r>
    <r>
      <rPr>
        <b/>
        <i/>
        <sz val="10"/>
        <rFont val="Arial CE"/>
      </rPr>
      <t>ZŠ Komenského 68</t>
    </r>
    <r>
      <rPr>
        <sz val="10"/>
        <rFont val="Arial CE"/>
      </rPr>
      <t xml:space="preserve"> (org. 323)</t>
    </r>
  </si>
  <si>
    <t xml:space="preserve">                              - příspěvek na provoz, včetně energií 1400, včetně odpisů z nemovitého majetku </t>
  </si>
  <si>
    <r>
      <rPr>
        <sz val="10"/>
        <rFont val="Arial CE"/>
      </rPr>
      <t xml:space="preserve">                              - příspěvek na údržbu </t>
    </r>
    <r>
      <rPr>
        <sz val="9"/>
        <rFont val="Arial CE"/>
      </rPr>
      <t>(oprava elektroinstalace-poslední etapa,</t>
    </r>
    <r>
      <rPr>
        <sz val="9"/>
        <rFont val="Arial CE"/>
      </rPr>
      <t>oprava ZTI</t>
    </r>
    <r>
      <rPr>
        <sz val="9"/>
        <rFont val="Arial CE"/>
      </rPr>
      <t>, malování a nátěry, oprava podlah) při zapojení FR 45</t>
    </r>
  </si>
  <si>
    <r>
      <rPr>
        <sz val="10"/>
        <rFont val="Arial CE"/>
      </rPr>
      <t xml:space="preserve">                             - příspěvek na investice</t>
    </r>
    <r>
      <rPr>
        <sz val="9"/>
        <rFont val="Arial CE"/>
      </rPr>
      <t xml:space="preserve"> (spoluúčast na projektu  IROP Digitalizace k Hitech.výuce, konvektomat) -při zapojení FI 160</t>
    </r>
  </si>
  <si>
    <r>
      <rPr>
        <sz val="10"/>
        <rFont val="Arial CE"/>
      </rPr>
      <t xml:space="preserve">                         </t>
    </r>
    <r>
      <rPr>
        <b/>
        <i/>
        <sz val="10"/>
        <rFont val="Arial CE"/>
      </rPr>
      <t xml:space="preserve">ZŠ Tyršova </t>
    </r>
    <r>
      <rPr>
        <sz val="10"/>
        <rFont val="Arial CE"/>
      </rPr>
      <t>(org. 325)</t>
    </r>
  </si>
  <si>
    <t xml:space="preserve">                             - příspěvek na provoz (vč. Montessori 250), vč.energií 2000, vč.odpisů z nem.majetku</t>
  </si>
  <si>
    <r>
      <rPr>
        <sz val="10"/>
        <rFont val="Arial CE"/>
      </rPr>
      <t xml:space="preserve">                             - příspěvek na údržbu</t>
    </r>
    <r>
      <rPr>
        <sz val="9"/>
        <rFont val="Arial CE"/>
      </rPr>
      <t xml:space="preserve"> (malování a nátěry)</t>
    </r>
  </si>
  <si>
    <t xml:space="preserve">                             - příspěvek na investice (myčka, server a diskové pole) </t>
  </si>
  <si>
    <t>Střediska volného času</t>
  </si>
  <si>
    <r>
      <rPr>
        <sz val="10"/>
        <rFont val="Arial CE"/>
      </rPr>
      <t xml:space="preserve">z toho: </t>
    </r>
    <r>
      <rPr>
        <b/>
        <i/>
        <sz val="10"/>
        <rFont val="Arial CE"/>
      </rPr>
      <t>SVČ Fokus</t>
    </r>
  </si>
  <si>
    <t xml:space="preserve">                  - příspěvek na provoz, včetně energií 670, včetně odpisů z nemovitého majetku </t>
  </si>
  <si>
    <t xml:space="preserve">                  - příspěvek na údržbu (oprava podlah v posilovně)</t>
  </si>
  <si>
    <r>
      <rPr>
        <sz val="10"/>
        <rFont val="Arial CE"/>
      </rPr>
      <t xml:space="preserve">                  - příspěvek na investice </t>
    </r>
    <r>
      <rPr>
        <sz val="9"/>
        <rFont val="Arial CE"/>
      </rPr>
      <t xml:space="preserve">(revitalizace projektu ITI+spoluúčast+zateplení nástavby části budovy (876 tis.Kč) , zrcadlová stěna, PD na ohřev teplé vody) zapojení FI 140 </t>
    </r>
  </si>
  <si>
    <r>
      <rPr>
        <b/>
        <sz val="10"/>
        <rFont val="Arial CE"/>
      </rPr>
      <t>Ostatní tělovýchovná činnost</t>
    </r>
    <r>
      <rPr>
        <sz val="10"/>
        <rFont val="Arial CE"/>
      </rPr>
      <t xml:space="preserve"> </t>
    </r>
  </si>
  <si>
    <t>416 - Kultura</t>
  </si>
  <si>
    <r>
      <rPr>
        <b/>
        <sz val="10"/>
        <rFont val="Arial CE"/>
      </rPr>
      <t xml:space="preserve">Divadelní činnost - </t>
    </r>
    <r>
      <rPr>
        <b/>
        <i/>
        <sz val="10"/>
        <rFont val="Arial CE"/>
      </rPr>
      <t>Beskydské divadlo</t>
    </r>
    <r>
      <rPr>
        <b/>
        <sz val="9"/>
        <rFont val="Arial CE"/>
      </rPr>
      <t xml:space="preserve"> </t>
    </r>
    <r>
      <rPr>
        <sz val="9"/>
        <rFont val="Arial CE"/>
      </rPr>
      <t>(org. 504)</t>
    </r>
  </si>
  <si>
    <t xml:space="preserve">z toho: příspěvek na provoz, včetně energií 2000, včetně odpisů z nemovitého majetku </t>
  </si>
  <si>
    <r>
      <rPr>
        <sz val="10"/>
        <rFont val="Arial CE"/>
      </rPr>
      <t xml:space="preserve">             příspěvek na údržbu </t>
    </r>
    <r>
      <rPr>
        <sz val="9"/>
        <rFont val="Arial CE"/>
      </rPr>
      <t xml:space="preserve">(zesílení stropních desek ve výchovní části přístavby vč.stav. úprav, oprava vzduchotechniky) při zapojení FI 200 </t>
    </r>
  </si>
  <si>
    <t xml:space="preserve">          - příspěvek na investice </t>
  </si>
  <si>
    <t>Ostatní záležitosti kultury</t>
  </si>
  <si>
    <r>
      <rPr>
        <sz val="10"/>
        <rFont val="Arial CE"/>
      </rPr>
      <t xml:space="preserve">z toho: osadní výbory </t>
    </r>
    <r>
      <rPr>
        <sz val="9"/>
        <rFont val="Arial CE"/>
      </rPr>
      <t>(Žilina, Straník, Bludovice, Kojetín, Loučka)</t>
    </r>
  </si>
  <si>
    <t xml:space="preserve">             kronika, služby, materiál, pohoštění, dar, ocenění osobností, ples, poplatky OSA a INTEGRAM atd.)</t>
  </si>
  <si>
    <t>Zachování a obnova kulturních památek</t>
  </si>
  <si>
    <r>
      <rPr>
        <sz val="10"/>
        <rFont val="Arial CE"/>
      </rPr>
      <t>z toho: dohody (</t>
    </r>
    <r>
      <rPr>
        <sz val="9"/>
        <rFont val="Arial CE"/>
      </rPr>
      <t>odborné texty na tabulky)</t>
    </r>
  </si>
  <si>
    <t xml:space="preserve">             Instalace a vytvoření tabulek s QR kódy ke kulturním památkám (domy a sochy)</t>
  </si>
  <si>
    <t xml:space="preserve">             Propagace v rámci EHD (vlajky a jiné), postřiky hradebních zdí, vč. likvidace náletů </t>
  </si>
  <si>
    <t xml:space="preserve">             Drobné opravy poškození, očištění soch a restaurování křížů, Kaple v Janáčkových sadech-úprava po fixaci maleb, oprva hradební zdi (ve dvoře HoteluPraha)</t>
  </si>
  <si>
    <t>Pořízení, zachování a obnova hodnot místního historického povědomí</t>
  </si>
  <si>
    <r>
      <rPr>
        <sz val="10"/>
        <rFont val="Arial CE"/>
      </rPr>
      <t xml:space="preserve">z toho: </t>
    </r>
    <r>
      <rPr>
        <sz val="9"/>
        <rFont val="Arial CE"/>
      </rPr>
      <t xml:space="preserve"> oprava křížů a kaplí </t>
    </r>
  </si>
  <si>
    <r>
      <rPr>
        <sz val="10"/>
        <rFont val="Arial CE"/>
      </rPr>
      <t xml:space="preserve">            elektrická energie </t>
    </r>
    <r>
      <rPr>
        <sz val="9"/>
        <rFont val="Arial CE"/>
      </rPr>
      <t xml:space="preserve">(zvonění kaple Kojetín, Bludovice) </t>
    </r>
  </si>
  <si>
    <t>Zájmová činnost v kultuře</t>
  </si>
  <si>
    <t>z toho: Osvětová beseda Straník</t>
  </si>
  <si>
    <r>
      <rPr>
        <sz val="10"/>
        <rFont val="Arial CE"/>
      </rPr>
      <t xml:space="preserve">z toho: </t>
    </r>
    <r>
      <rPr>
        <b/>
        <i/>
        <sz val="10"/>
        <rFont val="Arial CE"/>
      </rPr>
      <t>Městské kulturní středisko</t>
    </r>
    <r>
      <rPr>
        <b/>
        <sz val="10"/>
        <rFont val="Arial CE"/>
      </rPr>
      <t xml:space="preserve"> </t>
    </r>
    <r>
      <rPr>
        <sz val="9"/>
        <rFont val="Arial CE"/>
      </rPr>
      <t>(org. 501)</t>
    </r>
  </si>
  <si>
    <t xml:space="preserve">           -  příspěvek na provoz MěKS a Kina Květen, vč.energií 1350, vč.odpisů z nem.majetku 175 </t>
  </si>
  <si>
    <t xml:space="preserve">                                     včetně Novojičínského kulturního léta a Slavností města </t>
  </si>
  <si>
    <r>
      <rPr>
        <sz val="10"/>
        <rFont val="Arial CE"/>
      </rPr>
      <t xml:space="preserve">          -  příspěvek na investice </t>
    </r>
    <r>
      <rPr>
        <sz val="9"/>
        <rFont val="Arial CE"/>
      </rPr>
      <t>auto)</t>
    </r>
  </si>
  <si>
    <r>
      <rPr>
        <sz val="10"/>
        <rFont val="Arial CE"/>
      </rPr>
      <t xml:space="preserve">           -  příspěvek na údržbu </t>
    </r>
    <r>
      <rPr>
        <sz val="9"/>
        <rFont val="Arial CE"/>
      </rPr>
      <t xml:space="preserve">(oprava vstupu knihovny a části budovy garáže proti vzlínání vlhkosti, oprava asfaltové plochy před pódiem amfiteátru Skalky,oprava správního domku-pouze PD, přečalounění sedaček v kině, oprava digitálního projektoru , oprava plechového krytu v chodníkovém tělese u kina, oprava proskleného vnitřního prostoru kina) při zapojení FI 600 </t>
    </r>
  </si>
  <si>
    <t>Ostatní záležitosti kultury, církví a sdělovacích prostředků</t>
  </si>
  <si>
    <t>z toho: výdaje na občanské záležitosti (včetně vítání občánků a jubileí)</t>
  </si>
  <si>
    <t>441 - Dotace, návratné finanční výpomoci a dary cizím subjektům</t>
  </si>
  <si>
    <t>Dotace, návratné finanční výpomoci a dary cizím subjektům</t>
  </si>
  <si>
    <t>z toho: podpora celoroční činnosti v kulturní oblasti (org. 1121)</t>
  </si>
  <si>
    <t xml:space="preserve">            podpora jednorázových kulturních akcí (org. 1122)</t>
  </si>
  <si>
    <t xml:space="preserve">            podpora sportovní činnosti dospělých nad 20 let (org. 1131)</t>
  </si>
  <si>
    <t xml:space="preserve">            podpora sportovní činnosti dětí a mládeže do 20 let (org. 1132)</t>
  </si>
  <si>
    <t xml:space="preserve">            podpora jednorázových sportovních akcí (org. 1133)</t>
  </si>
  <si>
    <t xml:space="preserve">            podpora provozu, údržby a oprava sportovišť a sportovních zařízení (org. 1134)</t>
  </si>
  <si>
    <t xml:space="preserve">            podpora ostatního sportu mládeže do 20 let (org. 1136)</t>
  </si>
  <si>
    <t xml:space="preserve">            podpora výkonostního sportu dospělých nad 20 let (org. 1137)</t>
  </si>
  <si>
    <t xml:space="preserve">            podpora celoroční činnosti v oblasti využití volného času (org. 1141)</t>
  </si>
  <si>
    <t xml:space="preserve">            podpora jednorázových akcí v oblasti využití volného času (org. 1142)</t>
  </si>
  <si>
    <t xml:space="preserve">            podpora na zachování a obnovu kulturních památek (org. 1150)</t>
  </si>
  <si>
    <r>
      <rPr>
        <sz val="10"/>
        <rFont val="Arial CE"/>
      </rPr>
      <t xml:space="preserve">            mimořádné dotace a dary (org. 1180): </t>
    </r>
    <r>
      <rPr>
        <sz val="9"/>
        <rFont val="Arial CE"/>
      </rPr>
      <t>MŠ Beruška 165, ZŠ Galaxie 220 a MŠ Bludovice 33,816 -všechny 3 subjekty na úhradu režijních nákladů na stravování dětí včetně dovozu, ZO ČSOP Bartošovice 90 záchrana handicapovaných zvířat, Česká křesťanská akademie 15, rezerva 100</t>
    </r>
  </si>
  <si>
    <t>ORJ 018 - Městská policie</t>
  </si>
  <si>
    <t xml:space="preserve">Bezpečnost a veřejný pořádek </t>
  </si>
  <si>
    <r>
      <rPr>
        <sz val="10"/>
        <rFont val="Arial CE"/>
      </rPr>
      <t>z toho</t>
    </r>
    <r>
      <rPr>
        <b/>
        <sz val="10"/>
        <rFont val="Arial CE"/>
      </rPr>
      <t xml:space="preserve"> provoz:</t>
    </r>
    <r>
      <rPr>
        <sz val="10"/>
        <rFont val="Arial CE"/>
      </rPr>
      <t xml:space="preserve"> platy</t>
    </r>
    <r>
      <rPr>
        <sz val="9"/>
        <rFont val="Arial CE"/>
      </rPr>
      <t xml:space="preserve"> 16 000, zák.odvody 3 968 + 1 440 ochr.pomůcky 0, zdrav.pomůcky 2, výstroj 275, knihy, časopisy a tisk 1, DHM 151, materiál 127,5 včetně prevence kriminality, elektř.10, PHM 240, služby pošt 1, telekomunikace 242, nájemné 30, konzultace  porad.služby 3, školení 27, konference 2, služby 579, opravy a udrž. 283, služby zpracování dat 80, cestovné 7, neinv.přísp.a náhrady-prac.úrazy 50, kolky 10, náhrady za nemoc 100,</t>
    </r>
    <r>
      <rPr>
        <sz val="10"/>
        <rFont val="Arial CE"/>
      </rPr>
      <t xml:space="preserve"> správní poplatky 6, </t>
    </r>
    <r>
      <rPr>
        <b/>
        <sz val="10"/>
        <rFont val="Arial CE"/>
      </rPr>
      <t xml:space="preserve">investice: </t>
    </r>
    <r>
      <rPr>
        <sz val="9"/>
        <rFont val="Arial CE"/>
      </rPr>
      <t>radiostanice</t>
    </r>
  </si>
  <si>
    <t>ORJ 019 - Odbor organizační</t>
  </si>
  <si>
    <r>
      <rPr>
        <b/>
        <sz val="10"/>
        <rFont val="Arial CE"/>
      </rPr>
      <t xml:space="preserve">Ochrana obyvatelstva </t>
    </r>
    <r>
      <rPr>
        <sz val="9"/>
        <rFont val="Arial CE"/>
      </rPr>
      <t>(letáky+uživat.příručky 1, DHM 80, zpracování dat-data hosting, GSM přenosy 25, systém varování před povodněmi-hladinoměry dle servisní smlouvy 23, opravy a udržování systému varování před povodněmi 40)</t>
    </r>
  </si>
  <si>
    <r>
      <rPr>
        <b/>
        <sz val="10"/>
        <rFont val="Arial CE"/>
      </rPr>
      <t xml:space="preserve">Činnost ost. orgánů státní správy v oblasti civil.nouzového hospod. </t>
    </r>
    <r>
      <rPr>
        <sz val="9"/>
        <rFont val="Arial CE"/>
      </rPr>
      <t>(čerpá se jen při živelních pohromách: přikrývky 50, písek+pytle+... 70, zabezpečení chodu evak.středisek 3, teplo 3, elektrická energie 4, PHM 10, služby: ubytovací,stravovací,dopravní,... 60)</t>
    </r>
  </si>
  <si>
    <r>
      <rPr>
        <b/>
        <sz val="10"/>
        <rFont val="Arial CE"/>
      </rPr>
      <t xml:space="preserve">Ostatní správa v oblasti krizového řízení </t>
    </r>
    <r>
      <rPr>
        <sz val="9"/>
        <rFont val="Arial CE"/>
      </rPr>
      <t>(PHM do elektrocentrály 1, služby 2, materiál 1, knihy+učební pomůcky+tisk 1) - čerpá se jen v mimořádných událostech</t>
    </r>
  </si>
  <si>
    <r>
      <rPr>
        <b/>
        <sz val="10"/>
        <rFont val="Arial CE"/>
      </rPr>
      <t xml:space="preserve">Požární ochrana - profesionální část </t>
    </r>
    <r>
      <rPr>
        <sz val="9"/>
        <rFont val="Arial CE"/>
      </rPr>
      <t>(příspěvek HZS MSK dle smlouvy zvýšené o inflaci-předpoklad 2,7 %)</t>
    </r>
  </si>
  <si>
    <r>
      <rPr>
        <b/>
        <sz val="10"/>
        <rFont val="Arial CE"/>
      </rPr>
      <t xml:space="preserve">Požární ochrana - dobrovolná část </t>
    </r>
    <r>
      <rPr>
        <sz val="9"/>
        <rFont val="Arial CE"/>
      </rPr>
      <t>(pro hasiče Straník: OOPP 6, DHM - hadice a proudnice, svítilny na přilby 250, materiál 5, PHM 18, služby+internet 3,6, školení 3, nákup služeb-technické prohlídky vozidel, měření emisí, výměna pneu,... 10, opravy a udržování-příprava na STK, drobné opravy vozového parku 35, cestovné 2)</t>
    </r>
  </si>
  <si>
    <t xml:space="preserve">Činnost místní správy </t>
  </si>
  <si>
    <r>
      <rPr>
        <sz val="9"/>
        <rFont val="Arial CE"/>
      </rPr>
      <t xml:space="preserve">z toho </t>
    </r>
    <r>
      <rPr>
        <b/>
        <sz val="9"/>
        <rFont val="Arial CE"/>
      </rPr>
      <t>provoz</t>
    </r>
    <r>
      <rPr>
        <sz val="9"/>
        <rFont val="Arial CE"/>
      </rPr>
      <t>: činnost místní správy-</t>
    </r>
    <r>
      <rPr>
        <b/>
        <sz val="9"/>
        <rFont val="Arial CE"/>
      </rPr>
      <t>org.381</t>
    </r>
    <r>
      <rPr>
        <sz val="9"/>
        <rFont val="Arial CE"/>
      </rPr>
      <t xml:space="preserve"> v tom: odměny za užití duševního vlastnictví-OSA 40, ochranné pomůcky - OOPP pro nové zaměstnance a obměna stávajících 100, léky a zdrav.materiál 32,5, knihy+učební pomůcky+tisk 100, Novojičínský zpravodaj 500, drobný hmotný majetek-nábytek a vybavení velké zas.míst. 1600, náb. kanc úředníci 500, mobily, skartovačky, kan.židle, skříně, police 380, podlah.krytiny 200, zařiz. předm. WC radnice 30, vybavení kuchyňky Div. 8 50, materiál-kancelářský, hygienický, čistící, doručovací, ikebana, automobily-mazadla, nemrznoucí směsi,... 1075, voda 350, teplo 2100, elektr.energie 1500, pevná paliva 1, PHM 150, služby pošt 1700, telekomun.71, nájemné 126, právní služby 435,6, služby BOZP 72,6, bezplatné právní služby pro veřejnost 50, psychologické poradenství k výběrovým řízením 20, zpracování dat 260, služby vč. úklidu,servisu kopírek, vozidel, nové logo města, elektrorevize, servis vozidel 3215, opravy a udržování - malování, nátěry oken a dveří 870, výměna dlažby ve vchodu Radnice 400, oprava kanalizace garáže Div. 8 100, výměna oken Úzká 1000, oprava soc. zařízení radnice 1500, velká zas. místnost + kancelář tajemníka 700, ostatní opravy 1000, pohoštění 200, ostatní nákupy (čl. přísp. auditorů a tajemníků) 4,5, kolky 1, daně a poplatky vč. dálničních známek 21, ostatní výdaje 2.</t>
    </r>
  </si>
  <si>
    <r>
      <rPr>
        <sz val="9"/>
        <rFont val="Arial CE"/>
      </rPr>
      <t>z toho</t>
    </r>
    <r>
      <rPr>
        <b/>
        <sz val="9"/>
        <rFont val="Arial CE"/>
      </rPr>
      <t xml:space="preserve"> investice: </t>
    </r>
    <r>
      <rPr>
        <sz val="9"/>
        <rFont val="Arial CE"/>
      </rPr>
      <t>činnost místní správy-</t>
    </r>
    <r>
      <rPr>
        <b/>
        <sz val="9"/>
        <rFont val="Arial CE"/>
      </rPr>
      <t>org.381:</t>
    </r>
    <r>
      <rPr>
        <sz val="9"/>
        <rFont val="Arial CE"/>
      </rPr>
      <t xml:space="preserve"> PD na zpracování vstupu do budovy na ul. Div. 1 (vestibul a kantýna) 150, projekt na paternoster 100, PD na sociální zař. Divadelní 8 80, studie využitelnosti dvorní části radnice 150</t>
    </r>
  </si>
  <si>
    <r>
      <rPr>
        <u/>
        <sz val="9"/>
        <rFont val="Arial CE"/>
      </rPr>
      <t xml:space="preserve">Úsek informatiky </t>
    </r>
    <r>
      <rPr>
        <sz val="9"/>
        <rFont val="Arial CE"/>
      </rPr>
      <t xml:space="preserve">- </t>
    </r>
    <r>
      <rPr>
        <b/>
        <sz val="9"/>
        <rFont val="Arial CE"/>
      </rPr>
      <t>provoz - org.3381</t>
    </r>
    <r>
      <rPr>
        <sz val="9"/>
        <rFont val="Arial CE"/>
      </rPr>
      <t xml:space="preserve"> (v tom: drobný hmotný majetek-nové PC a LCD monitory, notebooky, kopírky, tiskárny, nákup a instalace nového plátna do auly, web kamera - nový HW, Free wifi Div. 8, drobné síťové prvky, UPS, nový plotr 870, materiál 365, nájemné 40, školení 20, služby zpracování dat 3912,4, ost.služby-znalecké posudky, osvědčení 50, opravy a udržování 580, nákup softwaru 140.</t>
    </r>
  </si>
  <si>
    <r>
      <rPr>
        <u/>
        <sz val="9"/>
        <rFont val="Arial CE"/>
      </rPr>
      <t>Úsek informatiky</t>
    </r>
    <r>
      <rPr>
        <b/>
        <sz val="9"/>
        <rFont val="Arial CE"/>
      </rPr>
      <t xml:space="preserve"> </t>
    </r>
    <r>
      <rPr>
        <sz val="9"/>
        <rFont val="Arial CE"/>
      </rPr>
      <t xml:space="preserve">- </t>
    </r>
    <r>
      <rPr>
        <b/>
        <sz val="9"/>
        <rFont val="Arial CE"/>
      </rPr>
      <t>investice - org.3381</t>
    </r>
    <r>
      <rPr>
        <sz val="9"/>
        <rFont val="Arial CE"/>
      </rPr>
      <t xml:space="preserve"> programové vybavení- antivir, SW TC zálohování 101, vyvolávací systém - rozšíření 20, eko webové stránky 0, rozvoj GIS 350, nový IS 2000; elektronická úřední deska 600.</t>
    </r>
  </si>
  <si>
    <r>
      <rPr>
        <sz val="10"/>
        <rFont val="Arial CE"/>
      </rPr>
      <t>Chata Jičínka-</t>
    </r>
    <r>
      <rPr>
        <b/>
        <sz val="10"/>
        <rFont val="Arial CE"/>
      </rPr>
      <t>org.4381</t>
    </r>
    <r>
      <rPr>
        <sz val="10"/>
        <rFont val="Arial CE"/>
      </rPr>
      <t xml:space="preserve"> </t>
    </r>
    <r>
      <rPr>
        <sz val="9"/>
        <rFont val="Arial CE"/>
      </rPr>
      <t xml:space="preserve">(v tom: drobný hmotný majetek 50, materiál 10, voda 15, elektr.energie 140, PHM 1, služby-praní, odpady,... 50, opravy a udržování 50, místní poplatky 17, </t>
    </r>
    <r>
      <rPr>
        <b/>
        <sz val="9"/>
        <rFont val="Arial CE"/>
      </rPr>
      <t>investice:</t>
    </r>
    <r>
      <rPr>
        <sz val="9"/>
        <rFont val="Arial CE"/>
      </rPr>
      <t xml:space="preserve"> další etapa - úprava stropu, podlah, elektronistalace, zpevnění základů)</t>
    </r>
  </si>
  <si>
    <r>
      <rPr>
        <sz val="10"/>
        <rFont val="Arial CE"/>
      </rPr>
      <t>Mobilní telefony-</t>
    </r>
    <r>
      <rPr>
        <b/>
        <sz val="10"/>
        <rFont val="Arial CE"/>
      </rPr>
      <t>org.7381</t>
    </r>
  </si>
  <si>
    <r>
      <rPr>
        <sz val="10"/>
        <rFont val="Arial CE"/>
      </rPr>
      <t>Pevné telefony-</t>
    </r>
    <r>
      <rPr>
        <b/>
        <sz val="10"/>
        <rFont val="Arial CE"/>
      </rPr>
      <t>org.8381</t>
    </r>
  </si>
  <si>
    <r>
      <rPr>
        <sz val="10"/>
        <rFont val="Arial CE"/>
      </rPr>
      <t>Dotace na OSPOD-</t>
    </r>
    <r>
      <rPr>
        <b/>
        <sz val="10"/>
        <rFont val="Arial CE"/>
      </rPr>
      <t>org. 1385</t>
    </r>
    <r>
      <rPr>
        <sz val="10"/>
        <rFont val="Arial CE"/>
      </rPr>
      <t xml:space="preserve"> </t>
    </r>
    <r>
      <rPr>
        <sz val="9"/>
        <rFont val="Arial CE"/>
      </rPr>
      <t xml:space="preserve">(v tom: knihy 6, DHM 46, materiál 17, PHM 23, služby telekomunikací 12, zpracování dat 72,6, ostatní služby 24) </t>
    </r>
  </si>
  <si>
    <r>
      <rPr>
        <b/>
        <sz val="10"/>
        <rFont val="Arial CE"/>
      </rPr>
      <t>Pojištění funkčně nespecifikované</t>
    </r>
    <r>
      <rPr>
        <sz val="9"/>
        <rFont val="Arial CE"/>
      </rPr>
      <t xml:space="preserve"> (pojištění 1300, náhrady za nezpůsobenou újmu 50)</t>
    </r>
  </si>
  <si>
    <t>ORJ 919 - Odbor kancelář vedení města</t>
  </si>
  <si>
    <r>
      <rPr>
        <b/>
        <sz val="10"/>
        <rFont val="Arial CE"/>
      </rPr>
      <t>Zastupitelstva obcí</t>
    </r>
    <r>
      <rPr>
        <sz val="9"/>
        <rFont val="Arial CE"/>
      </rPr>
      <t xml:space="preserve"> (ost.platy-refundace mzdy 25, odměny členů ZM 7150, zák.odvody 942,4+643,5, refund.zák.odvodů 12, školení a vzdělávání pro uvolněné ZM 8, parkovné 0,5, cestovné (ubytování a doprava) 15, pohoštění 75, poplatky na konference 5, ošatné-svatby 40, dary 30)</t>
    </r>
  </si>
  <si>
    <r>
      <rPr>
        <sz val="9"/>
        <rFont val="Arial CE"/>
      </rPr>
      <t>z toho provoz: činnost místní správy-</t>
    </r>
    <r>
      <rPr>
        <b/>
        <sz val="9"/>
        <rFont val="Arial CE"/>
      </rPr>
      <t>org.381</t>
    </r>
    <r>
      <rPr>
        <sz val="9"/>
        <rFont val="Arial CE"/>
      </rPr>
      <t xml:space="preserve"> v tom: platy 85000, ost.platy 10, dohody 1300, refundace 10, zák.odvody 21402,4+7767+490+1, školení a vzdělávání 1000, nákup ostatních služeb 2400, cestovné 250, poplatky na konference 20, ostatní (ošatné ceremoniářky,matrikářky,hudebníci) 260, náhrady 40, náhrady mezd v nemoci 700.</t>
    </r>
  </si>
  <si>
    <r>
      <rPr>
        <sz val="10"/>
        <rFont val="Arial CE"/>
      </rPr>
      <t>Dotace na OSPOD-</t>
    </r>
    <r>
      <rPr>
        <b/>
        <sz val="10"/>
        <rFont val="Arial CE"/>
      </rPr>
      <t>org. 1385</t>
    </r>
    <r>
      <rPr>
        <sz val="10"/>
        <rFont val="Arial CE"/>
      </rPr>
      <t xml:space="preserve"> </t>
    </r>
    <r>
      <rPr>
        <sz val="9"/>
        <rFont val="Arial CE"/>
      </rPr>
      <t>v tom: platy 5600,dohody 24, zák.odvody 1406+506,16, školení 120, cestovné 13</t>
    </r>
  </si>
  <si>
    <r>
      <rPr>
        <b/>
        <sz val="10"/>
        <rFont val="Arial CE"/>
      </rPr>
      <t>Sociální fond</t>
    </r>
    <r>
      <rPr>
        <sz val="10"/>
        <rFont val="Arial CE"/>
      </rPr>
      <t xml:space="preserve"> </t>
    </r>
    <r>
      <rPr>
        <sz val="9"/>
        <rFont val="Arial CE"/>
      </rPr>
      <t xml:space="preserve">(nájemné-aktivity odborů 60,7 , stravování 2269,8, nákup ost. služeb - akce odborové org. 160 , rekreace zaměstnanců 1165,5, pohoštění-setkání zaměstnanců+bývalých zaměstnanců 100 , ošatné uvolnění ZM+pověření neuvolnění ZM 90 , dary obyvatelstvu při úmrtí zaměstnance nebo člena rodiny 100, jubilea 94, penzijní a životní pojištění zaměstn. 1860 + investice z ORJ 019 ze zůstatku SF 300) </t>
    </r>
  </si>
  <si>
    <t>Převody vlastním fondům v rozpočtech územní úrovně</t>
  </si>
  <si>
    <t>528 - Sociální věci</t>
  </si>
  <si>
    <t>Dopravní obslužnost mimo veřejnou službu - BST (org. 5555)</t>
  </si>
  <si>
    <r>
      <rPr>
        <b/>
        <sz val="10"/>
        <rFont val="Arial CE"/>
      </rPr>
      <t xml:space="preserve">Nebytové hospodářství </t>
    </r>
    <r>
      <rPr>
        <sz val="9"/>
        <rFont val="Arial CE"/>
      </rPr>
      <t>(Sokolovská 9: drobný hmotný majetek 2, materiál 1, služby 1)</t>
    </r>
  </si>
  <si>
    <r>
      <rPr>
        <b/>
        <sz val="10"/>
        <rFont val="Arial CE"/>
      </rPr>
      <t xml:space="preserve">Pohřebnictví </t>
    </r>
    <r>
      <rPr>
        <sz val="9"/>
        <rFont val="Arial CE"/>
      </rPr>
      <t>(úhrada sociálních pohřbů)</t>
    </r>
  </si>
  <si>
    <t xml:space="preserve">Ostatní sociální péče a pomoc dětem a mládeži </t>
  </si>
  <si>
    <t>z toho: věcné dary/nákup materiálu (státní příspěvek na výkon OSPOD) ÚZ 13011, org. 1385</t>
  </si>
  <si>
    <t xml:space="preserve">             terapeutické pobyty pro děti ze sociálně znevýhodněného prostředí</t>
  </si>
  <si>
    <t xml:space="preserve">             odvod výživného 2019</t>
  </si>
  <si>
    <r>
      <rPr>
        <b/>
        <sz val="10"/>
        <rFont val="Arial CE"/>
      </rPr>
      <t xml:space="preserve">Ostatní sociální péče a pomoc rodině a manželství </t>
    </r>
    <r>
      <rPr>
        <sz val="10"/>
        <rFont val="Arial CE"/>
      </rPr>
      <t>(výkon pěstounské péče)</t>
    </r>
  </si>
  <si>
    <t xml:space="preserve">             nákup služeb (státní příspěvek na výkon pěstounské péče) ÚZ 13010</t>
  </si>
  <si>
    <t>Sociální rehabilitace</t>
  </si>
  <si>
    <r>
      <rPr>
        <b/>
        <sz val="10"/>
        <rFont val="Arial CE"/>
      </rPr>
      <t xml:space="preserve">             </t>
    </r>
    <r>
      <rPr>
        <sz val="10"/>
        <rFont val="Arial CE"/>
      </rPr>
      <t>neinvestiční transfery krajům (smlouva o závazku vůči MSK) ÚZ 00030</t>
    </r>
  </si>
  <si>
    <t>Ostatní sociální péče a pomoc ostatním skupinám obyvatelstva</t>
  </si>
  <si>
    <t>z toho: nákup služeb - Komunitní plánování (org. 0439)</t>
  </si>
  <si>
    <t xml:space="preserve">             komunitní plánování  II. - Efektivní systém plánování soc.služeb v NJ (org.1441)</t>
  </si>
  <si>
    <t>Podpora samostatného bydlení</t>
  </si>
  <si>
    <t xml:space="preserve">             neinvestiční transfery krajům (smlouva o závazku vůči MSK) ÚZ 00030</t>
  </si>
  <si>
    <t>Sociálně aktivizační služby pro rodiny s dětmi</t>
  </si>
  <si>
    <t>Azylové domy, nízkoprahová denní centra a noclehárny</t>
  </si>
  <si>
    <t>Ostatní služby a činnosti v oblasti sociální prevence</t>
  </si>
  <si>
    <t>z toho:   Klub seniorů Nový Jičín (org. 383)</t>
  </si>
  <si>
    <t xml:space="preserve">             Klub seniorů Straník (org. 2383)</t>
  </si>
  <si>
    <t xml:space="preserve">             Klub seniorů Loučka (org. 3383)</t>
  </si>
  <si>
    <t xml:space="preserve">             Kavárničky - setkání seniorů v DPS (org. 3393)</t>
  </si>
  <si>
    <r>
      <rPr>
        <b/>
        <sz val="10"/>
        <rFont val="Arial CE"/>
      </rPr>
      <t xml:space="preserve">Záležitosti soc. věcí a politiky nezaměstn. j.n. </t>
    </r>
    <r>
      <rPr>
        <sz val="9"/>
        <rFont val="Arial CE"/>
      </rPr>
      <t xml:space="preserve">(nákup tiskopisů receptů a žádanek na omamné látky, průkazy BST) </t>
    </r>
  </si>
  <si>
    <t xml:space="preserve">Rezerva </t>
  </si>
  <si>
    <t>541 - Dotace, návratné finanční výpomoci a dary cizím subjektům</t>
  </si>
  <si>
    <t>Dotace, návratné finanční výpomoci a dary cizím subjektům celkem:</t>
  </si>
  <si>
    <t>z toho: podpora celoroční činnosti v oblasti sociální (org. 1111)</t>
  </si>
  <si>
    <t xml:space="preserve">             podpora jednorázových akcí v oblasti sociální (org. 1112)</t>
  </si>
  <si>
    <t xml:space="preserve">             podpora sociálních služeb dle zákona o soc.službách (org. 1113)</t>
  </si>
  <si>
    <t xml:space="preserve">             podpora občanů města v pobytových soc. zařízeních (org. 1114)</t>
  </si>
  <si>
    <t xml:space="preserve">             podpora domácí hospicové péče (org. 1115)</t>
  </si>
  <si>
    <t xml:space="preserve">             podpora dobrovolnictví dle zákona o dobrovolnické službě (org. 1116)</t>
  </si>
  <si>
    <t xml:space="preserve">             dary obyvatelstvu - dobrovolní dárci krve (org. 1180)</t>
  </si>
  <si>
    <t xml:space="preserve">             individuální dotace a dary (org. 1180)</t>
  </si>
  <si>
    <t>ORJ 029 - ProSenior Nový Jičín</t>
  </si>
  <si>
    <t>Osobní asistence, pečovatelská služba a podpora samostatného bydlení</t>
  </si>
  <si>
    <r>
      <rPr>
        <sz val="9"/>
        <rFont val="Arial CE"/>
      </rPr>
      <t xml:space="preserve">z toho </t>
    </r>
    <r>
      <rPr>
        <b/>
        <sz val="9"/>
        <rFont val="Arial CE"/>
      </rPr>
      <t>Pečovatelská služba (org.390)</t>
    </r>
    <r>
      <rPr>
        <sz val="9"/>
        <rFont val="Arial CE"/>
      </rPr>
      <t xml:space="preserve">: platy 3920+650, dohody 60, zákonné odvody 972+158, 355+75, potraviny 1, ochranné osobní pomůcky 40, léky+zdrav.mater.3, prádlo+oděv 2, knihy+tisk 1,5, DHM  50, materiál  72,1, elektř. 50, PHM 120, služby telekomunikací 18, mobily 12, pevné linky 2, školení a vzdělávání 50, zpracování dat 18, služby 50, opravy a udržování 90, cestovné 20, účastnické poplatky na konference 8, ostatní nákupy 0, neinvestiční transfery spolkům 2,9, náhrady mezd v době nemoci 35     </t>
    </r>
  </si>
  <si>
    <r>
      <rPr>
        <sz val="9"/>
        <rFont val="Arial CE"/>
      </rPr>
      <t xml:space="preserve">z toho </t>
    </r>
    <r>
      <rPr>
        <b/>
        <sz val="9"/>
        <rFont val="Arial CE"/>
      </rPr>
      <t>Denní stacionář=Domovinka (org.1391)</t>
    </r>
    <r>
      <rPr>
        <sz val="9"/>
        <rFont val="Arial CE"/>
      </rPr>
      <t>: platy 900 310, dohody 10, zákonné odvody221+81 80+28, ochr.os.pomůcky 8, prádlo+oděv 1,5, knihy+tisk 1, DHM 10, materiál 12, elektrická energie 10, služby telekomunikací 1,3, školení a vzdělávání 10, zpracování dat 5, služby 33, opravy a údržba 5, cestovné 1, účastn.popl.na konferencích 0,5, náhrady mezd v době nemoci   11</t>
    </r>
  </si>
  <si>
    <r>
      <rPr>
        <sz val="9"/>
        <rFont val="Arial CE"/>
      </rPr>
      <t xml:space="preserve">z toho </t>
    </r>
    <r>
      <rPr>
        <b/>
        <sz val="9"/>
        <rFont val="Arial CE"/>
      </rPr>
      <t>Pohoda (org.1393)</t>
    </r>
    <r>
      <rPr>
        <sz val="9"/>
        <rFont val="Arial CE"/>
      </rPr>
      <t xml:space="preserve">: platy 2 800+604, dohody 200, zákonné odvody 685+150 250+54,5, OOP+oděvy 20+5, DHM 40, materiál 36, elektř.12, telef. 1,3, školení a vzdělávání 18, zpracování dat 15, služby 6, opravy a údržba 7, cestovné 1, poplatky na konference 0,5, náhrady v době nemoci  25                                               </t>
    </r>
  </si>
  <si>
    <t xml:space="preserve">Ozdravování hospodářských zvířat </t>
  </si>
  <si>
    <r>
      <rPr>
        <b/>
        <sz val="10"/>
        <rFont val="Arial CE"/>
      </rPr>
      <t xml:space="preserve">Pěstební činnost </t>
    </r>
    <r>
      <rPr>
        <sz val="9"/>
        <rFont val="Arial CE"/>
      </rPr>
      <t>(znovuzalesnění po kůrovci) - TSM: 0</t>
    </r>
  </si>
  <si>
    <t>Správa v lesním hospodářství</t>
  </si>
  <si>
    <r>
      <rPr>
        <b/>
        <sz val="10"/>
        <rFont val="Arial CE"/>
      </rPr>
      <t xml:space="preserve">Celospolečenské funkce lesů </t>
    </r>
    <r>
      <rPr>
        <sz val="9"/>
        <rFont val="Arial CE"/>
      </rPr>
      <t>(cesty a svážnice+oprava kamenného divadla)</t>
    </r>
  </si>
  <si>
    <t xml:space="preserve">Ostatní záležitosti lesního hospodářství </t>
  </si>
  <si>
    <r>
      <rPr>
        <b/>
        <sz val="10"/>
        <rFont val="Arial CE"/>
      </rPr>
      <t xml:space="preserve">Ostatní správa ve vodním hospodářství </t>
    </r>
    <r>
      <rPr>
        <sz val="9"/>
        <rFont val="Arial CE"/>
      </rPr>
      <t>(havárie)</t>
    </r>
  </si>
  <si>
    <r>
      <rPr>
        <b/>
        <sz val="10"/>
        <rFont val="Arial CE"/>
      </rPr>
      <t>Sběr a svoz nebezpečných odpadů</t>
    </r>
    <r>
      <rPr>
        <b/>
        <sz val="9"/>
        <rFont val="Arial CE"/>
      </rPr>
      <t xml:space="preserve"> </t>
    </r>
    <r>
      <rPr>
        <sz val="9"/>
        <rFont val="Arial CE"/>
      </rPr>
      <t>(TSM: 50)</t>
    </r>
  </si>
  <si>
    <t xml:space="preserve">Sběr a svoz komunálních odpadů </t>
  </si>
  <si>
    <t>z toho: TSM - příspěvek na provoz</t>
  </si>
  <si>
    <t xml:space="preserve">            ostatní provoz město</t>
  </si>
  <si>
    <r>
      <rPr>
        <sz val="10"/>
        <rFont val="Arial CE"/>
      </rPr>
      <t xml:space="preserve">z toho: TSM příspěvek na investice </t>
    </r>
    <r>
      <rPr>
        <sz val="8"/>
        <rFont val="Arial CE"/>
      </rPr>
      <t>(</t>
    </r>
    <r>
      <rPr>
        <sz val="9"/>
        <rFont val="Arial CE"/>
      </rPr>
      <t>auto, vany, PD zprůjezdnění, unimobuňka)</t>
    </r>
  </si>
  <si>
    <r>
      <rPr>
        <b/>
        <sz val="10"/>
        <rFont val="Arial CE"/>
      </rPr>
      <t xml:space="preserve">Monitoring půdy a podzemní vody </t>
    </r>
    <r>
      <rPr>
        <sz val="9"/>
        <rFont val="Arial CE"/>
      </rPr>
      <t xml:space="preserve">(sledování vrtů na Kojetíně) </t>
    </r>
  </si>
  <si>
    <r>
      <rPr>
        <b/>
        <sz val="10"/>
        <rFont val="Arial CE"/>
      </rPr>
      <t>Chráněné části přírody</t>
    </r>
    <r>
      <rPr>
        <sz val="9"/>
        <rFont val="Arial CE"/>
      </rPr>
      <t xml:space="preserve"> (památné stromy, významné krajinné prvky)</t>
    </r>
  </si>
  <si>
    <t>Rekultivace půdy</t>
  </si>
  <si>
    <t>Péče o vzhled obcí a veřejnou zeleň</t>
  </si>
  <si>
    <t>z toho: akce + Zelené město 150</t>
  </si>
  <si>
    <r>
      <rPr>
        <sz val="10"/>
        <rFont val="Arial CE"/>
      </rPr>
      <t xml:space="preserve">             údržba zeleně - </t>
    </r>
    <r>
      <rPr>
        <sz val="9"/>
        <rFont val="Arial CE"/>
      </rPr>
      <t>TSM</t>
    </r>
  </si>
  <si>
    <t xml:space="preserve">                                     - ostatní (OŽP)</t>
  </si>
  <si>
    <r>
      <rPr>
        <sz val="10"/>
        <rFont val="Arial CE"/>
      </rPr>
      <t xml:space="preserve">             příspěvek na investice TSM pro rok 2021 </t>
    </r>
    <r>
      <rPr>
        <sz val="8"/>
        <rFont val="Arial CE"/>
      </rPr>
      <t xml:space="preserve">(nakladač, demolice skladu, revitalizace středista veřejné zeleně, demolice regulačních stanic) </t>
    </r>
  </si>
  <si>
    <t>Ekologická výchova a osvěta</t>
  </si>
  <si>
    <r>
      <rPr>
        <b/>
        <sz val="10"/>
        <rFont val="Arial CE"/>
      </rPr>
      <t xml:space="preserve">Ostatní ekologické záležitosti </t>
    </r>
    <r>
      <rPr>
        <sz val="9"/>
        <rFont val="Arial CE"/>
      </rPr>
      <t>(zpracování Adaptační strategie na změnu klimatu)</t>
    </r>
  </si>
  <si>
    <t xml:space="preserve">ORJ 037 - Odbor bytový </t>
  </si>
  <si>
    <r>
      <rPr>
        <b/>
        <sz val="10"/>
        <rFont val="Arial"/>
      </rPr>
      <t>Střední odborné školy</t>
    </r>
    <r>
      <rPr>
        <sz val="10"/>
        <rFont val="Arial"/>
      </rPr>
      <t xml:space="preserve"> </t>
    </r>
    <r>
      <rPr>
        <sz val="9"/>
        <rFont val="Arial"/>
      </rPr>
      <t>(EDUCA) - běžné opravy 100, zápočet investic a nájmu 275</t>
    </r>
  </si>
  <si>
    <t>Sportovní zařízení v majetku obce</t>
  </si>
  <si>
    <r>
      <rPr>
        <b/>
        <i/>
        <sz val="10"/>
        <rFont val="Arial"/>
      </rPr>
      <t xml:space="preserve">   </t>
    </r>
    <r>
      <rPr>
        <b/>
        <i/>
        <u/>
        <sz val="10"/>
        <rFont val="Arial"/>
      </rPr>
      <t>Sportovní hala s bazénem:</t>
    </r>
    <r>
      <rPr>
        <i/>
        <sz val="10"/>
        <rFont val="Arial"/>
      </rPr>
      <t xml:space="preserve"> org. 0515, 1515, 2515, 3515</t>
    </r>
  </si>
  <si>
    <t>z toho: investice celkem</t>
  </si>
  <si>
    <r>
      <rPr>
        <sz val="10"/>
        <rFont val="Arial"/>
      </rPr>
      <t xml:space="preserve">             - venkovní </t>
    </r>
    <r>
      <rPr>
        <b/>
        <sz val="10"/>
        <rFont val="Arial"/>
      </rPr>
      <t>bazén</t>
    </r>
    <r>
      <rPr>
        <sz val="10"/>
        <rFont val="Arial"/>
      </rPr>
      <t xml:space="preserve"> org. 2515 (vybudování kamenného koberce) </t>
    </r>
  </si>
  <si>
    <t xml:space="preserve">             - generální úprava dámských a pánských sprch  (finance převedeny z 5171)</t>
  </si>
  <si>
    <t xml:space="preserve">             - podlaha basketbalové haly - PD + realizace (za předpokladu dotace MŠMT a spoluúčast města)</t>
  </si>
  <si>
    <t xml:space="preserve">             - zpracování PD rekonstrukce vnitřního bazénu</t>
  </si>
  <si>
    <t>z toho: opravy a udržování celkem (znal.posudky,služby+opravy+údržba)</t>
  </si>
  <si>
    <t xml:space="preserve">             - v tom: výměna žaluzie v přívodním tunelu vzduchotechniky s předehřevem vzduchu</t>
  </si>
  <si>
    <t xml:space="preserve">                          nepředvídané opravy</t>
  </si>
  <si>
    <t xml:space="preserve">                          PD - střecha dešťové svody</t>
  </si>
  <si>
    <t xml:space="preserve">                          oprava tobogánu - venkovní bazén</t>
  </si>
  <si>
    <t xml:space="preserve">                          oprava dětského brouzdaliště - venkovní bazén</t>
  </si>
  <si>
    <t xml:space="preserve">                          dohoda o narovnání Ridera Stavební, a.s.</t>
  </si>
  <si>
    <t>z toho: provoz celkem</t>
  </si>
  <si>
    <r>
      <rPr>
        <sz val="10"/>
        <rFont val="Arial"/>
      </rPr>
      <t xml:space="preserve">          - dotace Basketbalovému klubu, z.s. (provoz+energie)          AÚ 437  </t>
    </r>
    <r>
      <rPr>
        <sz val="8"/>
        <rFont val="Arial"/>
      </rPr>
      <t>navyšeno o 600 tis. - koberec</t>
    </r>
  </si>
  <si>
    <t xml:space="preserve">          - elektřina - přečerpávací šachta</t>
  </si>
  <si>
    <t xml:space="preserve">          - SBI - zabezpečovací systém MP</t>
  </si>
  <si>
    <r>
      <rPr>
        <b/>
        <i/>
        <sz val="10"/>
        <rFont val="Arial"/>
      </rPr>
      <t xml:space="preserve">   </t>
    </r>
    <r>
      <rPr>
        <b/>
        <i/>
        <u/>
        <sz val="10"/>
        <rFont val="Arial"/>
      </rPr>
      <t>Zimní stadión</t>
    </r>
    <r>
      <rPr>
        <b/>
        <i/>
        <sz val="10"/>
        <rFont val="Arial"/>
      </rPr>
      <t>: org. 0522</t>
    </r>
  </si>
  <si>
    <t xml:space="preserve">             - rekonstrukce střechy - realizace rekonstrukce (příslib ZM 3.6.2019  = 56 mil. Kč)</t>
  </si>
  <si>
    <t xml:space="preserve">             - Cvičná brankářská střelnice pro hokejisty - PD a realizace</t>
  </si>
  <si>
    <t xml:space="preserve">             - dotace Hokejovému klubu, z.s. (provoz+energie)         AÚ 437</t>
  </si>
  <si>
    <t xml:space="preserve">             - SBI - zabezpečovací systém MP</t>
  </si>
  <si>
    <t xml:space="preserve">             - dodání mantinelů minihokej, stacionárních laviček, boxy na sezení do kabin (inventář položka 6122)</t>
  </si>
  <si>
    <t xml:space="preserve">z toho: opravy a udržování celkem </t>
  </si>
  <si>
    <t xml:space="preserve">            - nepředvídatelné výdaje </t>
  </si>
  <si>
    <t xml:space="preserve">            - oprava venkovních schodů a opěrné zídky </t>
  </si>
  <si>
    <t xml:space="preserve">            - oprava kanalizační přípojky - 60 m</t>
  </si>
  <si>
    <t>Bytové hospodářství</t>
  </si>
  <si>
    <t xml:space="preserve">             Bytový dům K archívu 2, NJ - PD pro realizaci </t>
  </si>
  <si>
    <t xml:space="preserve">             Pořízení EPS v DPS Revoluční 6 (požární hlásiče s napojením na pult centrální ochrany na MP)</t>
  </si>
  <si>
    <t xml:space="preserve">             Na Lani 212 -  2019 = PD na revitalizaci bytového domu,  2020 = realizace akce</t>
  </si>
  <si>
    <t xml:space="preserve">             Jičínská  272 - PD na revitalizaci bytového domu </t>
  </si>
  <si>
    <t xml:space="preserve">             Jičínská  275 - PD na revitalizaci bytového domu </t>
  </si>
  <si>
    <t xml:space="preserve">             Zborovská 11 revitalizace bytového domu, relizace akce včetně zasklení lodžií vč. dozorů - dotace 5.992.790,43</t>
  </si>
  <si>
    <t xml:space="preserve">             Na Lani 212  revitalizace bytového domu,  realizace akce vč. Dozorů- dotace 3.605.622,22</t>
  </si>
  <si>
    <t xml:space="preserve">             Bytový dům K Archivu 2, NJ - realizace dle PD (2021-2022) vč. dozorů (úvěr)</t>
  </si>
  <si>
    <t xml:space="preserve">                             Trlicova 59 - PD revitalizace bytového domu</t>
  </si>
  <si>
    <t xml:space="preserve">             Masarykovo 15 - (bývalý bytový podnik) - zpracování PD na vybudování cca 5 bytů  a střechy dle studie</t>
  </si>
  <si>
    <t xml:space="preserve">z toho: opravy a údržba celkem  </t>
  </si>
  <si>
    <t xml:space="preserve">             Bytový fond města - společné opravy:  </t>
  </si>
  <si>
    <t xml:space="preserve">                          - generální opravy volných bytů (vrácené byty zdevastované nebo po exekucích) - Rámcová smlouva 23 mil.Kč/4 roky</t>
  </si>
  <si>
    <t xml:space="preserve">                          - generální opravy bytů v MPR</t>
  </si>
  <si>
    <t xml:space="preserve">                          - výměna bytových vodoměrů teplé a studené vody </t>
  </si>
  <si>
    <r>
      <rPr>
        <sz val="10"/>
        <rFont val="Arial"/>
      </rPr>
      <t xml:space="preserve">             </t>
    </r>
    <r>
      <rPr>
        <b/>
        <i/>
        <sz val="10"/>
        <rFont val="Arial"/>
      </rPr>
      <t>úsek 1 (p. Najvarová):</t>
    </r>
    <r>
      <rPr>
        <sz val="10"/>
        <rFont val="Arial"/>
      </rPr>
      <t xml:space="preserve">  - navýšeno o úsek Pavelky</t>
    </r>
  </si>
  <si>
    <t xml:space="preserve">                          - běžná údržba a opravy, výměny zař. předmětů </t>
  </si>
  <si>
    <t xml:space="preserve">                          - akce úsek 1 celkem:</t>
  </si>
  <si>
    <t xml:space="preserve">                             Suvorovova 120+122 - výmalba sp. prostor, oprava omítek chodby a schodiště, výměna PVC na schodišti </t>
  </si>
  <si>
    <t xml:space="preserve">                             Dlouhá 19 - oprava celé střechny (havarijní stav)</t>
  </si>
  <si>
    <r>
      <rPr>
        <sz val="10"/>
        <rFont val="Arial"/>
      </rPr>
      <t xml:space="preserve">             </t>
    </r>
    <r>
      <rPr>
        <b/>
        <i/>
        <sz val="10"/>
        <rFont val="Arial"/>
      </rPr>
      <t>úsek 2 (p. Bartoňová):</t>
    </r>
    <r>
      <rPr>
        <sz val="10"/>
        <rFont val="Arial"/>
      </rPr>
      <t xml:space="preserve"> </t>
    </r>
  </si>
  <si>
    <t xml:space="preserve">                          - akce úsek 2 celkem:</t>
  </si>
  <si>
    <t xml:space="preserve">                             DPS Revoluční 6 - oprava balkónů a soklu dle PD (2019 = dům č. 4, 2020 = domy č. 2 + 6)</t>
  </si>
  <si>
    <t xml:space="preserve">                             DPS Pod Lipami 19 - výměna digestoří ve všech bytech + odvětrání koupelen</t>
  </si>
  <si>
    <t xml:space="preserve">                             DPS Pod Lipami, Revoluční, U Jičínky - porevizní opravy hromosvodů </t>
  </si>
  <si>
    <t xml:space="preserve">                             DPS U Jičínky - oprava střechy (havarijní stav) </t>
  </si>
  <si>
    <t xml:space="preserve">                             DPS Pod Lipami - oprava balkónů havárie (40ks) I. Etapa vč. P</t>
  </si>
  <si>
    <r>
      <rPr>
        <sz val="10"/>
        <rFont val="Arial"/>
      </rPr>
      <t xml:space="preserve">             </t>
    </r>
    <r>
      <rPr>
        <b/>
        <i/>
        <sz val="10"/>
        <rFont val="Arial"/>
      </rPr>
      <t>úsek 3 (p. Pavelka):</t>
    </r>
  </si>
  <si>
    <t xml:space="preserve">                          - běžná údržba, nepředvídatelné opravy</t>
  </si>
  <si>
    <r>
      <rPr>
        <sz val="10"/>
        <rFont val="Arial"/>
      </rPr>
      <t xml:space="preserve">            </t>
    </r>
    <r>
      <rPr>
        <b/>
        <i/>
        <sz val="10"/>
        <rFont val="Arial"/>
      </rPr>
      <t xml:space="preserve"> úsek 4 - MPR (p. Saksová):  </t>
    </r>
  </si>
  <si>
    <t xml:space="preserve">                         - běžná údržba a opravy, výměny zařizovacích předmětů </t>
  </si>
  <si>
    <t xml:space="preserve">                         - akce úsek 4 celkem: </t>
  </si>
  <si>
    <t xml:space="preserve">                                      Dobrovského 5 - oprava pilířů a podloubí</t>
  </si>
  <si>
    <t xml:space="preserve">                                      MN 8/8 - oprava fasády  </t>
  </si>
  <si>
    <t xml:space="preserve">                                      Havlíčkova 8 - izolace spodní stavby proti vodě a vlhkosti</t>
  </si>
  <si>
    <t xml:space="preserve">                                      Havlíčkova 11 - částečná oprava fasády do výšky 1. patra</t>
  </si>
  <si>
    <t xml:space="preserve">                                      Úzká 17 - oprava + nátěr fasády, výměna vchodových dveří</t>
  </si>
  <si>
    <t xml:space="preserve">                                      Resslova 1 - výměna oken a oprava fasády PD </t>
  </si>
  <si>
    <t xml:space="preserve">                                      Opravy obsazených bytů (dle žádostí nájemců) </t>
  </si>
  <si>
    <t xml:space="preserve">             Bytový dům K Archívu 2 - opravy a údržba - org. 7518</t>
  </si>
  <si>
    <t xml:space="preserve">             domovníci (mzdy a odvody, AÚ 0800)</t>
  </si>
  <si>
    <r>
      <rPr>
        <sz val="10"/>
        <rFont val="Arial"/>
      </rPr>
      <t xml:space="preserve">             </t>
    </r>
    <r>
      <rPr>
        <b/>
        <sz val="10"/>
        <rFont val="Arial"/>
      </rPr>
      <t>služby</t>
    </r>
    <r>
      <rPr>
        <sz val="10"/>
        <rFont val="Arial"/>
      </rPr>
      <t xml:space="preserve"> org. 0518 + 7518 (projektové dokumentace na opravy, úklidy,revize,výtahy, hasící technika,odečty,poruch.služba,fekálie,deratizace,čištění kanalizace,komíny, SBI - revize EPS EZS,...)</t>
    </r>
  </si>
  <si>
    <t xml:space="preserve">             příspěvek do fondu oprav v SVJ (kotelny Vančurova 16) (AÚ 0437, pol. 5192)</t>
  </si>
  <si>
    <r>
      <rPr>
        <sz val="10"/>
        <rFont val="Arial"/>
      </rPr>
      <t xml:space="preserve">             náklady na </t>
    </r>
    <r>
      <rPr>
        <b/>
        <sz val="10"/>
        <rFont val="Arial"/>
      </rPr>
      <t>energie</t>
    </r>
    <r>
      <rPr>
        <sz val="10"/>
        <rFont val="Arial"/>
      </rPr>
      <t xml:space="preserve"> v bytových domech (vodné + stočné, teplo + TUV, plyn, elektřina)</t>
    </r>
  </si>
  <si>
    <t xml:space="preserve">             TSM  - požadavky Redmine, OB příspěvek - AÚ 0437, po. 5169</t>
  </si>
  <si>
    <t>Nebytové hospodářství</t>
  </si>
  <si>
    <t>Investice celkem:</t>
  </si>
  <si>
    <t xml:space="preserve">              Hückelovy vily (práce spojené s odstraněním dřevomorky) - dotace 4 mil. Kč - průběžně čerpáno</t>
  </si>
  <si>
    <t xml:space="preserve">              Hückelovy vily - zpracování studií vily J. Hückela, aktualizace vily  A. Hückela, studie areálu, spoluúčast na dotačních titulech</t>
  </si>
  <si>
    <t xml:space="preserve">              Kulturní a společenský dům PD - II.etapa příslib ZM 3.6.2019 = 44 mil. Kč)</t>
  </si>
  <si>
    <t xml:space="preserve">              Kulturní dům - vybudování trafostanice pro KD</t>
  </si>
  <si>
    <t xml:space="preserve">              Výletní lokalita Čerťák (novostavba kiosku a zázemí)</t>
  </si>
  <si>
    <t xml:space="preserve">              MŠ Bludovice - vybudování ČOV</t>
  </si>
  <si>
    <t xml:space="preserve">              Příspěvek na investice TSM (elektroinstalace-dílna oprav, montáž 4 ks sekčních vrat, rok 2021 ) - AÚ 0800, pol. 6331</t>
  </si>
  <si>
    <t xml:space="preserve">              Vybudování Spolkového domu Žilina</t>
  </si>
  <si>
    <t xml:space="preserve">              Hoblíkova - vybudování sestavy kontejnerů  a oprava garáže pro TS NJ vč. IS a zabezpečovacího systému </t>
  </si>
  <si>
    <t xml:space="preserve">              Suvorovova 152 - energetické úspory I. etapa = výměna oken, střecha (úvěr OF)</t>
  </si>
  <si>
    <t xml:space="preserve">              Kryté stání - rekonstrukce vnitřních prostor </t>
  </si>
  <si>
    <t xml:space="preserve">              Hotel Praha - WC u zadního vchodu PD vč.realizace </t>
  </si>
  <si>
    <t>Nákup DHDM pro org. 0518 - pol. 5137</t>
  </si>
  <si>
    <t>Nákup zboží (paragony)- pol. 5139</t>
  </si>
  <si>
    <r>
      <rPr>
        <i/>
        <sz val="10"/>
        <rFont val="Arial"/>
      </rPr>
      <t xml:space="preserve">Náklady na energie - </t>
    </r>
    <r>
      <rPr>
        <sz val="10"/>
        <rFont val="Arial"/>
      </rPr>
      <t>org. 0518, 2518, 8518, 5518</t>
    </r>
  </si>
  <si>
    <t xml:space="preserve">            - vodné a stočné (480+200+120)</t>
  </si>
  <si>
    <t xml:space="preserve">            - dodávka tepla - org. 0518</t>
  </si>
  <si>
    <t xml:space="preserve">            - plyn - org. 0518</t>
  </si>
  <si>
    <t xml:space="preserve">            - elektřina  (1500+20+80+100)</t>
  </si>
  <si>
    <t xml:space="preserve">Nákup ostatních služeb + provoz:  </t>
  </si>
  <si>
    <t>z toho: OV Žilina (PD na úpravu objektu bývalé ČOV na místnost pro zasedání OV)</t>
  </si>
  <si>
    <t xml:space="preserve">            Demolice objektů:  garáž  Žižkova, </t>
  </si>
  <si>
    <t xml:space="preserve">            Slovanská 3 - studie využitelnosti pro ZŠ Tyršova</t>
  </si>
  <si>
    <t xml:space="preserve">            služby + revize org. 0518 - nebytové domy (ČOV apod.)</t>
  </si>
  <si>
    <t xml:space="preserve">            služby + revize org. 2518 Hotel Praha (obsluha kotelny 100 + zpracování PD střecha nad kuchyní 200)převedeno na 3634</t>
  </si>
  <si>
    <t xml:space="preserve">            služby + revize  org. 5518 Kulturní a společenský dům</t>
  </si>
  <si>
    <t xml:space="preserve">            služby + revize org. 8518  Hűckelovy vily    dohody+odvody, revize EZS </t>
  </si>
  <si>
    <t xml:space="preserve">            dohody+odvody - Bludovice, Straník, Kojetín</t>
  </si>
  <si>
    <t xml:space="preserve">            provoz veřejných WC+WC u letního kina (obojí TSM 1550) AÚ 0800</t>
  </si>
  <si>
    <t xml:space="preserve">            TSM - požadavky Redmine, OB příspěvek - AÚ 0800, pol. 5169)</t>
  </si>
  <si>
    <t xml:space="preserve">            Hűckelovy vily - internetové připojení AÚ 0800, pol.5161</t>
  </si>
  <si>
    <t xml:space="preserve">            Hűckelovy vily - elektronické zabezpečení SBI + revize AÚ 0437, pol. 5169</t>
  </si>
  <si>
    <t xml:space="preserve">Opravy a údržba NP celkem </t>
  </si>
  <si>
    <t xml:space="preserve">              Příspěvek na TSM  výměna osvětlení budova TS 100.000 Kč, výměna VO v areálu 386.000 Kč) - AÚ 0800, pol. 6331</t>
  </si>
  <si>
    <t xml:space="preserve">             úsek 5 (p. Saksová):</t>
  </si>
  <si>
    <t xml:space="preserve">                         - běžné opravy a údržba:</t>
  </si>
  <si>
    <t xml:space="preserve">                         - akce úsek 5 celkem:</t>
  </si>
  <si>
    <t xml:space="preserve">                           Masarykovo nám. 15 - jídelna - oprava kuchyně a zázemí, vybudování WC </t>
  </si>
  <si>
    <t xml:space="preserve">                           Msgr. Šrámka 11 - zubní poliklinika - oprava padajících atik staré části budovy</t>
  </si>
  <si>
    <t xml:space="preserve">                           Sokolovská 9:   2020 = generální oprava střechy </t>
  </si>
  <si>
    <t xml:space="preserve">                           MN 15 - jídelna, doplnění o vzduchotechniku</t>
  </si>
  <si>
    <t xml:space="preserve">                           Dobrovského 5 - výměn oken nebytové prostory (čínská restaurace)</t>
  </si>
  <si>
    <t xml:space="preserve">                           Dolní brána 22 - rekonstrukce celé prodejny </t>
  </si>
  <si>
    <t xml:space="preserve">                           Tyršova 8 - oprava podlah, oprava radiátorů Reha komplex</t>
  </si>
  <si>
    <t xml:space="preserve">                           Sokolovská 9 - PD - fasády + sanace domu </t>
  </si>
  <si>
    <r>
      <rPr>
        <sz val="10"/>
        <rFont val="Arial"/>
      </rPr>
      <t xml:space="preserve">             </t>
    </r>
    <r>
      <rPr>
        <b/>
        <i/>
        <sz val="10"/>
        <rFont val="Arial"/>
      </rPr>
      <t>úsek 6 (p. Friedecká):</t>
    </r>
    <r>
      <rPr>
        <sz val="10"/>
        <rFont val="Arial"/>
      </rPr>
      <t xml:space="preserve"> </t>
    </r>
  </si>
  <si>
    <t xml:space="preserve">                          - běžné opravy a údržba:</t>
  </si>
  <si>
    <t xml:space="preserve">                          - akce úsek 6 celkem:</t>
  </si>
  <si>
    <t xml:space="preserve">                                      MŠ Beruška (výměna sklepních oken + 7 ks interiérových dveří)</t>
  </si>
  <si>
    <t xml:space="preserve">                                      Masarykovo nám. 29-NC (oprava sociálního zařízení v přízemí)</t>
  </si>
  <si>
    <t xml:space="preserve">                                      Msgr. Šrámka 13 - oprava el.instalace, odvlhčení objektu)</t>
  </si>
  <si>
    <t xml:space="preserve">                                      Krytá stání Loučka (nepředvídané opravy)</t>
  </si>
  <si>
    <t xml:space="preserve">                                      Hala stolního tenisu (2020 - dílčí klimatizace)</t>
  </si>
  <si>
    <t xml:space="preserve">                                      Hala stolního tenisu zadání PD na odvodnění - havarijní stav</t>
  </si>
  <si>
    <t xml:space="preserve">                                      B. Martinů 4 - stavební úpravy bývalé kotelny na sklad pro TSM)</t>
  </si>
  <si>
    <t xml:space="preserve">                                      Beskydská 274 - zadání PD odvlhčení objektu, výměna vstupních dveří</t>
  </si>
  <si>
    <t xml:space="preserve">                                      Hotel Praha běžná údržba (světlík střecha PD)</t>
  </si>
  <si>
    <t xml:space="preserve">                                      Hűcklovy vily (oprava a údržba do doby rekonstrukce)</t>
  </si>
  <si>
    <t xml:space="preserve">                                      Suvorovova 152 - energetické úspory I. etapa = výměna oken, střecha</t>
  </si>
  <si>
    <t xml:space="preserve">Osadní výbory celkem:                                                                                       </t>
  </si>
  <si>
    <t>Straník 80 (vnitřní elektroinstalace, výmalba)</t>
  </si>
  <si>
    <t>SK Straník 147 (oprava střechy)</t>
  </si>
  <si>
    <t>Bludovice 13 - 2020 = běžné opravy</t>
  </si>
  <si>
    <t>Žilina</t>
  </si>
  <si>
    <t>Kojetín 7 - dílčí oprava objektu dle projektové dokumentace</t>
  </si>
  <si>
    <r>
      <rPr>
        <b/>
        <sz val="10"/>
        <rFont val="Arial"/>
      </rPr>
      <t xml:space="preserve">Lokální zásobování teplem </t>
    </r>
    <r>
      <rPr>
        <sz val="10"/>
        <rFont val="Arial"/>
      </rPr>
      <t>(tepelné hospodářství)</t>
    </r>
  </si>
  <si>
    <t>z toho:  nákup služeb - obsluha a revize kotelny Hotelu Praha + Suvorovova 152, revize  pol. 5169</t>
  </si>
  <si>
    <t>z toho opravy:  nepředvídané opravy havárií teplovodů Smetanovy Sady a Pod Lipami</t>
  </si>
  <si>
    <t xml:space="preserve">             nepředvídané opravy tepelného hospodářství</t>
  </si>
  <si>
    <t xml:space="preserve">             opravy kotelen - sanace, opravy střechy, omítek (dosud hrazeno z 3613)</t>
  </si>
  <si>
    <t xml:space="preserve">z toho: investice celkem </t>
  </si>
  <si>
    <t xml:space="preserve">             Projektové dokumentace 4 kotelen (HP, Suvorovova 152, teplovod Nádražní, teplovod Jičínská) </t>
  </si>
  <si>
    <t xml:space="preserve">             Projektové dokumentace 4 kotelen a teplovodu  (Mendelova, Luční 2,3,4 a teplovod Loučka 6) </t>
  </si>
  <si>
    <t xml:space="preserve">             Energetické posouzení  kotelny</t>
  </si>
  <si>
    <t xml:space="preserve">             Modernizace kotelny Loučka - výměna hořáku a výměna 2 ks kotlů</t>
  </si>
  <si>
    <t xml:space="preserve">             Modernizace kotelny Bulharská - dokončení z roku 2019</t>
  </si>
  <si>
    <t xml:space="preserve">             Modernizace kotelny Vančurova</t>
  </si>
  <si>
    <t xml:space="preserve">             Modernizace kotelny v DPS U Jičínky 25 (dotace)</t>
  </si>
  <si>
    <t xml:space="preserve">             Modernizace kotelny Zimní stadion (dotace)</t>
  </si>
  <si>
    <t xml:space="preserve">             Projektová dokumentace 2 teplovodů Loučka 6, I. Etapa a II. Etapa</t>
  </si>
  <si>
    <t xml:space="preserve">             Modernizace kotelny Poděbradova (org.0516 pol.6122)</t>
  </si>
  <si>
    <t xml:space="preserve">             Modernizace kotelny Dlouhá (org.0516 pol.6122)</t>
  </si>
  <si>
    <t xml:space="preserve">             Modernizace kotelny Trlicova (org.0516 pol.6122)</t>
  </si>
  <si>
    <t xml:space="preserve">             Modernizace kotelny K Nemocnici (org.0516 pol.6122)</t>
  </si>
  <si>
    <t xml:space="preserve">             Modernizace kotelny Hotel Praha (org.0516 pol.6122)</t>
  </si>
  <si>
    <t xml:space="preserve">             Rekonstrukce teplovod ul. Nádražní 21,23,26 v úseku 140 m</t>
  </si>
  <si>
    <t xml:space="preserve">             Rekonstrukce teplovodu na ul.  Jičínská 212 a 221 v úseku 25 m</t>
  </si>
  <si>
    <t xml:space="preserve">             Dodávka 62 ks nerezových zásobníků teplé vody  do kotelen a odběrných předávacích stanic v domech</t>
  </si>
  <si>
    <t>Ostatní záležitosti bydlení, komunálních služeb a územního rozvoje</t>
  </si>
  <si>
    <t xml:space="preserve">             sklad vyklizeného nábytku - Žilina (elektřina 4, služby-vystěhování a likvidace nevyzvednutých věcí 6)</t>
  </si>
  <si>
    <r>
      <rPr>
        <b/>
        <sz val="10"/>
        <rFont val="Arial"/>
      </rPr>
      <t xml:space="preserve">Osobní asistence, pečovatelská služba a podpora samostatného bydlení </t>
    </r>
    <r>
      <rPr>
        <sz val="10"/>
        <rFont val="Arial"/>
      </rPr>
      <t>(DPS-telefony, AÚ 0800)</t>
    </r>
  </si>
  <si>
    <r>
      <rPr>
        <sz val="10"/>
        <rFont val="Arial"/>
      </rPr>
      <t>z toho: opravy a údržba celkem</t>
    </r>
    <r>
      <rPr>
        <sz val="9"/>
        <rFont val="Arial"/>
      </rPr>
      <t xml:space="preserve"> (nejnutnější akce)                                                                                     </t>
    </r>
  </si>
  <si>
    <t xml:space="preserve">            Azylový dům Nový Jičín (odvlhčení, vstupní dveře, brána)</t>
  </si>
  <si>
    <t xml:space="preserve">            Azylový dům Straník (PD - oprava vnitřních prostor)</t>
  </si>
  <si>
    <t>Činnost místní správy</t>
  </si>
  <si>
    <t>z toho: komplexní řízení energetiky - energ. management PORSENA</t>
  </si>
  <si>
    <t xml:space="preserve">           výběr dodavatele elektřiny na komoditní burze</t>
  </si>
  <si>
    <t xml:space="preserve">            Energetické audity (PENB, měření jističů)</t>
  </si>
  <si>
    <t xml:space="preserve">            Optimalizace domovních jističů a VO dle PD</t>
  </si>
  <si>
    <t xml:space="preserve">            Průkazy energetické náročnosti </t>
  </si>
  <si>
    <r>
      <rPr>
        <b/>
        <sz val="10"/>
        <rFont val="Arial CE"/>
      </rPr>
      <t xml:space="preserve">Ostatní správa v průmyslu, stavebnictví, obchodu a službách </t>
    </r>
    <r>
      <rPr>
        <sz val="9"/>
        <rFont val="Arial CE"/>
      </rPr>
      <t>(stavební úřad)</t>
    </r>
  </si>
  <si>
    <r>
      <rPr>
        <sz val="10"/>
        <rFont val="Arial CE"/>
      </rPr>
      <t xml:space="preserve">z toho: konzultační, poradenské a právní služby </t>
    </r>
    <r>
      <rPr>
        <sz val="9"/>
        <rFont val="Arial CE"/>
      </rPr>
      <t>(znalecké posudky)</t>
    </r>
  </si>
  <si>
    <r>
      <rPr>
        <sz val="10"/>
        <rFont val="Arial CE"/>
      </rPr>
      <t xml:space="preserve">             nákup ostatních služeb </t>
    </r>
    <r>
      <rPr>
        <sz val="9"/>
        <rFont val="Arial CE"/>
      </rPr>
      <t>(revize, odborné služby, doprava aj.)</t>
    </r>
  </si>
  <si>
    <t xml:space="preserve">             platby daní a poplatků státnímu rozpočtu</t>
  </si>
  <si>
    <t>vrácení peněžních prostředků (srpávní poplatek z r. 2019)</t>
  </si>
  <si>
    <t>Územní plánování</t>
  </si>
  <si>
    <t>z toho: územní studie</t>
  </si>
  <si>
    <t xml:space="preserve">            územně analytické podklady</t>
  </si>
  <si>
    <t xml:space="preserve">            změny územního plánu města</t>
  </si>
  <si>
    <t xml:space="preserve">            regulační plán (MPR NJ)</t>
  </si>
  <si>
    <t>041 - Dotace, návratné finanční výpomoci a dary cizím subjektům</t>
  </si>
  <si>
    <r>
      <rPr>
        <b/>
        <sz val="10"/>
        <rFont val="Arial CE"/>
      </rPr>
      <t xml:space="preserve">Dotace, návratné finanční výpomoci a dary cizím subjektům </t>
    </r>
    <r>
      <rPr>
        <sz val="9"/>
        <rFont val="Arial CE"/>
      </rPr>
      <t>(estetizace)</t>
    </r>
  </si>
  <si>
    <r>
      <rPr>
        <sz val="9"/>
        <rFont val="Arial CE"/>
      </rPr>
      <t>231410/741/</t>
    </r>
    <r>
      <rPr>
        <b/>
        <sz val="9"/>
        <rFont val="Arial CE"/>
      </rPr>
      <t>2219</t>
    </r>
    <r>
      <rPr>
        <sz val="9"/>
        <rFont val="Arial CE"/>
      </rPr>
      <t>/5329</t>
    </r>
  </si>
  <si>
    <r>
      <rPr>
        <b/>
        <sz val="10"/>
        <rFont val="Arial CE"/>
      </rPr>
      <t xml:space="preserve">Ostatní záležitosti pozemních komunikací </t>
    </r>
    <r>
      <rPr>
        <sz val="9"/>
        <rFont val="Arial CE"/>
      </rPr>
      <t>(členství v DSO Cyklostezka 2020: 50, 2021: 10)</t>
    </r>
  </si>
  <si>
    <r>
      <rPr>
        <sz val="9"/>
        <rFont val="Arial CE"/>
      </rPr>
      <t>231410/741/</t>
    </r>
    <r>
      <rPr>
        <b/>
        <sz val="9"/>
        <rFont val="Arial CE"/>
      </rPr>
      <t>2321</t>
    </r>
    <r>
      <rPr>
        <sz val="9"/>
        <rFont val="Arial CE"/>
      </rPr>
      <t>/5329                                                                                                                                                                                                                                                                                                                                                                                                                                                                                                                         231440/741/</t>
    </r>
    <r>
      <rPr>
        <b/>
        <sz val="9"/>
        <rFont val="Arial CE"/>
      </rPr>
      <t>2321</t>
    </r>
    <r>
      <rPr>
        <sz val="9"/>
        <rFont val="Arial CE"/>
      </rPr>
      <t>/5169</t>
    </r>
  </si>
  <si>
    <r>
      <rPr>
        <b/>
        <sz val="10"/>
        <rFont val="Arial CE"/>
      </rPr>
      <t xml:space="preserve">Odvádění odpadních vod </t>
    </r>
    <r>
      <rPr>
        <sz val="9"/>
        <rFont val="Arial CE"/>
      </rPr>
      <t>(2020: splátky úvěru 605.212,92 Kč (na pol. 8901), úrok z úvěru 12.860,75 Kč, poměrná část 25% na provoz DSO dle mandátní smlouvy 242,5,                                                                                                                                                                                                                                                                              2021: splátky úvěru 605.212,92 Kč, úrok z úvěru 6.808,62 Kč, poměrná část 25% na provoz DSO dle mandátní smlouvy 242,5)</t>
    </r>
  </si>
  <si>
    <r>
      <rPr>
        <b/>
        <sz val="10"/>
        <rFont val="Arial CE"/>
      </rPr>
      <t>Ostatní výdaje z finančního vypořádání</t>
    </r>
    <r>
      <rPr>
        <sz val="9"/>
        <rFont val="Arial CE"/>
      </rPr>
      <t xml:space="preserve"> (dopl.energií 2019 - org. 0322+0323)</t>
    </r>
  </si>
  <si>
    <r>
      <rPr>
        <b/>
        <sz val="10"/>
        <rFont val="Arial CE"/>
      </rPr>
      <t>Ostatní výdaje z finančního vypořádání</t>
    </r>
    <r>
      <rPr>
        <sz val="9"/>
        <rFont val="Arial CE"/>
      </rPr>
      <t xml:space="preserve"> (vyrovnání ztráty 2018-Beskydské divadlo)</t>
    </r>
  </si>
  <si>
    <r>
      <rPr>
        <b/>
        <sz val="10"/>
        <rFont val="Arial CE"/>
      </rPr>
      <t>Ostatní výdaje z finančního vypořádání</t>
    </r>
    <r>
      <rPr>
        <sz val="9"/>
        <rFont val="Arial CE"/>
      </rPr>
      <t xml:space="preserve"> (vyrovnání ztráty 2019-MěKS)</t>
    </r>
  </si>
  <si>
    <r>
      <rPr>
        <b/>
        <sz val="10"/>
        <rFont val="Arial CE"/>
      </rPr>
      <t>Finanční vypořádání Veolia Energie ČR</t>
    </r>
    <r>
      <rPr>
        <b/>
        <sz val="9"/>
        <rFont val="Arial CE"/>
      </rPr>
      <t xml:space="preserve"> </t>
    </r>
    <r>
      <rPr>
        <sz val="9"/>
        <rFont val="Arial CE"/>
      </rPr>
      <t>(dle fakturace skutečně odebraného množství GJ 2016-2018)</t>
    </r>
  </si>
  <si>
    <t>Komunální služby a územní rozvoj</t>
  </si>
  <si>
    <r>
      <rPr>
        <sz val="10"/>
        <rFont val="Arial CE"/>
      </rPr>
      <t xml:space="preserve">z toho: platby daní a poplatků </t>
    </r>
    <r>
      <rPr>
        <sz val="9"/>
        <rFont val="Arial CE"/>
      </rPr>
      <t>(soudní poplatky, realizace exekucí, ...)</t>
    </r>
  </si>
  <si>
    <r>
      <rPr>
        <b/>
        <sz val="10"/>
        <rFont val="Arial CE"/>
      </rPr>
      <t xml:space="preserve">Činnost místní správy </t>
    </r>
    <r>
      <rPr>
        <sz val="9"/>
        <rFont val="Arial CE"/>
      </rPr>
      <t>(2020 i 2021: daňové poradenství+odb.konzultace 200)</t>
    </r>
  </si>
  <si>
    <r>
      <rPr>
        <b/>
        <sz val="10"/>
        <rFont val="Arial CE"/>
      </rPr>
      <t>Výdaje z finančních operací</t>
    </r>
    <r>
      <rPr>
        <b/>
        <sz val="9"/>
        <rFont val="Arial CE"/>
      </rPr>
      <t xml:space="preserve"> </t>
    </r>
    <r>
      <rPr>
        <sz val="9"/>
        <rFont val="Arial CE"/>
      </rPr>
      <t>(bankovní poplatky za vedení účtů a položky)</t>
    </r>
  </si>
  <si>
    <t>Ostatní finanční operace</t>
  </si>
  <si>
    <r>
      <rPr>
        <sz val="10"/>
        <rFont val="Arial CE"/>
      </rPr>
      <t xml:space="preserve">z toho: daň z příjmů právnických osob za obec </t>
    </r>
    <r>
      <rPr>
        <sz val="9"/>
        <rFont val="Arial CE"/>
      </rPr>
      <t>(stejná výše je uvedena i v příjmech na pol. 1122)</t>
    </r>
  </si>
  <si>
    <t xml:space="preserve">             daň z přidané hodnoty za obec </t>
  </si>
  <si>
    <t xml:space="preserve">Finanční vypořádání minulých let </t>
  </si>
  <si>
    <t xml:space="preserve">z toho: vratka části nevyčerpané neinv.dotace 2019 Program na podporu zvýšení kvality soc.služeb poskytovaných v MSK </t>
  </si>
  <si>
    <t xml:space="preserve">            vratka části nevyčerpané neinv.dotace 2019 OP VVV - Šablony I - MŠ Trojlístek</t>
  </si>
  <si>
    <t xml:space="preserve">            vratka části nevyčerpané neinv.dotace 2019 OP VVV - Šablony I - ZŠ+MŠ Jub </t>
  </si>
  <si>
    <t xml:space="preserve">            vratka části nevyčerpané neinv.dotace 2019 OP VVV - Šablony I - ZŠ K68 </t>
  </si>
  <si>
    <t xml:space="preserve">            vratka části nevyčerpané neinv.dotace 2019 Efektivní systém plánování soc.služeb prostř.komunitního plán II</t>
  </si>
  <si>
    <t>Ostatní činnosti j.n.</t>
  </si>
  <si>
    <t xml:space="preserve">z toho: rozpočtová rezerva </t>
  </si>
  <si>
    <r>
      <rPr>
        <sz val="10"/>
        <rFont val="Arial CE"/>
      </rPr>
      <t xml:space="preserve">            členství města ve svazech a sdruž. </t>
    </r>
    <r>
      <rPr>
        <sz val="9"/>
        <rFont val="Arial CE"/>
      </rPr>
      <t>(org.1010): r. 2020: Partnerství pro městskou mobilitu (bývalá Asociace cykloměst) 5, MAS Lašsko 80, Národní síť zdravých měst 44,7735, Svaz měst a obcí 76,89776, Sdružení historických sídel 28,195, EUROREGION SILESIA-CZ 58,74, ...)</t>
    </r>
  </si>
  <si>
    <r>
      <t xml:space="preserve">Rozpočtová skladba                                                                                                                                                                                                                                                  </t>
    </r>
    <r>
      <rPr>
        <sz val="8"/>
        <rFont val="Arial CE"/>
      </rPr>
      <t xml:space="preserve"> ORJ/odd.par./pol./org./ÚZ/NáZ</t>
    </r>
  </si>
  <si>
    <t>Výsledky hospodaření města Nový Jičín 
za 1. pololetí 2024</t>
  </si>
  <si>
    <r>
      <t xml:space="preserve">Schválený rozpočet
1.pol.2024
</t>
    </r>
    <r>
      <rPr>
        <sz val="9"/>
        <rFont val="Arial CE"/>
      </rPr>
      <t>(v Kč)</t>
    </r>
  </si>
  <si>
    <r>
      <t xml:space="preserve">Upravený rozpočet
1.pol.2024
</t>
    </r>
    <r>
      <rPr>
        <sz val="9"/>
        <rFont val="Arial CE"/>
      </rPr>
      <t>(v Kč)</t>
    </r>
  </si>
  <si>
    <r>
      <t xml:space="preserve">Skutečnost za
1.pol. 2024
</t>
    </r>
    <r>
      <rPr>
        <sz val="9"/>
        <rFont val="Arial CE"/>
      </rPr>
      <t>v Kč</t>
    </r>
  </si>
  <si>
    <t>výpočty</t>
  </si>
  <si>
    <t>% plnění
k SR</t>
  </si>
  <si>
    <t>% plnění
k UR</t>
  </si>
  <si>
    <t>% plnění
2024/2023</t>
  </si>
  <si>
    <t>1.pol.2023</t>
  </si>
  <si>
    <t>ORJ 6xx - Odbor rozvoje a investic</t>
  </si>
  <si>
    <t>ORJ 011 - Návštěvnické centrum - město klobouků</t>
  </si>
  <si>
    <t>ORJ 035+031 - Odbor životního prostředí</t>
  </si>
  <si>
    <r>
      <t xml:space="preserve">Příjem z daně z příjmů fyzických osob placené plátci </t>
    </r>
    <r>
      <rPr>
        <sz val="9"/>
        <rFont val="Arial CE"/>
      </rPr>
      <t>(sdílená část)</t>
    </r>
    <r>
      <rPr>
        <b/>
        <sz val="10"/>
        <rFont val="Arial CE"/>
      </rPr>
      <t xml:space="preserve"> </t>
    </r>
    <r>
      <rPr>
        <sz val="10"/>
        <rFont val="Arial CE"/>
      </rPr>
      <t xml:space="preserve">                                                         </t>
    </r>
  </si>
  <si>
    <r>
      <t xml:space="preserve">Příjem z daně z příjmů fyzických osob placené plátci </t>
    </r>
    <r>
      <rPr>
        <sz val="9"/>
        <rFont val="Arial CE"/>
      </rPr>
      <t xml:space="preserve">(motivační 1,5%)            </t>
    </r>
    <r>
      <rPr>
        <sz val="10"/>
        <rFont val="Arial CE"/>
      </rPr>
      <t xml:space="preserve">                                       </t>
    </r>
  </si>
  <si>
    <r>
      <t>Příjem z daně z příjmů fyzických osob placené poplatníky</t>
    </r>
    <r>
      <rPr>
        <sz val="9"/>
        <rFont val="Arial CE"/>
      </rPr>
      <t xml:space="preserve"> (sdílená) </t>
    </r>
    <r>
      <rPr>
        <i/>
        <sz val="9"/>
        <rFont val="Arial CE"/>
      </rPr>
      <t xml:space="preserve"> </t>
    </r>
    <r>
      <rPr>
        <sz val="9"/>
        <rFont val="Arial CE"/>
      </rPr>
      <t xml:space="preserve">      </t>
    </r>
    <r>
      <rPr>
        <b/>
        <sz val="10"/>
        <rFont val="Arial CE"/>
      </rPr>
      <t xml:space="preserve">                                                   </t>
    </r>
  </si>
  <si>
    <r>
      <t xml:space="preserve">Příjem z daně z příjmů fyzických osob vybírané srážkou </t>
    </r>
    <r>
      <rPr>
        <sz val="9"/>
        <rFont val="Arial CE"/>
      </rPr>
      <t>podle zvláštní sazby daně</t>
    </r>
  </si>
  <si>
    <r>
      <t xml:space="preserve">Příjem z daně z příjmů právnických osob </t>
    </r>
    <r>
      <rPr>
        <sz val="9"/>
        <rFont val="Arial CE"/>
      </rPr>
      <t xml:space="preserve">(sdílená)        </t>
    </r>
    <r>
      <rPr>
        <b/>
        <sz val="10"/>
        <rFont val="Arial CE"/>
      </rPr>
      <t xml:space="preserve">                                                                     </t>
    </r>
    <r>
      <rPr>
        <sz val="9"/>
        <rFont val="Arial CE"/>
      </rPr>
      <t xml:space="preserve"> </t>
    </r>
  </si>
  <si>
    <r>
      <t xml:space="preserve">Příjem z daně z příjmů právnických osob v případech, kdy poplatníkem je obec, s výjimkou daně vybírané srážkou podle zvláštní sazby daně </t>
    </r>
    <r>
      <rPr>
        <sz val="9"/>
        <rFont val="Arial CE"/>
      </rPr>
      <t>(100% za město NJ)</t>
    </r>
  </si>
  <si>
    <r>
      <t xml:space="preserve">Příjem z daně z přidané hodnoty </t>
    </r>
    <r>
      <rPr>
        <sz val="9"/>
        <rFont val="Arial CE"/>
      </rPr>
      <t xml:space="preserve">(sdílená) </t>
    </r>
    <r>
      <rPr>
        <b/>
        <sz val="9"/>
        <rFont val="Arial CE"/>
      </rPr>
      <t xml:space="preserve">           </t>
    </r>
    <r>
      <rPr>
        <b/>
        <sz val="10"/>
        <rFont val="Arial CE"/>
      </rPr>
      <t xml:space="preserve">                                                                                  </t>
    </r>
    <r>
      <rPr>
        <b/>
        <sz val="9"/>
        <rFont val="Arial CE"/>
      </rPr>
      <t xml:space="preserve"> </t>
    </r>
  </si>
  <si>
    <t>Příjem z odvodů za odnětí půdy ze zemědělského půdního fondu podle zákona upravující ochranu zemědělského půdního fondu</t>
  </si>
  <si>
    <t>Příjem z poplatku za odnětí pozemku podle lesního zákona</t>
  </si>
  <si>
    <t>Příjem z poplatku za povolené vypouštění odpadních vod do vod podzemních</t>
  </si>
  <si>
    <r>
      <t>Příjem z poplatku ze psů</t>
    </r>
    <r>
      <rPr>
        <sz val="10"/>
        <color indexed="2"/>
        <rFont val="Arial CE"/>
      </rPr>
      <t xml:space="preserve"> </t>
    </r>
  </si>
  <si>
    <t>Příjem z poplatku za užívání veřejného prostranství</t>
  </si>
  <si>
    <t xml:space="preserve">z toho: Odbor obecní živnostenský úřad </t>
  </si>
  <si>
    <r>
      <t xml:space="preserve">            Odbor správy majetku (</t>
    </r>
    <r>
      <rPr>
        <sz val="9"/>
        <rFont val="Arial CE"/>
      </rPr>
      <t>překopy+zábory+MP vyhrazené parkování)</t>
    </r>
  </si>
  <si>
    <r>
      <t xml:space="preserve">            Odbor životního prostředí</t>
    </r>
    <r>
      <rPr>
        <sz val="9"/>
        <rFont val="Arial CE"/>
      </rPr>
      <t xml:space="preserve"> (zvláštní užívání zeleně)</t>
    </r>
  </si>
  <si>
    <t xml:space="preserve">Příjem z poplatku za obecní systém odpadového hospodářství a příjem z poplatku za odkládání komunálního odpadu z nemovité věci </t>
  </si>
  <si>
    <r>
      <t xml:space="preserve">Příjem z poplatku za povolení k vjezdu s motorovým vozidlem do vybraných míst a částí měst                                                            </t>
    </r>
    <r>
      <rPr>
        <sz val="9"/>
        <rFont val="Arial CE"/>
      </rPr>
      <t>(Návštěvnické centrum NJ - město klobouků: abonentní a rezidentní karty)</t>
    </r>
  </si>
  <si>
    <t>Příjem za zkoušky z odborné způsobilosti od žadatelů o řidičské oprávnění</t>
  </si>
  <si>
    <t>Příjem z úhrad za dobývání nerostů a poplatků za geologické práce</t>
  </si>
  <si>
    <r>
      <t xml:space="preserve">Příjem z odvodů z vybraných činností a služeb jinde neuvedených </t>
    </r>
    <r>
      <rPr>
        <sz val="10"/>
        <rFont val="Arial CE"/>
      </rPr>
      <t>(odvod ekolog.daně na SFŽP)</t>
    </r>
  </si>
  <si>
    <t>Příjem ze správních poplatků</t>
  </si>
  <si>
    <t>z toho: Odbor dopravy</t>
  </si>
  <si>
    <r>
      <t xml:space="preserve">            Obecní živnostenský úřad </t>
    </r>
    <r>
      <rPr>
        <sz val="9"/>
        <rFont val="Arial CE"/>
      </rPr>
      <t>(nové a změnové výpisy z živnost.rejstříku 400, vydání výpisů z živnost. rejstříku 1, vydání povolení k hernímu prostoru 10, osvědčení zemědělský podnikatel 5)</t>
    </r>
  </si>
  <si>
    <t xml:space="preserve">            Odbor územního plánování a stavebního řádu </t>
  </si>
  <si>
    <r>
      <t xml:space="preserve">            Odbor správních agend </t>
    </r>
    <r>
      <rPr>
        <sz val="9"/>
        <rFont val="Arial CE"/>
      </rPr>
      <t>(matrika 170, ohlašovna 35, CzechPoint+vidimace a legalizace 64, OP 350, CD 1100)</t>
    </r>
  </si>
  <si>
    <t xml:space="preserve">            Odbor životního prostředí </t>
  </si>
  <si>
    <r>
      <t xml:space="preserve">            Odbor finanční </t>
    </r>
    <r>
      <rPr>
        <sz val="9"/>
        <rFont val="Arial CE"/>
      </rPr>
      <t>(splátkové kalendáře+bezdlužnost)</t>
    </r>
  </si>
  <si>
    <t>Příjem z daně z hazardních her s výjimkou dílčí daně z technických her  za zd.obd.do konce roku 2023</t>
  </si>
  <si>
    <t>Příjem z dílčí daně z technických her za zd.období do konce roku 2023</t>
  </si>
  <si>
    <t>Příjem z daně z hazardních her s výjimkou technických her neprovozovaných prostřednictvím internetu</t>
  </si>
  <si>
    <t>Příjem z daně z technických her neprovozovaných prostřednictvím internetu</t>
  </si>
  <si>
    <r>
      <t xml:space="preserve">Příjem z daně z nemovitých věcí </t>
    </r>
    <r>
      <rPr>
        <sz val="9"/>
        <rFont val="Arial CE"/>
      </rPr>
      <t xml:space="preserve">(výlučná)    </t>
    </r>
    <r>
      <rPr>
        <b/>
        <sz val="10"/>
        <rFont val="Arial CE"/>
      </rPr>
      <t xml:space="preserve">                                                                                                              </t>
    </r>
  </si>
  <si>
    <t>Příjem z poskytování služeb, výrobků, prací, výkonů a práv</t>
  </si>
  <si>
    <t xml:space="preserve">           § 1019 ostatní zemědělská a potravinářská činnost a rozvoj</t>
  </si>
  <si>
    <r>
      <t xml:space="preserve">           § 1031 pěstební činnost </t>
    </r>
    <r>
      <rPr>
        <sz val="9"/>
        <rFont val="Arial CE"/>
      </rPr>
      <t>(těžba v městských lesích)</t>
    </r>
  </si>
  <si>
    <r>
      <t xml:space="preserve">           § 2143 cestovní ruch</t>
    </r>
    <r>
      <rPr>
        <sz val="9"/>
        <rFont val="Arial CE"/>
      </rPr>
      <t xml:space="preserve"> (Návštěvnické centrum NJ)</t>
    </r>
  </si>
  <si>
    <r>
      <t xml:space="preserve">           § 3319 ostatní sportovní činnost </t>
    </r>
    <r>
      <rPr>
        <sz val="9"/>
        <rFont val="Arial CE"/>
      </rPr>
      <t>(Odbor školství, kultury a sportu)</t>
    </r>
  </si>
  <si>
    <r>
      <t xml:space="preserve">           § 3412 sportovní zařízení v majetku obce</t>
    </r>
    <r>
      <rPr>
        <sz val="9"/>
        <rFont val="Arial CE"/>
      </rPr>
      <t xml:space="preserve"> (bazé</t>
    </r>
    <r>
      <rPr>
        <sz val="9"/>
        <rFont val="Arial CE"/>
      </rPr>
      <t>n: Basketbalový klub,z.s.-vstupné, nájmy)</t>
    </r>
  </si>
  <si>
    <r>
      <t xml:space="preserve">           § 3412 sportovní zařízení v majetku obce </t>
    </r>
    <r>
      <rPr>
        <sz val="9"/>
        <rFont val="Arial CE"/>
      </rPr>
      <t>(zimní stadión: Hokejový klub, z.s.-vstupné, nájmy)</t>
    </r>
  </si>
  <si>
    <r>
      <t xml:space="preserve">           § 3612 tržby za správu SVJ</t>
    </r>
    <r>
      <rPr>
        <sz val="9"/>
        <rFont val="Arial CE"/>
      </rPr>
      <t xml:space="preserve"> (Odbor bytový)</t>
    </r>
  </si>
  <si>
    <t xml:space="preserve">           § 3613 nebytové hospodářství (odbor bytový)</t>
  </si>
  <si>
    <r>
      <t xml:space="preserve">           § 4351 </t>
    </r>
    <r>
      <rPr>
        <sz val="10"/>
        <rFont val="Arial CE"/>
      </rPr>
      <t xml:space="preserve">pečovatelská služba, denní stacionář, odlehč. služba Pohoda </t>
    </r>
    <r>
      <rPr>
        <sz val="9"/>
        <rFont val="Arial CE"/>
      </rPr>
      <t>(Prosenior NJ)</t>
    </r>
  </si>
  <si>
    <r>
      <t xml:space="preserve">           § 5311 bezpečnost a veřejný pořádek </t>
    </r>
    <r>
      <rPr>
        <sz val="9"/>
        <rFont val="Arial CE"/>
      </rPr>
      <t>(Městská policie)</t>
    </r>
  </si>
  <si>
    <r>
      <t xml:space="preserve">           § 6171 činnost místní správy </t>
    </r>
    <r>
      <rPr>
        <sz val="9"/>
        <rFont val="Arial CE"/>
      </rPr>
      <t>(kopírování pro veřejnost)</t>
    </r>
  </si>
  <si>
    <r>
      <t xml:space="preserve">Ostatní příjmy z vlastní činnosti </t>
    </r>
    <r>
      <rPr>
        <sz val="9"/>
        <rFont val="Arial CE"/>
      </rPr>
      <t>(Odbor správy majetku: věcná břemena s 21% DPH 3000)</t>
    </r>
  </si>
  <si>
    <r>
      <t xml:space="preserve">Příjem z odvodů příspěvkových organizací </t>
    </r>
    <r>
      <rPr>
        <sz val="9"/>
        <rFont val="Arial CE"/>
      </rPr>
      <t>(z fondu investic: odpisy z nemovitého majetku)</t>
    </r>
    <r>
      <rPr>
        <b/>
        <i/>
        <sz val="9"/>
        <rFont val="Arial CE"/>
      </rPr>
      <t xml:space="preserve"> </t>
    </r>
    <r>
      <rPr>
        <b/>
        <i/>
        <sz val="9"/>
        <color indexed="2"/>
        <rFont val="Arial CE"/>
      </rPr>
      <t xml:space="preserve"> </t>
    </r>
    <r>
      <rPr>
        <b/>
        <i/>
        <sz val="9"/>
        <rFont val="Arial CE"/>
      </rPr>
      <t xml:space="preserve">   </t>
    </r>
    <r>
      <rPr>
        <sz val="9"/>
        <rFont val="Arial CE"/>
      </rPr>
      <t xml:space="preserve">      </t>
    </r>
  </si>
  <si>
    <r>
      <t xml:space="preserve">Příjem z pronájmu nebo pachtu pozemků </t>
    </r>
    <r>
      <rPr>
        <sz val="9"/>
        <rFont val="Arial CE"/>
      </rPr>
      <t>(Odbor správy majetku: s 0% DPH 450, s 21% DPH 550)</t>
    </r>
  </si>
  <si>
    <t>Příjem z pronájmu nebo pachtu ostatních nemovitých věcí a jejich částí</t>
  </si>
  <si>
    <r>
      <t xml:space="preserve">              § 2212 vyhrazené parkování formou nájemní smlouvy </t>
    </r>
    <r>
      <rPr>
        <sz val="9"/>
        <rFont val="Arial CE"/>
      </rPr>
      <t>(Odbor správy majetku: v režimu DPH)</t>
    </r>
  </si>
  <si>
    <r>
      <t xml:space="preserve">              § 2310 nájem ostatních nemovitostí </t>
    </r>
    <r>
      <rPr>
        <sz val="9"/>
        <rFont val="Arial CE"/>
      </rPr>
      <t>(Odbor správy majetku)</t>
    </r>
  </si>
  <si>
    <r>
      <t xml:space="preserve">              § 2321 nájem Kanalizace od SmVaK (DSO) </t>
    </r>
    <r>
      <rPr>
        <sz val="9"/>
        <rFont val="Arial CE"/>
      </rPr>
      <t>- účet 2310441 Plán financování obnovy (PFO)</t>
    </r>
  </si>
  <si>
    <r>
      <t xml:space="preserve">              § 3122 nájem EDUCA </t>
    </r>
    <r>
      <rPr>
        <sz val="9"/>
        <rFont val="Arial CE"/>
      </rPr>
      <t>(Odbor bytový)</t>
    </r>
  </si>
  <si>
    <r>
      <t xml:space="preserve">              § 3612 z bytů v majetku města</t>
    </r>
    <r>
      <rPr>
        <sz val="9"/>
        <rFont val="Arial CE"/>
      </rPr>
      <t xml:space="preserve"> (Odbor bytový: nájmy, zálohy na služby, pacht Suvorovova 480)</t>
    </r>
  </si>
  <si>
    <r>
      <t xml:space="preserve">              § 3613 v nebytových prostorech </t>
    </r>
    <r>
      <rPr>
        <sz val="9"/>
        <rFont val="Arial CE"/>
      </rPr>
      <t>(Odbor organizační: Div.8-Policie ČR, Glogar; Dlouhá - Náš-Net, Tesařová kancelář Div. 8)</t>
    </r>
  </si>
  <si>
    <r>
      <t xml:space="preserve">              § 3613 v nebyt.prostorech </t>
    </r>
    <r>
      <rPr>
        <sz val="9"/>
        <rFont val="Arial CE"/>
      </rPr>
      <t>(Odbor správy majetku: nájem plynovodu 100, nájem reklamních ploch 400)</t>
    </r>
  </si>
  <si>
    <r>
      <t xml:space="preserve">              § 3613 v nebytových prostorech </t>
    </r>
    <r>
      <rPr>
        <sz val="9"/>
        <rFont val="Arial CE"/>
      </rPr>
      <t>(Odbor bytový: nájmy 13000, zálohy na služby 1700, kryté stání Loučka 300, krátkodobé 50, Hotel Praha 746)</t>
    </r>
  </si>
  <si>
    <r>
      <t xml:space="preserve">              § 3634 v zásobování teplem </t>
    </r>
    <r>
      <rPr>
        <sz val="9"/>
        <rFont val="Arial CE"/>
      </rPr>
      <t>(VEOLIA)</t>
    </r>
  </si>
  <si>
    <t xml:space="preserve">              § 3639 nájemné za pozemky</t>
  </si>
  <si>
    <r>
      <t xml:space="preserve">              § 4351 v domech s pečovatelskou službou </t>
    </r>
    <r>
      <rPr>
        <sz val="9"/>
        <rFont val="Arial CE"/>
      </rPr>
      <t>(nájmy: krátkodobé 20)</t>
    </r>
  </si>
  <si>
    <r>
      <t xml:space="preserve">              § 4379 v klubech seniorů </t>
    </r>
    <r>
      <rPr>
        <sz val="9"/>
        <rFont val="Arial CE"/>
      </rPr>
      <t xml:space="preserve">(nájmy: dlouhodobé 10/10, krátkodobé 5/5) </t>
    </r>
  </si>
  <si>
    <t>Příjem sankčních plateb přijaté od jiných osob</t>
  </si>
  <si>
    <r>
      <t xml:space="preserve">z toho:  § 2141 vnitřní obchod </t>
    </r>
    <r>
      <rPr>
        <sz val="9"/>
        <rFont val="Arial CE"/>
      </rPr>
      <t>(Obecní živnostenský úřad: ve správním řízení 5, v blokovém řízení 10)</t>
    </r>
  </si>
  <si>
    <t xml:space="preserve">             § 2212 odbor správy majetku - pokuty silnice</t>
  </si>
  <si>
    <t xml:space="preserve">             § 2223 pokuty za dopravní přestupky (Odbor přestupkových agent)</t>
  </si>
  <si>
    <r>
      <t xml:space="preserve">             § 2223 dopravní přestupky </t>
    </r>
    <r>
      <rPr>
        <sz val="9"/>
        <rFont val="Arial CE"/>
      </rPr>
      <t>(radary)</t>
    </r>
  </si>
  <si>
    <r>
      <t xml:space="preserve">             § 2223 pokuty-vážení </t>
    </r>
    <r>
      <rPr>
        <sz val="9"/>
        <color theme="1"/>
        <rFont val="Arial CE"/>
      </rPr>
      <t>(Odbor dopravy)</t>
    </r>
  </si>
  <si>
    <t xml:space="preserve">             § 3111 mateřské školy</t>
  </si>
  <si>
    <t xml:space="preserve">             § 3612 smluvní pokuta bytové domy </t>
  </si>
  <si>
    <r>
      <t xml:space="preserve">             § 3613 smluvní pokuta nebytové prostory - dodavatelé</t>
    </r>
    <r>
      <rPr>
        <sz val="9"/>
        <rFont val="Arial CE"/>
      </rPr>
      <t xml:space="preserve"> (Odbor bytový)</t>
    </r>
  </si>
  <si>
    <r>
      <t xml:space="preserve">             § 5311 bezpečnost a veřejný pořádek </t>
    </r>
    <r>
      <rPr>
        <sz val="9"/>
        <rFont val="Arial CE"/>
      </rPr>
      <t>(Městská policie: na místě zaplac. 500, na místě nezapl. 150)</t>
    </r>
  </si>
  <si>
    <r>
      <t xml:space="preserve">             § 6171 obecné přestupky - pokuty </t>
    </r>
    <r>
      <rPr>
        <sz val="9"/>
        <rFont val="Arial CE"/>
      </rPr>
      <t>(Odbor přestupkových agend)</t>
    </r>
  </si>
  <si>
    <r>
      <t xml:space="preserve">             § 6171 pokuty </t>
    </r>
    <r>
      <rPr>
        <sz val="9"/>
        <rFont val="Arial CE"/>
      </rPr>
      <t>(Odbor správních agend OP 13, CD 2)</t>
    </r>
  </si>
  <si>
    <t xml:space="preserve">             § 6171 sankce za porušení rozpočtové kázně (dotace)</t>
  </si>
  <si>
    <r>
      <t xml:space="preserve">Ostatní přijaté vratky transferů a podobné příjmy </t>
    </r>
    <r>
      <rPr>
        <sz val="10"/>
        <rFont val="Arial CE"/>
      </rPr>
      <t>(příspěvků a dotací)</t>
    </r>
  </si>
  <si>
    <t>z toho:  § 2212 TSM vratka části přísp na energie 2023</t>
  </si>
  <si>
    <r>
      <t xml:space="preserve">            § 3111 MŠ vratka části příspěvku na energie </t>
    </r>
    <r>
      <rPr>
        <sz val="9"/>
        <rFont val="Arial CE"/>
      </rPr>
      <t>(3Líst 13.77902 + Sady 87,87861 + Máj 201,12747)</t>
    </r>
  </si>
  <si>
    <r>
      <t xml:space="preserve">            § 3233 SVČ Fokus vratka příspěvku na energie </t>
    </r>
    <r>
      <rPr>
        <sz val="9"/>
        <rFont val="Arial CE"/>
      </rPr>
      <t>(236,70936)</t>
    </r>
  </si>
  <si>
    <r>
      <t xml:space="preserve">            § 3311 Beskydské divadlo vratka příspěvku na energie </t>
    </r>
    <r>
      <rPr>
        <sz val="8"/>
        <rFont val="Arial CE"/>
      </rPr>
      <t>(159,71355</t>
    </r>
  </si>
  <si>
    <r>
      <t xml:space="preserve">            § 3392 MěKS vratka příspěvku na energie </t>
    </r>
    <r>
      <rPr>
        <sz val="8"/>
        <rFont val="Arial CE"/>
      </rPr>
      <t>(391,37439)</t>
    </r>
  </si>
  <si>
    <t xml:space="preserve">            § 3412 Basketbalový klub z.s.-vratky příspěvků na energie a provoz bazénů</t>
  </si>
  <si>
    <t xml:space="preserve">            § 3419 vratky program.dotací-oblast sportu 2023</t>
  </si>
  <si>
    <t xml:space="preserve">            § vratky program.dotací-oblast sociální 2023</t>
  </si>
  <si>
    <t xml:space="preserve">            § vratky nevyčerpaných indiv.dotací 2023 (org. 1180)</t>
  </si>
  <si>
    <t xml:space="preserve">            § 3722 TSM vratka části přísp na energie 2023</t>
  </si>
  <si>
    <t xml:space="preserve">            § 6402 ZŠMŠ Jub vratka nevyčerp.dotace 2023 z MSK obědy dětem úz 253+911 NáZ 144 1,5</t>
  </si>
  <si>
    <t xml:space="preserve">            § 6402 ZŠ K66 vratka nevyčerp.dotace 2023 z MSK obědy dětem úz 253+911 NáZ 144 1,5</t>
  </si>
  <si>
    <t xml:space="preserve">            § 6402 ZŠ K68 vratka nevyčerp.dotace 2023 z MSK obědy dětem úz 253+911 NáZ 144 1,5</t>
  </si>
  <si>
    <r>
      <rPr>
        <b/>
        <sz val="10"/>
        <rFont val="Arial CE"/>
      </rPr>
      <t>Příjem z</t>
    </r>
    <r>
      <rPr>
        <sz val="10"/>
        <rFont val="Arial CE"/>
      </rPr>
      <t xml:space="preserve"> p</t>
    </r>
    <r>
      <rPr>
        <b/>
        <sz val="10"/>
        <rFont val="Arial CE"/>
      </rPr>
      <t>rodeje krd a drobného dld majetku</t>
    </r>
    <r>
      <rPr>
        <sz val="10"/>
        <rFont val="Arial CE"/>
      </rPr>
      <t xml:space="preserve"> (odbor organizační)</t>
    </r>
  </si>
  <si>
    <r>
      <t xml:space="preserve">Přijaté peněžité neinvestiční dary </t>
    </r>
    <r>
      <rPr>
        <sz val="9"/>
        <rFont val="Arial CE"/>
      </rPr>
      <t xml:space="preserve">(Veolia Dalkia ČR-financování kulturních a společenských akcí města) </t>
    </r>
  </si>
  <si>
    <t>Příjem z pojistných plnění</t>
  </si>
  <si>
    <t>Přijaté neinvestiční příspěvky a náhrady</t>
  </si>
  <si>
    <r>
      <t xml:space="preserve">           § 2141 vnitřní obchod </t>
    </r>
    <r>
      <rPr>
        <sz val="9"/>
        <rFont val="Arial CE"/>
      </rPr>
      <t>(obecní živnostenský úřad: náklady řízení)</t>
    </r>
  </si>
  <si>
    <t xml:space="preserve">           § 2169 stavební úřad </t>
  </si>
  <si>
    <r>
      <t xml:space="preserve">           § 2219 parkoviště </t>
    </r>
    <r>
      <rPr>
        <sz val="9"/>
        <rFont val="Arial CE"/>
      </rPr>
      <t>(náklady řízení) odbor dopravy</t>
    </r>
  </si>
  <si>
    <r>
      <t xml:space="preserve">           § 2223 bezpečnost silničního provozu </t>
    </r>
    <r>
      <rPr>
        <sz val="9"/>
        <rFont val="Arial CE"/>
      </rPr>
      <t>(dopravní přestupky: náklady řízení)</t>
    </r>
  </si>
  <si>
    <r>
      <t xml:space="preserve">           § 3612 bytové hospodářství </t>
    </r>
    <r>
      <rPr>
        <sz val="9"/>
        <rFont val="Arial CE"/>
      </rPr>
      <t>(odbor bytový: úhrada nákladů soudních řízení+poplatky z prodlení)</t>
    </r>
  </si>
  <si>
    <r>
      <t xml:space="preserve">           § 3613 nebytové hospodářství </t>
    </r>
    <r>
      <rPr>
        <sz val="9"/>
        <rFont val="Arial CE"/>
      </rPr>
      <t>(odb.bytový: úhrada nákladů soudních řízení+popl.z prodlení)</t>
    </r>
  </si>
  <si>
    <t xml:space="preserve">           § 3632 pohřebnictví ČN fond budoucnosti- Sanace čestných hrobů II</t>
  </si>
  <si>
    <r>
      <t xml:space="preserve">           § 3639 náklady řízení </t>
    </r>
    <r>
      <rPr>
        <sz val="9"/>
        <rFont val="Arial CE"/>
      </rPr>
      <t>(odbor finanční)</t>
    </r>
  </si>
  <si>
    <r>
      <t xml:space="preserve">           § 3722 sběr a svoz komunálních odpadů </t>
    </r>
    <r>
      <rPr>
        <sz val="9"/>
        <rFont val="Arial CE"/>
      </rPr>
      <t xml:space="preserve">(příspěvek od EKOKOMu)               </t>
    </r>
  </si>
  <si>
    <r>
      <t xml:space="preserve">           § 3725 využívání a zneškodňování komunálních odpadů </t>
    </r>
    <r>
      <rPr>
        <sz val="9"/>
        <rFont val="Arial CE"/>
      </rPr>
      <t xml:space="preserve">(příspěvek od EKOKOMu)               </t>
    </r>
  </si>
  <si>
    <t xml:space="preserve">           § 3769 ostatní správa v životním prostředí</t>
  </si>
  <si>
    <r>
      <t xml:space="preserve">           § 5311 bezpečnost a veřejný pořádek</t>
    </r>
    <r>
      <rPr>
        <sz val="9"/>
        <rFont val="Arial CE"/>
      </rPr>
      <t xml:space="preserve"> (Městská policie: náhrady)</t>
    </r>
  </si>
  <si>
    <r>
      <t xml:space="preserve">           § 6171 činnost místní správy </t>
    </r>
    <r>
      <rPr>
        <sz val="9"/>
        <rFont val="Arial CE"/>
      </rPr>
      <t>(obecné přestupky: náklady řízení)</t>
    </r>
  </si>
  <si>
    <r>
      <t xml:space="preserve">           § 6171 činnost místní správy </t>
    </r>
    <r>
      <rPr>
        <sz val="9"/>
        <rFont val="Arial CE"/>
      </rPr>
      <t>(organizační odbor)</t>
    </r>
  </si>
  <si>
    <r>
      <t xml:space="preserve">           § 6171 činnost místní správy</t>
    </r>
    <r>
      <rPr>
        <sz val="10"/>
        <rFont val="Arial CE"/>
      </rPr>
      <t xml:space="preserve"> </t>
    </r>
    <r>
      <rPr>
        <sz val="9"/>
        <rFont val="Arial CE"/>
      </rPr>
      <t>(Odbor finanční: náklady řízení 15, úhrada exek.a soudních řízení 15)</t>
    </r>
  </si>
  <si>
    <t xml:space="preserve">Neidentifikované příjmy </t>
  </si>
  <si>
    <t xml:space="preserve">           § 2143 neinvest.přísp.z MSK NCNJ</t>
  </si>
  <si>
    <t xml:space="preserve">           § 2212 silniční hospodářství (odbor správy majetku)</t>
  </si>
  <si>
    <r>
      <t xml:space="preserve">           § 3341 kabelová televize Straník-přihlášky</t>
    </r>
    <r>
      <rPr>
        <sz val="9"/>
        <rFont val="Arial CE"/>
      </rPr>
      <t xml:space="preserve"> </t>
    </r>
    <r>
      <rPr>
        <sz val="10"/>
        <rFont val="Arial CE"/>
      </rPr>
      <t>(odbor správy majetku)</t>
    </r>
  </si>
  <si>
    <t xml:space="preserve">           § 3429 chyta Jíčínka (odbor organizační)</t>
  </si>
  <si>
    <t xml:space="preserve">           § 3612 bytové hospodářství (odbor bytový)</t>
  </si>
  <si>
    <r>
      <t xml:space="preserve">           § 3613 chata Jičínka </t>
    </r>
    <r>
      <rPr>
        <sz val="10"/>
        <rFont val="Arial CE"/>
      </rPr>
      <t>(org. 4381)=účet 2310440, OSM kovošrot 0,310 + ostatní=účet 2310600</t>
    </r>
  </si>
  <si>
    <t xml:space="preserve">           § 3631 veřejné osvětlení</t>
  </si>
  <si>
    <r>
      <t xml:space="preserve">           § 3632</t>
    </r>
    <r>
      <rPr>
        <sz val="10"/>
        <rFont val="Arial CE"/>
      </rPr>
      <t xml:space="preserve"> pohřebnictví (odbor sociálních věcí - příjmy ze sociálních pohřbů)</t>
    </r>
  </si>
  <si>
    <t xml:space="preserve">           § 3639 provoz internetu ve Straníku,(kovošrot 0,920), (odbor správy majetku)</t>
  </si>
  <si>
    <r>
      <t xml:space="preserve">           § 4351 neinvestiční příspěvek na poskytování sociálních služeb pro Prosenior </t>
    </r>
    <r>
      <rPr>
        <sz val="9"/>
        <rFont val="Arial CE"/>
      </rPr>
      <t>(předpokládaná dotace z MPSV) - po schválení je rozpočtováno na pol. 4122</t>
    </r>
  </si>
  <si>
    <r>
      <t xml:space="preserve">           §           neinvestiční příspěvek na výkon soc.právní ochrany dětí </t>
    </r>
    <r>
      <rPr>
        <sz val="9"/>
        <rFont val="Arial CE"/>
      </rPr>
      <t>(předpokládaná dotace z MPSV) - po schválení je rozpočtováno na pol. 4116 (ÚZ 13024)</t>
    </r>
  </si>
  <si>
    <r>
      <t xml:space="preserve">           §           neinvestiční příspěvek pouze na výkon soc.práce mimo soc.právní ochranu dětí </t>
    </r>
    <r>
      <rPr>
        <sz val="9"/>
        <rFont val="Arial CE"/>
      </rPr>
      <t>(předpokládaná dotace z MPSV) - po schválení je rozpočtováno na pol. 4116 (ÚZ 914)</t>
    </r>
  </si>
  <si>
    <r>
      <t xml:space="preserve">           § 3322-3326 neinvestiční příspěvek na regeneraci MPR a MPZ (předpokládaná dotace z MK ČR) -</t>
    </r>
    <r>
      <rPr>
        <sz val="9"/>
        <rFont val="Arial CE"/>
      </rPr>
      <t>po schválení je rozpočtováno na pol. 4116 (ÚZ 34054)</t>
    </r>
  </si>
  <si>
    <r>
      <t xml:space="preserve">           § 6118 neinvest.příspěvek </t>
    </r>
    <r>
      <rPr>
        <sz val="9"/>
        <rFont val="Arial CE"/>
      </rPr>
      <t>(dotace)</t>
    </r>
    <r>
      <rPr>
        <sz val="10"/>
        <rFont val="Arial CE"/>
      </rPr>
      <t xml:space="preserve"> na volby prezidenta republiky v r. 2023 - předpokládaný doplatek</t>
    </r>
  </si>
  <si>
    <t xml:space="preserve">           § 6171, § 6409 odbor organizační </t>
  </si>
  <si>
    <r>
      <t xml:space="preserve">           § 6409 na volby v roce 2024 (předpokládané dotace) - </t>
    </r>
    <r>
      <rPr>
        <sz val="9"/>
        <rFont val="Arial CE"/>
      </rPr>
      <t>po schválení je rozpočtováno na pol. 4111</t>
    </r>
  </si>
  <si>
    <t xml:space="preserve">           § 6409 zisk 95% pohledávky města ve Sberbank CZ,a.s. v likvidaci</t>
  </si>
  <si>
    <r>
      <t xml:space="preserve">Příjem z prodeje pozemků </t>
    </r>
    <r>
      <rPr>
        <sz val="10"/>
        <rFont val="Arial CE"/>
      </rPr>
      <t>s DPH 21%, popř. s DPH 0%</t>
    </r>
    <r>
      <rPr>
        <sz val="9"/>
        <rFont val="Arial CE"/>
      </rPr>
      <t xml:space="preserve"> (</t>
    </r>
    <r>
      <rPr>
        <sz val="9"/>
        <rFont val="Arial CE"/>
      </rPr>
      <t>Prům. park 33300, Prům. park-nabídkové řízení 10300, ČSAD 5000, ost. 600 vč. DPH)</t>
    </r>
  </si>
  <si>
    <r>
      <t xml:space="preserve">Příjem z prodeje pozemků </t>
    </r>
    <r>
      <rPr>
        <sz val="10"/>
        <rFont val="Arial CE"/>
      </rPr>
      <t>(nikoliv v režimu DPH)</t>
    </r>
  </si>
  <si>
    <t xml:space="preserve">Příjem z prodeje ostatních nemovitých věcí a jejich částí </t>
  </si>
  <si>
    <t xml:space="preserve">             bytový dům Dolní Brána 26</t>
  </si>
  <si>
    <t xml:space="preserve">             bytový dům Hluboká 188</t>
  </si>
  <si>
    <t xml:space="preserve">             nebytový dům Beskydská 176</t>
  </si>
  <si>
    <t xml:space="preserve">             hasičská zbrojnice Kojetín dle znal.posudku</t>
  </si>
  <si>
    <t xml:space="preserve">             sklepy Štefánikova</t>
  </si>
  <si>
    <r>
      <t>Příjem z prodeje ostatního hmotného dlouhodobého majetku</t>
    </r>
    <r>
      <rPr>
        <sz val="9"/>
        <rFont val="Arial CE"/>
      </rPr>
      <t xml:space="preserve"> (auto 53,2+notebooky ZM 43,2)</t>
    </r>
  </si>
  <si>
    <t>Přijaté příspěvky od osob na pořízení dlohodobého majetku</t>
  </si>
  <si>
    <r>
      <t xml:space="preserve">            </t>
    </r>
    <r>
      <rPr>
        <sz val="10"/>
        <rFont val="Arial CE"/>
      </rPr>
      <t xml:space="preserve"> Úprava kabelových rozvodů ve Straníku ČEPS, a.s.</t>
    </r>
  </si>
  <si>
    <t xml:space="preserve">             Pořízení nových vozidel pro ProSenior Nový Jičín II</t>
  </si>
  <si>
    <t xml:space="preserve">             Čestné hroby II</t>
  </si>
  <si>
    <t xml:space="preserve">             Architektonická soutěž</t>
  </si>
  <si>
    <t xml:space="preserve">             Autobusová zastávka Požární zbrojnice</t>
  </si>
  <si>
    <t xml:space="preserve">             Autobusová zastávka ul. Riegrova</t>
  </si>
  <si>
    <t xml:space="preserve">             FVE na budově TSNJ</t>
  </si>
  <si>
    <t xml:space="preserve">z toho: na volby prezidenta ČR (úz 98008) -dopl.2023  </t>
  </si>
  <si>
    <t xml:space="preserve">            na volby do Evropského Parlamentu (úz 98348)</t>
  </si>
  <si>
    <r>
      <t xml:space="preserve">Neinvestiční přijaté transfery ze státního rozpočtu v rámci souhrnného dotačního vztahu                                                                                                                                                                          </t>
    </r>
    <r>
      <rPr>
        <sz val="10"/>
        <rFont val="Arial CE"/>
      </rPr>
      <t xml:space="preserve">(příspěvek na výkon státní správy)                                                                                                                                                                                                                                                                                                                                                                                                                                                              </t>
    </r>
  </si>
  <si>
    <t xml:space="preserve">            MPSV: Výkon sociálně-právní ochrany dětí (ÚZ 13024)-dopl 2023</t>
  </si>
  <si>
    <t xml:space="preserve">            MPSV: Výkon sociálně-právní ochrany dětí (ÚZ 13024)-rok 2024</t>
  </si>
  <si>
    <t xml:space="preserve">            MMR - IROP Řemesla-Rekonstrukce  škol.kuchyně ZŠ K68 (úz17084,17085, NáZ 1491,5)</t>
  </si>
  <si>
    <t xml:space="preserve">            MMR - IROP Autobusová zastávka Požární zbrojnice Žilina (úz170854 NáZ 1495)</t>
  </si>
  <si>
    <t xml:space="preserve">            MMR - Podpora architektonických a urbanist.soutěží 2023+ (ÚZ 17090)</t>
  </si>
  <si>
    <t xml:space="preserve">            Mze - Příspěvek na obnovu, zajištění a výchovu porostů-z EU (ÚZ 29014)</t>
  </si>
  <si>
    <r>
      <t xml:space="preserve">z toho: za veřejnoprávní smlouvy s ostatními obcemi na úseku přestupků </t>
    </r>
    <r>
      <rPr>
        <sz val="9"/>
        <rFont val="Arial CE"/>
      </rPr>
      <t>(odbor přestupkových agend)</t>
    </r>
  </si>
  <si>
    <r>
      <t xml:space="preserve">            za veřejnopravní smlouvy s ostatními obcemi </t>
    </r>
    <r>
      <rPr>
        <sz val="9"/>
        <rFont val="Arial CE"/>
      </rPr>
      <t>(Městská policie-odchyt psů)</t>
    </r>
  </si>
  <si>
    <t xml:space="preserve">            na poskytování podpory soc.služeb dle zákona o soc.službách ORJ 541, org.1113</t>
  </si>
  <si>
    <t xml:space="preserve">            na poskytování podpory soc.služeb dle zákona o soc.službách ORJ 541, org.1114</t>
  </si>
  <si>
    <t xml:space="preserve">            na poskytování podpory soc.služeb dle zákona o soc.službách ORJ 029, org.1119 (pro Prosenior)</t>
  </si>
  <si>
    <t xml:space="preserve">            financování a obnova vodovodu Hodslavice - Straník (odbor správy majetku)</t>
  </si>
  <si>
    <r>
      <t xml:space="preserve">            za veřejnoprávní smlouvy s ostatními obcemi </t>
    </r>
    <r>
      <rPr>
        <sz val="9"/>
        <rFont val="Arial CE"/>
      </rPr>
      <t>(</t>
    </r>
    <r>
      <rPr>
        <sz val="10"/>
        <rFont val="Arial CE"/>
      </rPr>
      <t>stavební úřad</t>
    </r>
    <r>
      <rPr>
        <sz val="9"/>
        <rFont val="Arial CE"/>
      </rPr>
      <t>)</t>
    </r>
  </si>
  <si>
    <r>
      <t xml:space="preserve">            za veřejnoprávní smlouvy s ostatními obcemi </t>
    </r>
    <r>
      <rPr>
        <sz val="9"/>
        <rFont val="Arial CE"/>
      </rPr>
      <t xml:space="preserve">(odbor </t>
    </r>
    <r>
      <rPr>
        <sz val="10"/>
        <rFont val="Arial CE"/>
      </rPr>
      <t>životního prostředí</t>
    </r>
    <r>
      <rPr>
        <sz val="9"/>
        <rFont val="Arial CE"/>
      </rPr>
      <t>)</t>
    </r>
  </si>
  <si>
    <r>
      <t>z toho:  Zajištění výkonu regionálních funkcí knihoven - pro MěKS</t>
    </r>
    <r>
      <rPr>
        <sz val="9"/>
        <rFont val="Arial CE"/>
      </rPr>
      <t xml:space="preserve"> (ÚZ 345)</t>
    </r>
  </si>
  <si>
    <r>
      <t xml:space="preserve">            Podpora turistických informačních center v MSK - pro Návštěvnické centrum NJ </t>
    </r>
    <r>
      <rPr>
        <sz val="9"/>
        <rFont val="Arial CE"/>
      </rPr>
      <t>(ÚZ 673)</t>
    </r>
  </si>
  <si>
    <r>
      <t xml:space="preserve">            Zajištění okresních a krajských přehlídek a soutěží typu A a B - pro SVČ Fokus </t>
    </r>
    <r>
      <rPr>
        <sz val="9"/>
        <rFont val="Arial CE"/>
      </rPr>
      <t>(ÚZ 833)</t>
    </r>
  </si>
  <si>
    <t xml:space="preserve">            Potravinová pomoc dětem do škol (obědy) - pro MŠ Trojl - SR (ÚZ 253) +EU (ÚZ 911), NáZ 144 1,5</t>
  </si>
  <si>
    <t xml:space="preserve">            Potravinová pomoc dětem do škol (obědy) - pro ZŠ+MŠ Jub - SR (ÚZ 253) +EU (ÚZ 911), NáZ 144 1,5</t>
  </si>
  <si>
    <t xml:space="preserve">            Potravinová pomoc dětem do škol (obědy) - pro ZŠ K66 - SR (ÚZ 253) +EU (ÚZ 911), NáZ 144 1,5</t>
  </si>
  <si>
    <t xml:space="preserve">            Potravinová pomoc dětem do škol (obědy) - pro ZŠ K68 - SR (ÚZ 253) +EU (ÚZ 911), NáZ 144 1,5</t>
  </si>
  <si>
    <t xml:space="preserve">            Potravin.pomoc dětem v soc.nouzi z prostř.OPZ+ v MSK</t>
  </si>
  <si>
    <r>
      <t xml:space="preserve">            Poskytování sociálních služeb (ÚZ 914) - </t>
    </r>
    <r>
      <rPr>
        <sz val="9"/>
        <rFont val="Arial CE"/>
      </rPr>
      <t>pro ProSenior</t>
    </r>
  </si>
  <si>
    <t>Převody z rozpočtových účtů</t>
  </si>
  <si>
    <t>z toho: Sociální fond (Odbor kancelář vedení města)</t>
  </si>
  <si>
    <t xml:space="preserve">             Fond sociálních služeb (Odbor soc.věcí)</t>
  </si>
  <si>
    <r>
      <t xml:space="preserve">Převody z vlastních fondů přes rok </t>
    </r>
    <r>
      <rPr>
        <sz val="10"/>
        <rFont val="Arial CE"/>
      </rPr>
      <t>(zůstatek účtu Radary ve FIO)</t>
    </r>
  </si>
  <si>
    <t>Investiční přijaté transfery ze státních fondů</t>
  </si>
  <si>
    <t xml:space="preserve">            Kelímky, kompostery, myčka (Návštěvnické centrum)</t>
  </si>
  <si>
    <t xml:space="preserve">            MMR - IROP Řemesla-Rekonstrukce  škol.kuchyně ZŠ K68 (úz17518,17519, NáZ 1491,5)</t>
  </si>
  <si>
    <t xml:space="preserve">            MMR - IROP Autobusová zastávka Požární zbrojnice Žilina (úz17519, NáZ 1495)</t>
  </si>
  <si>
    <t xml:space="preserve">            MPO-Národní plán obnovy - VO EFEKT 2023 (ÚZ 22504, NáZ 1705)</t>
  </si>
  <si>
    <r>
      <t>z toho: Podpora technických atraktivit v NJ - pro Návštěvnické centrum NJ</t>
    </r>
    <r>
      <rPr>
        <sz val="10"/>
        <rFont val="Arial CE"/>
      </rPr>
      <t xml:space="preserve"> (ÚZ 694)</t>
    </r>
  </si>
  <si>
    <r>
      <t xml:space="preserve">            Stezka pro chodce a cyklisty B.Martinů</t>
    </r>
    <r>
      <rPr>
        <sz val="10"/>
        <rFont val="Arial CE"/>
      </rPr>
      <t xml:space="preserve"> (ÚZ 711)</t>
    </r>
  </si>
  <si>
    <t xml:space="preserve">            Revitalizace veřejného prostranství Horního nádraží (ÚZ 612)</t>
  </si>
  <si>
    <t xml:space="preserve">            Stezka pro chodce a cyklisty B. Martinů PD (ÚZ 720)</t>
  </si>
  <si>
    <r>
      <t xml:space="preserve">Změna stavu krátkodobých prostředků na bankovních účtech </t>
    </r>
    <r>
      <rPr>
        <sz val="10"/>
        <rFont val="Arial CE"/>
      </rPr>
      <t>(zapojení konečných zůstatků k 31.12.2023 na účtech města 77,35825178 mil. Kč)</t>
    </r>
  </si>
  <si>
    <r>
      <t xml:space="preserve">Uhrazené splátky dlouhodobých přijatých půjčených prostředků </t>
    </r>
    <r>
      <rPr>
        <sz val="10"/>
        <rFont val="Arial CE"/>
      </rPr>
      <t>(úvěr z ČS)</t>
    </r>
  </si>
  <si>
    <r>
      <t xml:space="preserve">Změna stavu dlouhodobých prostředků na bankovních účtech </t>
    </r>
    <r>
      <rPr>
        <sz val="10"/>
        <rFont val="Arial CE"/>
      </rPr>
      <t>(předpoklad vyplacení 97,72425045 mil. Kč ze Sberbank v roce 2023 + doplatek ze Sberbank v roce 2024)</t>
    </r>
  </si>
  <si>
    <t xml:space="preserve">            odvod DPH (včetně přenesené daňové povinnosti z účtů výdajového, DPH a odboru bytového)</t>
  </si>
  <si>
    <t xml:space="preserve">            nájmy SVJ</t>
  </si>
  <si>
    <t xml:space="preserve">            kauce k prodeji majetku (OB byty+NP, OSM pozemky)</t>
  </si>
  <si>
    <r>
      <t>Pitná voda</t>
    </r>
    <r>
      <rPr>
        <sz val="9"/>
        <rFont val="Arial CE"/>
      </rPr>
      <t xml:space="preserve"> (účet 2310800)</t>
    </r>
  </si>
  <si>
    <r>
      <t xml:space="preserve">           </t>
    </r>
    <r>
      <rPr>
        <sz val="9"/>
        <rFont val="Arial CE"/>
      </rPr>
      <t>PD k opravám (TDS, BOZP, AD)</t>
    </r>
  </si>
  <si>
    <r>
      <t xml:space="preserve">           </t>
    </r>
    <r>
      <rPr>
        <sz val="9"/>
        <rFont val="Arial CE"/>
      </rPr>
      <t xml:space="preserve">opravy a udržba </t>
    </r>
  </si>
  <si>
    <r>
      <t>0387/2310/</t>
    </r>
    <r>
      <rPr>
        <sz val="8"/>
        <rFont val="Arial CE"/>
      </rPr>
      <t>5171</t>
    </r>
  </si>
  <si>
    <r>
      <t xml:space="preserve">           </t>
    </r>
    <r>
      <rPr>
        <sz val="9"/>
        <rFont val="Arial CE"/>
      </rPr>
      <t>opravy a udržba ( oprava vodojem Straník 1500)</t>
    </r>
  </si>
  <si>
    <r>
      <t xml:space="preserve">Odvádění a čištění odpadních vod a nakládání s kaly </t>
    </r>
    <r>
      <rPr>
        <sz val="9"/>
        <rFont val="Arial CE"/>
      </rPr>
      <t>(účet 2310800)</t>
    </r>
  </si>
  <si>
    <t xml:space="preserve">            revize, poplatky, PD k opravám + Svazek obcí dle příkazní smlouvy (242,676 účet 231 0440)</t>
  </si>
  <si>
    <t xml:space="preserve">            opravy a údržba </t>
  </si>
  <si>
    <r>
      <rPr>
        <sz val="10"/>
        <rFont val="Arial CE"/>
      </rPr>
      <t xml:space="preserve">            Plán financování obnovy </t>
    </r>
    <r>
      <rPr>
        <sz val="9"/>
        <rFont val="Arial CE"/>
      </rPr>
      <t>(účet 2310441) - opr. a udržování (rekonstrukce - obnova kanalizačních šachet )</t>
    </r>
  </si>
  <si>
    <r>
      <t>Úpravy drobné vodních toků</t>
    </r>
    <r>
      <rPr>
        <sz val="9"/>
        <rFont val="Arial CE"/>
      </rPr>
      <t xml:space="preserve"> (účet 2310800)</t>
    </r>
  </si>
  <si>
    <t xml:space="preserve">           služby - čištění vodní toků</t>
  </si>
  <si>
    <t xml:space="preserve">           opravy a udržování</t>
  </si>
  <si>
    <r>
      <t xml:space="preserve">Silnice </t>
    </r>
    <r>
      <rPr>
        <sz val="8"/>
        <rFont val="Arial CE"/>
      </rPr>
      <t>(účet 2310800)</t>
    </r>
  </si>
  <si>
    <t>1067/2212/6121</t>
  </si>
  <si>
    <t>investice (mimo TSM) Lávka Straník u č.p. 119 PD</t>
  </si>
  <si>
    <t>1068/2212/6121</t>
  </si>
  <si>
    <t xml:space="preserve">                                Propustek Straník u č.p. 59 PD</t>
  </si>
  <si>
    <t>z toho: investice (TSM) celkem</t>
  </si>
  <si>
    <t xml:space="preserve">                  Komunální technika - kombinace na léto a zimu (zametač a sypač s pluhem)</t>
  </si>
  <si>
    <t xml:space="preserve">                  Komunální technika - kombinace na léto a zimu (třístranný sklápeč a sypač s pluhem) při zapojení FI TSM 2,2 mil. Kč</t>
  </si>
  <si>
    <r>
      <t xml:space="preserve">z toho: veřejně prospěšné práce </t>
    </r>
    <r>
      <rPr>
        <sz val="9"/>
        <rFont val="Arial CE"/>
      </rPr>
      <t>(TSM)</t>
    </r>
  </si>
  <si>
    <r>
      <t xml:space="preserve">             oprava a údržba místních komunikací </t>
    </r>
    <r>
      <rPr>
        <sz val="9"/>
        <rFont val="Arial CE"/>
      </rPr>
      <t>(TSM)</t>
    </r>
  </si>
  <si>
    <t xml:space="preserve">             oprava a údržba místních komunikací - město </t>
  </si>
  <si>
    <t>1066/2212/5171</t>
  </si>
  <si>
    <t xml:space="preserve">             oprava a údržba mostů (dle mostních prohlídek)</t>
  </si>
  <si>
    <t xml:space="preserve">             oprava opěrné zdi VT Rakovec (Bařiny)</t>
  </si>
  <si>
    <r>
      <t xml:space="preserve">             </t>
    </r>
    <r>
      <rPr>
        <sz val="10"/>
        <rFont val="Arial CE"/>
      </rPr>
      <t>služby - diagnostika vozovek 600, pasport MK 800, ost. služby 500, dozory VT Rakovec Bařiny 130</t>
    </r>
  </si>
  <si>
    <t>1066/2212/5169</t>
  </si>
  <si>
    <r>
      <t xml:space="preserve">             </t>
    </r>
    <r>
      <rPr>
        <sz val="10"/>
        <rFont val="Arial CE"/>
      </rPr>
      <t>služby - mostní prohlídky 150,  rozpočty 300</t>
    </r>
  </si>
  <si>
    <r>
      <t xml:space="preserve">Ostatní záležitosti pozemních komunikací </t>
    </r>
    <r>
      <rPr>
        <sz val="9"/>
        <rFont val="Arial CE"/>
      </rPr>
      <t>(účet 2310800)</t>
    </r>
  </si>
  <si>
    <t>0517/2219/6351</t>
  </si>
  <si>
    <t xml:space="preserve">             Chodník ke studni + úprava prostoru kolem studny v Žilině</t>
  </si>
  <si>
    <t>5461/2219/6121</t>
  </si>
  <si>
    <t xml:space="preserve">             Parkoviště Dlouhá č.p. 50, 52</t>
  </si>
  <si>
    <t xml:space="preserve">             Parkoviště Žilina, u kostela (p.č. 673/2)</t>
  </si>
  <si>
    <t>5469/2219/6121</t>
  </si>
  <si>
    <t xml:space="preserve">             Cyklopruhy na ul. B. Martinů v Novém Jičíně</t>
  </si>
  <si>
    <t xml:space="preserve">             Kontejnerová stání</t>
  </si>
  <si>
    <t>0386/2219/5164</t>
  </si>
  <si>
    <t xml:space="preserve">z toho:  nájemné (užití pozemku, DZ) </t>
  </si>
  <si>
    <t xml:space="preserve">             služby - PD k opravám</t>
  </si>
  <si>
    <t xml:space="preserve">             opravy a údržba chodníků</t>
  </si>
  <si>
    <r>
      <t>Provoz veřejné silniční dopravy</t>
    </r>
    <r>
      <rPr>
        <sz val="9"/>
        <rFont val="Arial CE"/>
      </rPr>
      <t xml:space="preserve"> (účet 2310800)</t>
    </r>
  </si>
  <si>
    <t>0386/2221/51xx</t>
  </si>
  <si>
    <t xml:space="preserve">             služby - revize, poplatky, materiál</t>
  </si>
  <si>
    <t xml:space="preserve">             opravy autobusových přístřešků</t>
  </si>
  <si>
    <t xml:space="preserve">z toho: investice - výkupy pozemků - přístup k ZO Skalky, Pod Skalkou III. etapa, ČSAD - sport. areál + ost.  </t>
  </si>
  <si>
    <r>
      <t xml:space="preserve">            věcná břemena (</t>
    </r>
    <r>
      <rPr>
        <sz val="9"/>
        <rFont val="Arial CE"/>
      </rPr>
      <t>účet 2310440)</t>
    </r>
  </si>
  <si>
    <r>
      <t xml:space="preserve">            věcná břemena (</t>
    </r>
    <r>
      <rPr>
        <sz val="9"/>
        <rFont val="Arial CE"/>
      </rPr>
      <t>účet 2310800)</t>
    </r>
  </si>
  <si>
    <r>
      <t>Rozhlas a televize</t>
    </r>
    <r>
      <rPr>
        <sz val="9"/>
        <rFont val="Arial CE"/>
      </rPr>
      <t xml:space="preserve"> (účet 2310800) </t>
    </r>
  </si>
  <si>
    <t xml:space="preserve">            platby poplatky </t>
  </si>
  <si>
    <t>0513/3341/6121</t>
  </si>
  <si>
    <t xml:space="preserve">  investice: úprava kabelových rozvodů ve Straníku </t>
  </si>
  <si>
    <t>0513/3341/6122</t>
  </si>
  <si>
    <t xml:space="preserve">  investice: Bezdrát - umístění nových hlásičů (Žilina, Loučka, Bludovice)</t>
  </si>
  <si>
    <t>Sportovní zařízení ve vlastnictví obce</t>
  </si>
  <si>
    <t>0382/3412/5171</t>
  </si>
  <si>
    <t xml:space="preserve">             Workoutové hřiště pod Gymnáziem NJ - oprava</t>
  </si>
  <si>
    <r>
      <t xml:space="preserve">Využití volného času dětí a mládeže </t>
    </r>
    <r>
      <rPr>
        <sz val="9"/>
        <rFont val="Arial CE"/>
      </rPr>
      <t xml:space="preserve">(účet 2310800) </t>
    </r>
  </si>
  <si>
    <t xml:space="preserve">             Dětská hřiště - příspěvek na údržbu a opravy (TSM)</t>
  </si>
  <si>
    <t xml:space="preserve">             Dětská hřiště  - drobný hmotný dlouhodobý majetek</t>
  </si>
  <si>
    <t xml:space="preserve">                                      - nákup materiálu j.n.</t>
  </si>
  <si>
    <t xml:space="preserve">                                      - služby, revize, kontroly</t>
  </si>
  <si>
    <t xml:space="preserve">                                      - opravy a údržba (DH Vančurova, Máchova, Straník...)</t>
  </si>
  <si>
    <t>Ostatní zájmová činnost a rekreace</t>
  </si>
  <si>
    <t>0382/3429/6121</t>
  </si>
  <si>
    <t xml:space="preserve">              investice-DiscGolfPark Skalky</t>
  </si>
  <si>
    <r>
      <t xml:space="preserve">Nebytové hospodářství </t>
    </r>
    <r>
      <rPr>
        <sz val="9"/>
        <rFont val="Arial CE"/>
      </rPr>
      <t>(účet 2310800)</t>
    </r>
  </si>
  <si>
    <t xml:space="preserve">              drobný hmotný dlouhodobý majetek</t>
  </si>
  <si>
    <t xml:space="preserve">              nákup materiálu j.n.</t>
  </si>
  <si>
    <t xml:space="preserve">              voda (fontány, MN sloupky)</t>
  </si>
  <si>
    <t xml:space="preserve">              elektrická energie (MN sloupky, fontány, letní kino)</t>
  </si>
  <si>
    <t xml:space="preserve">              služby, revize, prohlídky</t>
  </si>
  <si>
    <t xml:space="preserve">                  opravy a údržba ( 200 oplocení Hückelovy vily, 500 nátěry dřev. prvků , 300 oplocení ČOV Kojetín) </t>
  </si>
  <si>
    <r>
      <t xml:space="preserve">Veřejné osvětlení (VO) </t>
    </r>
    <r>
      <rPr>
        <sz val="9"/>
        <rFont val="Arial CE"/>
      </rPr>
      <t>(účet 2310800)</t>
    </r>
  </si>
  <si>
    <t xml:space="preserve">             služby, revize, prohlídky</t>
  </si>
  <si>
    <t xml:space="preserve">             výměna osvětlení na náměstí </t>
  </si>
  <si>
    <t xml:space="preserve">             opravy a údržba</t>
  </si>
  <si>
    <t xml:space="preserve">             VO - příspěvek na údržbu a opravy TSM</t>
  </si>
  <si>
    <t>0517/3631/6351</t>
  </si>
  <si>
    <t xml:space="preserve">                    VO-přísp.inv-astronomické spínací hodiny pro zabezpečení spínání a vypínání VO TSM, skatepark-svítidla</t>
  </si>
  <si>
    <t>0382/3631/6121</t>
  </si>
  <si>
    <t xml:space="preserve">                    VO-Skatepark a Bikepark-sestava solárního svítidla</t>
  </si>
  <si>
    <t xml:space="preserve">                    VO Skalky</t>
  </si>
  <si>
    <t>3602/3631/6121</t>
  </si>
  <si>
    <t xml:space="preserve">                    VO B.Martinů, K Nemocnici</t>
  </si>
  <si>
    <t xml:space="preserve">                    VO Štefánikova PD</t>
  </si>
  <si>
    <t>5478/3631/6121</t>
  </si>
  <si>
    <t xml:space="preserve">                    VO Straník PD</t>
  </si>
  <si>
    <t>5479/3631/6121</t>
  </si>
  <si>
    <t xml:space="preserve">                    VO Slezská - u garáží </t>
  </si>
  <si>
    <t>5480/3631/6121</t>
  </si>
  <si>
    <t xml:space="preserve">                    VO K. Schwarze PD</t>
  </si>
  <si>
    <t>5481/3631/6121</t>
  </si>
  <si>
    <t xml:space="preserve">                    VO Zborovská PD</t>
  </si>
  <si>
    <t xml:space="preserve">                    VO K Archivu</t>
  </si>
  <si>
    <r>
      <t xml:space="preserve">Pohřebnictví </t>
    </r>
    <r>
      <rPr>
        <sz val="10"/>
        <rFont val="Arial CE"/>
      </rPr>
      <t xml:space="preserve">(účet 2310800) </t>
    </r>
  </si>
  <si>
    <t xml:space="preserve"> investice - inv. příspěvky TSM</t>
  </si>
  <si>
    <t xml:space="preserve">                    PD ke GO smuteční síně a márnice</t>
  </si>
  <si>
    <t xml:space="preserve">             hřbitovy -  příspěvek na údržbu a opravy TSM</t>
  </si>
  <si>
    <r>
      <t>Komunální služby a územní rozvoj j.n.</t>
    </r>
    <r>
      <rPr>
        <sz val="9"/>
        <rFont val="Arial CE"/>
      </rPr>
      <t xml:space="preserve"> </t>
    </r>
  </si>
  <si>
    <r>
      <t xml:space="preserve">                    přípojky na televizní kabelové rozvody Straník - materiál</t>
    </r>
    <r>
      <rPr>
        <sz val="9"/>
        <rFont val="Arial CE"/>
      </rPr>
      <t xml:space="preserve"> (účet 231 0800)</t>
    </r>
  </si>
  <si>
    <r>
      <t xml:space="preserve">Ostatní záležitosti bydlení, komunálních služeb a územního rozvoje </t>
    </r>
    <r>
      <rPr>
        <sz val="9"/>
        <rFont val="Arial CE"/>
      </rPr>
      <t>(účet 2310800)</t>
    </r>
  </si>
  <si>
    <t>0382/3699/5139</t>
  </si>
  <si>
    <t>mobiliář město Lesopark Skalky - odpadkové koše, lavičky Hückelovy vily)</t>
  </si>
  <si>
    <r>
      <t xml:space="preserve">mobiliář </t>
    </r>
    <r>
      <rPr>
        <sz val="10"/>
        <rFont val="Arial CE"/>
      </rPr>
      <t>(TSM 350 + 200 oprava dřevěných stánků)</t>
    </r>
  </si>
  <si>
    <t>Ostatní činnosti</t>
  </si>
  <si>
    <t>0517/3900/6351</t>
  </si>
  <si>
    <t xml:space="preserve">           TSM inv příspěvek na modernizaci kovového pódia</t>
  </si>
  <si>
    <r>
      <t xml:space="preserve">                      </t>
    </r>
    <r>
      <rPr>
        <sz val="9"/>
        <rFont val="Arial CE"/>
      </rPr>
      <t>Vodojem Straník (TDS, BOZP, AD)</t>
    </r>
  </si>
  <si>
    <r>
      <t xml:space="preserve">                      V</t>
    </r>
    <r>
      <rPr>
        <sz val="9"/>
        <rFont val="Arial CE"/>
      </rPr>
      <t>odojem Straník - oprava</t>
    </r>
  </si>
  <si>
    <t xml:space="preserve">                      Vodovod Žilina, Pstruží potok - Životice PD</t>
  </si>
  <si>
    <r>
      <t>2381</t>
    </r>
    <r>
      <rPr>
        <sz val="8"/>
        <rFont val="Arial CE"/>
      </rPr>
      <t>/2310/6121</t>
    </r>
  </si>
  <si>
    <t xml:space="preserve">                      Vodovod Straník (společně s kanalizací) PD</t>
  </si>
  <si>
    <t>5429/2321/6121</t>
  </si>
  <si>
    <t xml:space="preserve">                      Cyklo Loučka - odvodnění</t>
  </si>
  <si>
    <t>2396/2321/6121</t>
  </si>
  <si>
    <t xml:space="preserve">                      Nad zahr. osadou za kotelnou Dlouhá - odvodnění pozemku PD</t>
  </si>
  <si>
    <t>2394/2321/6121</t>
  </si>
  <si>
    <t xml:space="preserve">                      Kanalizace Bludovice PD</t>
  </si>
  <si>
    <r>
      <t>2395</t>
    </r>
    <r>
      <rPr>
        <sz val="8"/>
        <rFont val="Arial CE"/>
      </rPr>
      <t>/2321/6121</t>
    </r>
  </si>
  <si>
    <t xml:space="preserve">                      Kanalizace Straník (společně s vodovodem) PD</t>
  </si>
  <si>
    <t xml:space="preserve">                      Kanalizace Žilina, Okružní  PD</t>
  </si>
  <si>
    <t xml:space="preserve">                      Kanalizace Trlicova PD </t>
  </si>
  <si>
    <r>
      <t xml:space="preserve">Silnice </t>
    </r>
    <r>
      <rPr>
        <sz val="9"/>
        <rFont val="Arial CE"/>
      </rPr>
      <t>(účet 2310800)</t>
    </r>
  </si>
  <si>
    <t>2324/2212/6121</t>
  </si>
  <si>
    <t xml:space="preserve">                     Komunikace Nový Jičín - Kojetín PD</t>
  </si>
  <si>
    <t xml:space="preserve">                     Komunikace Žilina, Za Školou PD</t>
  </si>
  <si>
    <t>5442/2212/6121</t>
  </si>
  <si>
    <r>
      <t xml:space="preserve">                     Komunikace Straník - Kojetín - rekonstrukce</t>
    </r>
    <r>
      <rPr>
        <sz val="10"/>
        <rFont val="Arial CE"/>
      </rPr>
      <t xml:space="preserve"> 2.etapa PD</t>
    </r>
  </si>
  <si>
    <t>2403/2212/6121</t>
  </si>
  <si>
    <t xml:space="preserve">                     Komunikace U Mlýna - dolní konec (úsek č.p. 122 - Potoční č.p.265) </t>
  </si>
  <si>
    <t>5485/2212/6121</t>
  </si>
  <si>
    <t xml:space="preserve">                     Křižovatka ul. Propojovací a Hřbitovní PD</t>
  </si>
  <si>
    <t>3743/2212/6121</t>
  </si>
  <si>
    <t xml:space="preserve">                     Křižovatka ul. K Archivu a K Nemocnici PD </t>
  </si>
  <si>
    <t>3737/2212/6121</t>
  </si>
  <si>
    <t xml:space="preserve">                     Převedení chodců ul. K Nemocnici parc. č. 558/26 (Honzek) PD</t>
  </si>
  <si>
    <t xml:space="preserve">                     Lávka Žilina - demolice</t>
  </si>
  <si>
    <t xml:space="preserve">                     Lávka Novosady</t>
  </si>
  <si>
    <t>2397/2212/6121</t>
  </si>
  <si>
    <t xml:space="preserve">                     Lávka Loučka, Za Potokem 90, před poštou</t>
  </si>
  <si>
    <t xml:space="preserve">                     Most Jiráskova - pod gymnáziem - rekonstrukce PD</t>
  </si>
  <si>
    <t>5428/2212/6121</t>
  </si>
  <si>
    <t xml:space="preserve">                     Most Dolní Brána (U Laposu  - Grasmanka) PD</t>
  </si>
  <si>
    <t>6100/2212/6121</t>
  </si>
  <si>
    <t xml:space="preserve">                     Most Na Poříčí u č.p. 53 - rekonstrukce PD</t>
  </si>
  <si>
    <t xml:space="preserve">                     Most Loučka, V Kútě PD </t>
  </si>
  <si>
    <t>2410/2212/6121</t>
  </si>
  <si>
    <t xml:space="preserve">                     Most Za Potokem u č.p. 26 PD</t>
  </si>
  <si>
    <t>2398/2212/6121</t>
  </si>
  <si>
    <t xml:space="preserve">                     Propustek Straník 61 (cesta ke hřbitovu) PD</t>
  </si>
  <si>
    <t xml:space="preserve">                     Laudonovo nádvoří </t>
  </si>
  <si>
    <t xml:space="preserve">                     Čerťák 3. etapa - 2. část PD </t>
  </si>
  <si>
    <t>1065/2219/6121</t>
  </si>
  <si>
    <t xml:space="preserve">                     Chodník Bludovice č.p. 4 - č.p. 90 </t>
  </si>
  <si>
    <t xml:space="preserve">                     Chodník Žilina, Pstruží potok - Životice PD</t>
  </si>
  <si>
    <t>2405/2219/6121</t>
  </si>
  <si>
    <t xml:space="preserve">                    Dopravní řešení okolí škol na ul. Dlouhá v NJ PD (KSD 14)</t>
  </si>
  <si>
    <t>5444/2219/6121</t>
  </si>
  <si>
    <t xml:space="preserve">                    Parkoviště Hoblíkova PD (KSD 6)</t>
  </si>
  <si>
    <t>2404/2219/6121</t>
  </si>
  <si>
    <t xml:space="preserve">                    Parkoviště Hřbitovní (městský hřbitov)  PD</t>
  </si>
  <si>
    <t>2407/2219/6121</t>
  </si>
  <si>
    <t xml:space="preserve">                    Parkoviště Smetanovy sady (před byt.domy  č.p. 8 - 16, 26 - 28) PD (KSD 31)</t>
  </si>
  <si>
    <t>2408/2219/6121</t>
  </si>
  <si>
    <t xml:space="preserve">                    Parkoviště Vančurova (J. Hory, kolmá a podélná stání) PD (KSD 38)</t>
  </si>
  <si>
    <t xml:space="preserve">                    Parkoviště Vančurova, u restaurace Máj - podelná stání (KSD 35)</t>
  </si>
  <si>
    <t>5460/2219/6121</t>
  </si>
  <si>
    <t xml:space="preserve">                    Parkoviště Vančurova, nové parkoviště u Policie ČR - u garáží (KSD 37)</t>
  </si>
  <si>
    <t>5462/2219/6121</t>
  </si>
  <si>
    <t xml:space="preserve">                    Parkoviště Dlouhá, podél komunikace ve svahu, p.č. 608/1 (KSD 18)</t>
  </si>
  <si>
    <t>5464/2219/6121</t>
  </si>
  <si>
    <t xml:space="preserve">                    Parkoviště MŠ Loučka, Na Drážkách (KSD 22) PD</t>
  </si>
  <si>
    <t>1060/2219/6121</t>
  </si>
  <si>
    <t xml:space="preserve">                    Parkoviště na ul. Dlouhá u AZ Sportovní  PD (KSD 16) </t>
  </si>
  <si>
    <t>1061/2219/6121</t>
  </si>
  <si>
    <t xml:space="preserve">                    Parkoviště na ul. Dlouhá u byt. Domu č.p. 13 -15 PD (KSD 33) </t>
  </si>
  <si>
    <t>1062/2219/6121</t>
  </si>
  <si>
    <t xml:space="preserve">                    Parkoviště na ul. Jubilejní u ZŠ křižovatka PD (KSD 34) </t>
  </si>
  <si>
    <t xml:space="preserve">                    Parkoviště Restaurace Na Skalkách PD</t>
  </si>
  <si>
    <t>5466/2219/6121</t>
  </si>
  <si>
    <r>
      <t xml:space="preserve">                    Regenerace PS Nerudova II. etapa -</t>
    </r>
    <r>
      <rPr>
        <sz val="10"/>
        <color theme="9"/>
        <rFont val="Arial CE"/>
      </rPr>
      <t xml:space="preserve"> přeložka ČEZ a Cetin</t>
    </r>
  </si>
  <si>
    <t>5467/2219/6121</t>
  </si>
  <si>
    <t xml:space="preserve">                    Regenerace PS Nerudova, etážové stání  PD</t>
  </si>
  <si>
    <t>5483/2219/6121</t>
  </si>
  <si>
    <t xml:space="preserve">                    Regenerace PS Nerudova III. etapa PD</t>
  </si>
  <si>
    <t>2409/2219/6121</t>
  </si>
  <si>
    <t xml:space="preserve">                    Regenerace PS Nerudova IV. etapa PD</t>
  </si>
  <si>
    <t>1063/2219/6121</t>
  </si>
  <si>
    <t xml:space="preserve">                    Regenerace PS Nerudova V. etapa PD</t>
  </si>
  <si>
    <t>5468/2219/6121</t>
  </si>
  <si>
    <t xml:space="preserve">                    Revitalizace veřejného prostranství Horního nádraží PD</t>
  </si>
  <si>
    <t xml:space="preserve">                    Cyklopruhy na ul. B. Martinů v Novém Jičíně</t>
  </si>
  <si>
    <t>5470/2219/6121</t>
  </si>
  <si>
    <t xml:space="preserve">                    Parkoviště, cyklostezka ve sportovním areálu, Divadelní </t>
  </si>
  <si>
    <t>5452/2219/6121</t>
  </si>
  <si>
    <t xml:space="preserve">                    Zpevněné plochy, mobiliář Tyršova 2.etapa</t>
  </si>
  <si>
    <t>5458/2219/6121</t>
  </si>
  <si>
    <t xml:space="preserve">                    Zpevněná plocha podél komunikace I/57, Revoluční PD</t>
  </si>
  <si>
    <t>5472/2221/6121</t>
  </si>
  <si>
    <t xml:space="preserve">                    Autobusová zastávka Riegrova</t>
  </si>
  <si>
    <t>5455/2221/6121</t>
  </si>
  <si>
    <t xml:space="preserve">                    Autobusová zastávka Straník p.č. 191/45 PD</t>
  </si>
  <si>
    <t xml:space="preserve">614 - Školství - Akce OŠKS </t>
  </si>
  <si>
    <r>
      <t xml:space="preserve">Mateřské školy </t>
    </r>
    <r>
      <rPr>
        <sz val="9"/>
        <rFont val="Arial CE"/>
      </rPr>
      <t>(účet 2310800)</t>
    </r>
  </si>
  <si>
    <t>1403/3111/6121</t>
  </si>
  <si>
    <t xml:space="preserve">                   MŠ Jiráskova (MŠ Sady) - revitalizace zahrady </t>
  </si>
  <si>
    <t>1401/3111/6121</t>
  </si>
  <si>
    <t xml:space="preserve">                   MŠ Máchova (MŠ Trojlístek)- energetické úspory PD</t>
  </si>
  <si>
    <t>1402/3111/6121</t>
  </si>
  <si>
    <t xml:space="preserve">                   MŠ Komenského (MŠ Trojlístek) - revitalizace zahrady 2. etapa PD</t>
  </si>
  <si>
    <t>1404/3111/5171+5169</t>
  </si>
  <si>
    <t xml:space="preserve">                   MŠ Revoluční (MŠ Sady) - sanace zdiva PD</t>
  </si>
  <si>
    <t>1405/3111/5171+5169</t>
  </si>
  <si>
    <t xml:space="preserve">                   MŠ Revoluční (MŠ Sady) - revitalizace sociálního zařízení PD </t>
  </si>
  <si>
    <t>1414/3111/6121</t>
  </si>
  <si>
    <t xml:space="preserve">                   MŠ K. Čapka (MŠ Máj) - zateplení objektu,stínící technika PD</t>
  </si>
  <si>
    <t>1415/3111/5171+5169</t>
  </si>
  <si>
    <t xml:space="preserve">                   MŠ Beskydská (MŠ Trojlístek) - oprava plotu PD</t>
  </si>
  <si>
    <t>1416/3111/6121</t>
  </si>
  <si>
    <t xml:space="preserve">                   MŠ Komenského (MŠ Trojlístek) - učebny, verandy PD </t>
  </si>
  <si>
    <r>
      <rPr>
        <b/>
        <sz val="10"/>
        <rFont val="Arial CE"/>
      </rPr>
      <t>Základní školy</t>
    </r>
    <r>
      <rPr>
        <sz val="10"/>
        <rFont val="Arial CE"/>
      </rPr>
      <t xml:space="preserve"> (účet 2310800)</t>
    </r>
  </si>
  <si>
    <t>1407/3113/6121</t>
  </si>
  <si>
    <t xml:space="preserve">                   ZŠ Jubilejní - rekonstrukce školní kuchyně PD</t>
  </si>
  <si>
    <t>1408/3113/5171+5169</t>
  </si>
  <si>
    <r>
      <t xml:space="preserve">                   ZŠ Komenského 66 - výměna ležatých rozvodů vody a výměna podhledů </t>
    </r>
    <r>
      <rPr>
        <sz val="10"/>
        <color indexed="2"/>
        <rFont val="Arial CE"/>
      </rPr>
      <t xml:space="preserve">1.et.ukončena 2023, </t>
    </r>
    <r>
      <rPr>
        <sz val="10"/>
        <rFont val="Arial CE"/>
      </rPr>
      <t>2. et. PD</t>
    </r>
  </si>
  <si>
    <t>1411/3113/6121</t>
  </si>
  <si>
    <t xml:space="preserve">                   ZŠ Dlouhá - rekonstrukce školní kuchyně</t>
  </si>
  <si>
    <t>1417/3113/6121</t>
  </si>
  <si>
    <t xml:space="preserve">                   ZŠ Jubilejní - revitalizace atria PD</t>
  </si>
  <si>
    <t>1420/3113/5171+5169</t>
  </si>
  <si>
    <t xml:space="preserve">                   ZŠ Komenského 68 - nátěr a oprava fasády PD</t>
  </si>
  <si>
    <t>1421/3113/5171+5169</t>
  </si>
  <si>
    <t xml:space="preserve">                   ZŠ Komenského 68 - oprava žákovských šaten PD  </t>
  </si>
  <si>
    <t>1422/3113/51xx</t>
  </si>
  <si>
    <t xml:space="preserve">                   ZŠ Tyršova - výměna oken závěrečná etapa </t>
  </si>
  <si>
    <t>1423/3113/5171+5169</t>
  </si>
  <si>
    <t xml:space="preserve">                   ZŠ Tyršova - oprava vnitřní kanalizace v ŠJ PD</t>
  </si>
  <si>
    <r>
      <t xml:space="preserve">Střediska volného času </t>
    </r>
    <r>
      <rPr>
        <sz val="9"/>
        <rFont val="Arial CE"/>
      </rPr>
      <t>(účet 2310800)</t>
    </r>
  </si>
  <si>
    <t>1424/3233/6121</t>
  </si>
  <si>
    <t xml:space="preserve">                  SVČ Fokus - zateplení,  rekonstrukce střechy PD</t>
  </si>
  <si>
    <t>1412/3412/6121</t>
  </si>
  <si>
    <t xml:space="preserve">                   ZŠ Jubilejní - revitalizace školního hřiště PD</t>
  </si>
  <si>
    <t>1413/3412/6121</t>
  </si>
  <si>
    <t xml:space="preserve">                   ZŠ Komenského 66 - revitalizace školního hřiště </t>
  </si>
  <si>
    <r>
      <t>Ost.zál.pozem.komunikací-provozování bikesharingu ve městě NJ</t>
    </r>
    <r>
      <rPr>
        <sz val="10"/>
        <rFont val="Arial CE"/>
      </rPr>
      <t xml:space="preserve"> (pol.5169, 5213)</t>
    </r>
  </si>
  <si>
    <r>
      <t xml:space="preserve">Nebytové hospodářství  - oddělení investic </t>
    </r>
    <r>
      <rPr>
        <sz val="9"/>
        <rFont val="Arial CE"/>
      </rPr>
      <t>(účet 2310800)</t>
    </r>
  </si>
  <si>
    <t>1388/3613/5166</t>
  </si>
  <si>
    <t xml:space="preserve">                    Konzultační a poradenské služby</t>
  </si>
  <si>
    <t xml:space="preserve">                    Studie - oddělení investic (zaměření skutečného stavu akcí OB, parkoviště, AZ Kolonie Žilina, posouzení svahu Bala Kojetín, byty Suvorovova ...)</t>
  </si>
  <si>
    <r>
      <t>Komunální služby a rozvoj - plány, propagace, marketing, Zdravé město</t>
    </r>
    <r>
      <rPr>
        <sz val="9"/>
        <rFont val="Arial CE"/>
      </rPr>
      <t xml:space="preserve"> (účet 2310800)</t>
    </r>
  </si>
  <si>
    <t xml:space="preserve">                    Ostatní materiál (Zdravé město 40)</t>
  </si>
  <si>
    <t xml:space="preserve">                    Konzultační služby (městský architekt 500, ostatní právní služby 15)</t>
  </si>
  <si>
    <t xml:space="preserve">                    Rozvojové plány a studie; administrace projektu; Zdravé město 45; participativní  rozpočet 400; ul. Potoční - dopravní řešení …</t>
  </si>
  <si>
    <t>3536/3639/5169</t>
  </si>
  <si>
    <t>Intenzifikace kompostárny v NJ-přípravná dokumentace</t>
  </si>
  <si>
    <t xml:space="preserve">                   Pohoštění </t>
  </si>
  <si>
    <t>616 - Kultura - Akce OŠKS</t>
  </si>
  <si>
    <r>
      <t xml:space="preserve">Divadelní činnost </t>
    </r>
    <r>
      <rPr>
        <sz val="9"/>
        <rFont val="Arial CE"/>
      </rPr>
      <t>(účet 2310800)</t>
    </r>
  </si>
  <si>
    <t>0504/3311/6121</t>
  </si>
  <si>
    <t xml:space="preserve">                   Beskydské divadlo - vzduchotechnika PD</t>
  </si>
  <si>
    <t>1602/3311/6122</t>
  </si>
  <si>
    <t xml:space="preserve">                   Beskydské divadlo - modernizace kotelny Divadelní 5 (č.z. 14/22) PD</t>
  </si>
  <si>
    <t>1603/3311/5171+5169</t>
  </si>
  <si>
    <t xml:space="preserve">                   Beskydské divadlo - oprava vnějšího pláště historické budovy PD </t>
  </si>
  <si>
    <t>Pořízení, zach.a obnova hodnot místního kulturního, národního a historického povědomí</t>
  </si>
  <si>
    <t>1605/3326/5171+5169</t>
  </si>
  <si>
    <t xml:space="preserve">                   Kaple sv. Michala Bludovice - obnova fasády PD + realizace</t>
  </si>
  <si>
    <r>
      <t xml:space="preserve">Zájmová činnost v kultuře </t>
    </r>
    <r>
      <rPr>
        <sz val="9"/>
        <rFont val="Arial CE"/>
      </rPr>
      <t>(účet 2310800)</t>
    </r>
  </si>
  <si>
    <t>0501/3392/6121</t>
  </si>
  <si>
    <t xml:space="preserve">                   Kino Květen - rekonstrukce studie + PD</t>
  </si>
  <si>
    <t>1601/3392/6121</t>
  </si>
  <si>
    <t xml:space="preserve">                   Městská knihovna - rekonstrukce knihovního domku PD</t>
  </si>
  <si>
    <t>1604/3392/5171+5169</t>
  </si>
  <si>
    <t xml:space="preserve">                   Sociální zařízení na Skalkách (MKS) - revitalizace PD </t>
  </si>
  <si>
    <t>1606/3392/6121</t>
  </si>
  <si>
    <t xml:space="preserve">                   Kulturní dům Nové Slunce PD</t>
  </si>
  <si>
    <t>619 - Akce OO</t>
  </si>
  <si>
    <r>
      <t xml:space="preserve">Činnost místní správy </t>
    </r>
    <r>
      <rPr>
        <sz val="9"/>
        <rFont val="Arial CE"/>
      </rPr>
      <t>(účet 2310800)</t>
    </r>
  </si>
  <si>
    <t>1901/6171/5171</t>
  </si>
  <si>
    <t xml:space="preserve">                   Randice ul. Úzká I. a II. patro - Oprava soc.zařízení ukončeno 2023-uvolnění pozastávky</t>
  </si>
  <si>
    <t>1903/6171/6121</t>
  </si>
  <si>
    <t xml:space="preserve">                   Budova Divadelní 1 - rekontrukce vstupu, vestibulu, nová jednací místnost  </t>
  </si>
  <si>
    <t>1904/6171/6121</t>
  </si>
  <si>
    <t xml:space="preserve">                   Radnice - vchod z ul. Úzká a dvůr, revitalizace prostoru PD</t>
  </si>
  <si>
    <t>635 - Akce OŽP</t>
  </si>
  <si>
    <r>
      <t xml:space="preserve">Péče o vzhled obcí a veřejnou zeleň </t>
    </r>
    <r>
      <rPr>
        <sz val="10"/>
        <rFont val="Arial CE"/>
      </rPr>
      <t xml:space="preserve">(účet 2310800) </t>
    </r>
  </si>
  <si>
    <t>0517/3745/6121</t>
  </si>
  <si>
    <t xml:space="preserve">                   Skladovací boxy Kompostárna TSNJ PD</t>
  </si>
  <si>
    <t>3746/2321/6121</t>
  </si>
  <si>
    <t xml:space="preserve">                   Kanalizace v areálu TSNJ ul. Suvorovova PD</t>
  </si>
  <si>
    <r>
      <t xml:space="preserve">Bytové hospodářství </t>
    </r>
    <r>
      <rPr>
        <sz val="9"/>
        <rFont val="Arial CE"/>
      </rPr>
      <t>(účet 2310800)</t>
    </r>
  </si>
  <si>
    <t xml:space="preserve">                   Dům na ul. Hřbitovní 889/72 PD</t>
  </si>
  <si>
    <t>3744/3613/6121</t>
  </si>
  <si>
    <t xml:space="preserve">                  Středisko zeleně ul. Palackého - dílny, rekonstrukce PD </t>
  </si>
  <si>
    <t>3745/3613/6121</t>
  </si>
  <si>
    <t xml:space="preserve">                  Stavebninový dvůr ul. Suvorovova - oplocení, zpevněná plocha PD</t>
  </si>
  <si>
    <r>
      <t xml:space="preserve">Sběr a svoz komunálních odpadů </t>
    </r>
    <r>
      <rPr>
        <sz val="9"/>
        <rFont val="Arial CE"/>
      </rPr>
      <t>(účet 2310800)</t>
    </r>
  </si>
  <si>
    <t>3730/3722/6121</t>
  </si>
  <si>
    <t xml:space="preserve">                  Podzemní kontejnery TSNJ 8 ks PD + 4 ks realizace </t>
  </si>
  <si>
    <t xml:space="preserve">637 - Akce OB </t>
  </si>
  <si>
    <t>Sportovní zařízení ve vlastnictví obce (účet 2310800)</t>
  </si>
  <si>
    <t>3704/3412/6121</t>
  </si>
  <si>
    <t xml:space="preserve">                   Venkovní bazén (č.z. 08/22)</t>
  </si>
  <si>
    <t>3705/3412/6121</t>
  </si>
  <si>
    <t xml:space="preserve">                   Vnitřní bazén PD</t>
  </si>
  <si>
    <t>3706/3412/6121</t>
  </si>
  <si>
    <t xml:space="preserve">                   Areál krytého bazénu - ústřední topení PD</t>
  </si>
  <si>
    <t>3747/3412/6121</t>
  </si>
  <si>
    <t xml:space="preserve">                   Zimní stadion - přístavba ubytovny a tělocvičny PD</t>
  </si>
  <si>
    <t>3726/3612/6121</t>
  </si>
  <si>
    <t xml:space="preserve">                   BD Trlicova - revitalizace PD</t>
  </si>
  <si>
    <t>0558/3612/6121</t>
  </si>
  <si>
    <t xml:space="preserve">                   BD Hřbitovní - revitalizace</t>
  </si>
  <si>
    <t>3707/3612/6121</t>
  </si>
  <si>
    <t xml:space="preserve">                   Byty Jungmannova 26/2, Masarykovo nám.26/15 - přestavba bytového podniku (č.z.07/22) PD</t>
  </si>
  <si>
    <t>3731/3612/5169</t>
  </si>
  <si>
    <t xml:space="preserve">                    Dům na ul.Dobrovského 39/2 - oprava PD</t>
  </si>
  <si>
    <t>3732/3612/5169</t>
  </si>
  <si>
    <t xml:space="preserve">                    Dům na ul. Gen. Hlaďo 758/22 (Čedok) - oprava PD</t>
  </si>
  <si>
    <t>3733/3612/5169</t>
  </si>
  <si>
    <t xml:space="preserve">                    Dům Masarykovo nám. 27/16 (lékárna) - oprava PD</t>
  </si>
  <si>
    <t>3734/3612/6121</t>
  </si>
  <si>
    <t xml:space="preserve">                    Dům na ul.  Jungmannova 1, 5. května - revitalizace PD</t>
  </si>
  <si>
    <t>3736/3612/5169</t>
  </si>
  <si>
    <t xml:space="preserve">                    Dům na ul. Resslova 1213/1 (nebyt.prostor) - oprava výloh,  vstup a interiéru PD </t>
  </si>
  <si>
    <t>3738/3612/6121</t>
  </si>
  <si>
    <t xml:space="preserve">                    Dům na ul. 5. května 2098/4 - revitalizace, studie</t>
  </si>
  <si>
    <t>3739/3612/5169</t>
  </si>
  <si>
    <t xml:space="preserve">                    Dům na ul. Havlíčkova 104/11 - sanace PD</t>
  </si>
  <si>
    <t>3751/3612/6121</t>
  </si>
  <si>
    <t xml:space="preserve">                    Dům na ul. U Jičínky 25 </t>
  </si>
  <si>
    <t>3741/3612/6121</t>
  </si>
  <si>
    <t xml:space="preserve">                    Výtahy Luční 1828/2, 1799/3 a 1825/4 - výměna - PD + realizace</t>
  </si>
  <si>
    <t>3713/3612/6121</t>
  </si>
  <si>
    <t xml:space="preserve">                     Výtahy Jičínská 275 (2 ks) a Revoluční 36 - PD + realizace</t>
  </si>
  <si>
    <t>0557/3613/6121</t>
  </si>
  <si>
    <t xml:space="preserve">                   Hückelové vily - odvodnění - průzkum HG (č.z. 02/22) PD</t>
  </si>
  <si>
    <t>3708/3613/6121</t>
  </si>
  <si>
    <t xml:space="preserve">                   ProSenior Nový Jičín - Domeček PD</t>
  </si>
  <si>
    <t>3709/3613/6121</t>
  </si>
  <si>
    <t xml:space="preserve">                   Objekt na ul. Suvorovova 152 - okna (č.z. 11/22)</t>
  </si>
  <si>
    <t>3712/3613/6121</t>
  </si>
  <si>
    <t xml:space="preserve">                   Azylový dům Straník - rekonstrukce vnitřních prostor PD</t>
  </si>
  <si>
    <t>3748/3613/51xx</t>
  </si>
  <si>
    <t xml:space="preserve">                    Kostelní věž - realizace (pol.5169: 300 tis., pol.5171: 3200 tis.)</t>
  </si>
  <si>
    <t>3749/3613/6121</t>
  </si>
  <si>
    <t xml:space="preserve">                    Veřejné WC na ul. Úzká- rekonstrukce PD</t>
  </si>
  <si>
    <t>3742/3613/6121</t>
  </si>
  <si>
    <t xml:space="preserve">                    Fojtství Bludovice (č.z. 10/22) PD</t>
  </si>
  <si>
    <r>
      <t xml:space="preserve">Lokální zásobování teplem </t>
    </r>
    <r>
      <rPr>
        <sz val="10"/>
        <rFont val="Arial CE"/>
      </rPr>
      <t xml:space="preserve">(tepelné hospodářství) </t>
    </r>
    <r>
      <rPr>
        <sz val="9"/>
        <rFont val="Arial CE"/>
      </rPr>
      <t>(účet 2310800)</t>
    </r>
  </si>
  <si>
    <t>3714/3634/6122</t>
  </si>
  <si>
    <t xml:space="preserve">                   Fotovoltaické elektrárna v objektu TSNJ na ul. Suvorovova PD + realizace</t>
  </si>
  <si>
    <t>3750/3634/6122</t>
  </si>
  <si>
    <t xml:space="preserve">                   Fotovoltaická elektrárna v objektu bazénu PD</t>
  </si>
  <si>
    <t>3729/3634/6122</t>
  </si>
  <si>
    <t xml:space="preserve">                   Objektové předávací stanice 10 ks - výměna MaR PD + realizace</t>
  </si>
  <si>
    <t>3715/3634/6122</t>
  </si>
  <si>
    <t xml:space="preserve">                    Kotelna Divadelní 8 - modernizace PD</t>
  </si>
  <si>
    <t>3720/3634/6122</t>
  </si>
  <si>
    <t xml:space="preserve">                    Teplovod Nerudova 14,16,18 </t>
  </si>
  <si>
    <r>
      <t xml:space="preserve">Sportovní zařízení ve vlastnictví obce </t>
    </r>
    <r>
      <rPr>
        <sz val="9"/>
        <rFont val="Arial CE"/>
      </rPr>
      <t>(účet 2310800)</t>
    </r>
  </si>
  <si>
    <t>5474/3412/6121</t>
  </si>
  <si>
    <t xml:space="preserve">                   Provozní objekt (šatny) pro sportovní areál PD</t>
  </si>
  <si>
    <t>5475/3412/6121</t>
  </si>
  <si>
    <t xml:space="preserve">                   Multifunkční hřiště ve sportovním areálu PD</t>
  </si>
  <si>
    <t>5476/3412/6121</t>
  </si>
  <si>
    <t xml:space="preserve">                   Revitalizace Horního nádraží - pumptrack PD</t>
  </si>
  <si>
    <t>5457/3412/6121</t>
  </si>
  <si>
    <t xml:space="preserve">                   Tenisová hala B. Martinů PD</t>
  </si>
  <si>
    <t>3403/3412/6121</t>
  </si>
  <si>
    <t xml:space="preserve">                   Víceúčelová sportovní hala Jičínka PD</t>
  </si>
  <si>
    <t xml:space="preserve">                   Smetanovy sady - etapa za kaplí PD </t>
  </si>
  <si>
    <r>
      <t xml:space="preserve">Veřejné osvětlení </t>
    </r>
    <r>
      <rPr>
        <sz val="10"/>
        <rFont val="Arial CE"/>
      </rPr>
      <t>(VO)</t>
    </r>
    <r>
      <rPr>
        <b/>
        <sz val="10"/>
        <rFont val="Arial CE"/>
      </rPr>
      <t xml:space="preserve"> </t>
    </r>
    <r>
      <rPr>
        <sz val="9"/>
        <rFont val="Arial CE"/>
      </rPr>
      <t>(účet 2310800)</t>
    </r>
  </si>
  <si>
    <t xml:space="preserve">                   VO EFEKT 2023</t>
  </si>
  <si>
    <t>6391/3631/6121</t>
  </si>
  <si>
    <t xml:space="preserve">                   VO Dlouhá nad hřištěm ZŠ Dlouhá PD</t>
  </si>
  <si>
    <t>0517/3632/6121</t>
  </si>
  <si>
    <t xml:space="preserve">                   Hřbitov - kolumbárium, vsypová loučka (TSNJ) PD</t>
  </si>
  <si>
    <t xml:space="preserve">                   Hřbitov -chodníky, sítě (TSNJ) PD</t>
  </si>
  <si>
    <t xml:space="preserve">                   Hřbitov - čestné hroby 2. etapa sanace (TSNJ)</t>
  </si>
  <si>
    <t>3632/3632/6121</t>
  </si>
  <si>
    <t xml:space="preserve">                   Smuteční síň a technické zázemí - rekonstrukce (TSNJ)</t>
  </si>
  <si>
    <r>
      <t xml:space="preserve">Výstavba a údržba místních inženýrských sítí </t>
    </r>
    <r>
      <rPr>
        <sz val="10"/>
        <rFont val="Arial CE"/>
      </rPr>
      <t>(IS)</t>
    </r>
    <r>
      <rPr>
        <sz val="9"/>
        <rFont val="Arial CE"/>
      </rPr>
      <t xml:space="preserve"> </t>
    </r>
    <r>
      <rPr>
        <sz val="9"/>
        <rFont val="Arial CE"/>
      </rPr>
      <t>(účet 2310800)</t>
    </r>
  </si>
  <si>
    <t>3727/3633/6121</t>
  </si>
  <si>
    <t xml:space="preserve">                    Inženýrské sítě ve sportovním areálu PD </t>
  </si>
  <si>
    <t>641 - Oddělení rozvoje - kotlíkové dotace</t>
  </si>
  <si>
    <r>
      <t xml:space="preserve">                    Kotlíkové dotace MSK </t>
    </r>
    <r>
      <rPr>
        <sz val="10"/>
        <rFont val="Arial CE"/>
      </rPr>
      <t>účet 231 0417</t>
    </r>
  </si>
  <si>
    <r>
      <t xml:space="preserve">Vnitřní obchod </t>
    </r>
    <r>
      <rPr>
        <sz val="9"/>
        <rFont val="Arial CE"/>
      </rPr>
      <t>(ostatní služby 15)</t>
    </r>
  </si>
  <si>
    <r>
      <t xml:space="preserve">Vnitřní obchod  </t>
    </r>
    <r>
      <rPr>
        <b/>
        <sz val="9"/>
        <rFont val="Arial CE"/>
      </rPr>
      <t xml:space="preserve">- </t>
    </r>
    <r>
      <rPr>
        <sz val="9"/>
        <rFont val="Arial CE"/>
      </rPr>
      <t>opravy a údržba 14,25, materiál 47,65 služby 51,87, příspěvek TSM celkem (jarmarky, vánoční strom, výzdoba,…) 582, pohoštění 6,27 DHM 169,29</t>
    </r>
  </si>
  <si>
    <r>
      <t>Cestovní ruch</t>
    </r>
    <r>
      <rPr>
        <b/>
        <sz val="9"/>
        <rFont val="Arial CE"/>
      </rPr>
      <t xml:space="preserve"> </t>
    </r>
    <r>
      <rPr>
        <sz val="9"/>
        <rFont val="Arial CE"/>
      </rPr>
      <t xml:space="preserve"> (platy 3990, dohody 600, soc.poj. 1125,92, zdrav. poj. 408,6, náhrada mezd za nemoc 33, platby daní a popl. Stát. rozp. 10, knihy, tisk 8, drobný hmotný maj. 1254, materiál (kalendáře, upom. Př., tiskoviny,…) 1093,72, materiál DPH 385, poštovné 1, poštovné DPH 7,5, telefony 10, služby peněž. úst. 50, pronájem 677, služby zprac. dat. 115,5, nákup služeb (prop. inz., služby, rozvoj podnikání na novojičínsku) 2326,5, nákup služeb DPH (služby spojené s kelímky NICKNACK) 231.972, opravy a údržba 128, cestovné 11, pohoštění 200, účast. úpl. 1, ost.nák.j.n. 50, neinvest. transféry 200, neinvest. přísp. Pivobraní 492, dotace z MSK 200 částečně investiční, neinvestiční</t>
    </r>
  </si>
  <si>
    <r>
      <t>Ost.záležitosti kultury, církví a sdělovacích prostředků</t>
    </r>
    <r>
      <rPr>
        <sz val="10"/>
        <rFont val="Arial CE"/>
      </rPr>
      <t xml:space="preserve">  </t>
    </r>
    <r>
      <rPr>
        <sz val="9"/>
        <rFont val="Arial CE"/>
      </rPr>
      <t>(platby za autorská práva-OSA, Integram, ozvučení náměstí)</t>
    </r>
  </si>
  <si>
    <r>
      <t>Mezinárodní spolupráce</t>
    </r>
    <r>
      <rPr>
        <sz val="9"/>
        <rFont val="Arial CE"/>
      </rPr>
      <t xml:space="preserve"> - materiál 150, materiál DPH 20, PHM 15, nájemné 40, služby 500, cestovné 77, pohoštění 250, dohody 5,5, poštovné 5,5, ostatní nákupy 5,5,, věcné dary 5,5.</t>
    </r>
  </si>
  <si>
    <r>
      <t xml:space="preserve">Bezpečnost silničního provozu-BESIP </t>
    </r>
    <r>
      <rPr>
        <sz val="9"/>
        <rFont val="Arial CE"/>
      </rPr>
      <t>(DHM 6, materiál 3, nájemné 42, služby 10, opravy a udržování 7, pohoštění 2, věcné dary 6)</t>
    </r>
  </si>
  <si>
    <r>
      <t>Dopravní obslužnost</t>
    </r>
    <r>
      <rPr>
        <b/>
        <sz val="10"/>
        <rFont val="Arial CE"/>
      </rPr>
      <t xml:space="preserve"> veřejnými službami </t>
    </r>
    <r>
      <rPr>
        <sz val="10"/>
        <rFont val="Arial CE"/>
      </rPr>
      <t>- veřejná doprava</t>
    </r>
  </si>
  <si>
    <r>
      <t xml:space="preserve">             příspěvek na MHD</t>
    </r>
    <r>
      <rPr>
        <sz val="9"/>
        <rFont val="Arial CE"/>
      </rPr>
      <t xml:space="preserve"> (ARRIVA) - dle smlouvy </t>
    </r>
  </si>
  <si>
    <r>
      <t xml:space="preserve">             kompenzace ztráty dopravci za </t>
    </r>
    <r>
      <rPr>
        <sz val="10"/>
        <rFont val="Arial CE"/>
      </rPr>
      <t>provozování cyklo-ski busu</t>
    </r>
  </si>
  <si>
    <t xml:space="preserve">             dokrytí ztráty za provozovaní autobusového spojení Hranice na Moravě </t>
  </si>
  <si>
    <t xml:space="preserve">             KODIS – revize MHD</t>
  </si>
  <si>
    <r>
      <t xml:space="preserve">Bezpečnost silničního provozu - </t>
    </r>
    <r>
      <rPr>
        <sz val="10"/>
        <rFont val="Arial CE"/>
      </rPr>
      <t>znalecké posudky při řešení dopravních deliktů+tlumočení</t>
    </r>
  </si>
  <si>
    <r>
      <t xml:space="preserve">Činnost místní správy - </t>
    </r>
    <r>
      <rPr>
        <sz val="10"/>
        <rFont val="Arial CE"/>
      </rPr>
      <t>ostatní platy (refundace vč.pojist.), konzult.a porad.služby, náhrady svědkům</t>
    </r>
  </si>
  <si>
    <t>Volby do Evropského Parlamentu</t>
  </si>
  <si>
    <t>Mateřské školy</t>
  </si>
  <si>
    <t xml:space="preserve">                                                na údržbu MŠ </t>
  </si>
  <si>
    <t xml:space="preserve">                                                na investice</t>
  </si>
  <si>
    <r>
      <t xml:space="preserve">             v tom:  </t>
    </r>
    <r>
      <rPr>
        <b/>
        <i/>
        <sz val="10"/>
        <rFont val="Arial CE"/>
      </rPr>
      <t>MŠ Sady</t>
    </r>
    <r>
      <rPr>
        <sz val="10"/>
        <rFont val="Arial CE"/>
      </rPr>
      <t xml:space="preserve"> (org. 305)</t>
    </r>
  </si>
  <si>
    <t xml:space="preserve">                               - příspěvek na provoz, včetně energií 1 188, včetně odpisů z nemovitého majetku </t>
  </si>
  <si>
    <r>
      <t xml:space="preserve">                               - příspěvek na údržbu </t>
    </r>
    <r>
      <rPr>
        <sz val="9"/>
        <rFont val="Arial CE"/>
      </rPr>
      <t xml:space="preserve">(malování a nátěry 61, výměna podlahových krytin 153) po zapojení FI a FR 200 </t>
    </r>
  </si>
  <si>
    <t xml:space="preserve">                               - příspěvek na investice </t>
  </si>
  <si>
    <r>
      <t xml:space="preserve">                          MŠ Máj</t>
    </r>
    <r>
      <rPr>
        <sz val="11"/>
        <rFont val="Calibri"/>
        <scheme val="minor"/>
      </rPr>
      <t xml:space="preserve"> (org. 307)</t>
    </r>
  </si>
  <si>
    <t xml:space="preserve">                               - příspěvek na provoz, včetně energií 1 600, včetně odpisů z nemovitého majetku </t>
  </si>
  <si>
    <r>
      <t xml:space="preserve">                               - příspěvek na údržbu </t>
    </r>
    <r>
      <rPr>
        <sz val="9"/>
        <rFont val="Arial CE"/>
      </rPr>
      <t xml:space="preserve">(malování a nátěry 100, výměna podlahových krytin 54, oprava soc.zař. MŠ Vanč. 30, dorozumívací zař. MŠ KČ 117, výměna sklepních oken 20, oprava plotu MŠ Loučka 2.etapa 134) </t>
    </r>
  </si>
  <si>
    <r>
      <t xml:space="preserve">                               - příspěvek na investice</t>
    </r>
    <r>
      <rPr>
        <sz val="9"/>
        <rFont val="Arial CE"/>
      </rPr>
      <t xml:space="preserve"> (</t>
    </r>
    <r>
      <rPr>
        <sz val="9"/>
        <rFont val="Arial CE"/>
      </rPr>
      <t>multifunkční varný kotel 700) zapoejní FI a FR 300</t>
    </r>
  </si>
  <si>
    <r>
      <t xml:space="preserve">                          </t>
    </r>
    <r>
      <rPr>
        <b/>
        <i/>
        <sz val="10"/>
        <rFont val="Arial CE"/>
      </rPr>
      <t>MŠ Trojlístek</t>
    </r>
    <r>
      <rPr>
        <sz val="10"/>
        <rFont val="Arial CE"/>
      </rPr>
      <t xml:space="preserve"> (org. 309)</t>
    </r>
  </si>
  <si>
    <t xml:space="preserve">                               - příspěvek na provoz, včetně energií 1 287, včetně odpisů z nemovitého majetku </t>
  </si>
  <si>
    <r>
      <t xml:space="preserve">                               - příspěvek na údržbu </t>
    </r>
    <r>
      <rPr>
        <sz val="9"/>
        <rFont val="Arial CE"/>
      </rPr>
      <t>(oprava soc.zař. MŠ Kom , vč. PD 252, výměna podlahových krytin 100, malování a nátěry 110, oprava zahradního domku MŠ Beskydská 106</t>
    </r>
    <r>
      <rPr>
        <sz val="9"/>
        <rFont val="Arial CE"/>
      </rPr>
      <t xml:space="preserve">) po zapojení FI a FR 100 </t>
    </r>
  </si>
  <si>
    <r>
      <t xml:space="preserve">                               - příspěvek na investice </t>
    </r>
    <r>
      <rPr>
        <sz val="9"/>
        <rFont val="Arial CE"/>
      </rPr>
      <t>(PD na revitalizaci kotelny 50)</t>
    </r>
  </si>
  <si>
    <t xml:space="preserve">                                na údržbu ZŠ </t>
  </si>
  <si>
    <t xml:space="preserve">                                na investice</t>
  </si>
  <si>
    <r>
      <t xml:space="preserve">              v tom:  </t>
    </r>
    <r>
      <rPr>
        <b/>
        <i/>
        <sz val="10"/>
        <rFont val="Arial CE"/>
      </rPr>
      <t xml:space="preserve">ZŠ Jubilejní </t>
    </r>
    <r>
      <rPr>
        <sz val="10"/>
        <rFont val="Arial CE"/>
      </rPr>
      <t xml:space="preserve">celkem (org. 321) </t>
    </r>
  </si>
  <si>
    <t xml:space="preserve">                              - příspěvek na provoz, včetně energií 5 445, včetně odpisů z nemovitého majetku </t>
  </si>
  <si>
    <r>
      <t xml:space="preserve">                              - přísp.na údržbu</t>
    </r>
    <r>
      <rPr>
        <sz val="9"/>
        <rFont val="Arial CE"/>
      </rPr>
      <t xml:space="preserve"> (Jubilejní: malování a nátěry 275, oprava obkladů soc.zař. 820) ZŠ Dlouhá malování a nátěry 275, oprava dveřních pantů 103, oprava střechy a nátěr pergoly 58) po zapojení FR a FI 400 tis. Kč </t>
    </r>
  </si>
  <si>
    <r>
      <t xml:space="preserve">                              - příspěvek na investice </t>
    </r>
    <r>
      <rPr>
        <sz val="9"/>
        <rFont val="Arial CE"/>
      </rPr>
      <t>(ZŠ Jubilejní: 0</t>
    </r>
    <r>
      <rPr>
        <sz val="9"/>
        <rFont val="Arial CE"/>
      </rPr>
      <t>, ZŠ Dlouhá:</t>
    </r>
    <r>
      <rPr>
        <sz val="9"/>
        <rFont val="Arial CE"/>
      </rPr>
      <t xml:space="preserve"> </t>
    </r>
    <r>
      <rPr>
        <sz val="9"/>
        <rFont val="Arial CE"/>
      </rPr>
      <t>přístřešek dopravního hřiště 292</t>
    </r>
    <r>
      <rPr>
        <sz val="9"/>
        <rFont val="Arial CE"/>
      </rPr>
      <t>)</t>
    </r>
  </si>
  <si>
    <r>
      <t xml:space="preserve">              v tom:  </t>
    </r>
    <r>
      <rPr>
        <b/>
        <i/>
        <sz val="10"/>
        <rFont val="Arial CE"/>
      </rPr>
      <t xml:space="preserve">ZŠ Komenského 66 </t>
    </r>
    <r>
      <rPr>
        <sz val="10"/>
        <rFont val="Arial CE"/>
      </rPr>
      <t>(org. 322)</t>
    </r>
  </si>
  <si>
    <t xml:space="preserve">                              - příspěvek na provoz, včetně energií 2 624, včetně odpisů z nemovitého majetku </t>
  </si>
  <si>
    <r>
      <t xml:space="preserve">                              - příspěvek na údržbu </t>
    </r>
    <r>
      <rPr>
        <sz val="9"/>
        <rFont val="Arial CE"/>
      </rPr>
      <t>(malování a nátěry 200, povrchová úprava podlah tělocvičen 600) po zapojení FR a FI 500 tis. Kč</t>
    </r>
  </si>
  <si>
    <r>
      <t xml:space="preserve">                          </t>
    </r>
    <r>
      <rPr>
        <b/>
        <i/>
        <sz val="10"/>
        <rFont val="Arial CE"/>
      </rPr>
      <t>ZŠ Komenského 68</t>
    </r>
    <r>
      <rPr>
        <sz val="10"/>
        <rFont val="Arial CE"/>
      </rPr>
      <t xml:space="preserve"> (org. 323)</t>
    </r>
  </si>
  <si>
    <t xml:space="preserve">                              - příspěvek na provoz, včetně energií 2 178, včetně odpisů z nemovitého majetku </t>
  </si>
  <si>
    <r>
      <t xml:space="preserve">                              - příspěvek na údržbu </t>
    </r>
    <r>
      <rPr>
        <sz val="9"/>
        <rFont val="Arial CE"/>
      </rPr>
      <t>(</t>
    </r>
    <r>
      <rPr>
        <sz val="9"/>
        <rFont val="Arial CE"/>
      </rPr>
      <t xml:space="preserve">malování a nátěry 400, výměna trámu na střeše a výměna světlíků 75) po zapojení FR a FI 210 </t>
    </r>
  </si>
  <si>
    <r>
      <t xml:space="preserve">                             - příspěvek na investice</t>
    </r>
    <r>
      <rPr>
        <sz val="9"/>
        <rFont val="Arial CE"/>
      </rPr>
      <t xml:space="preserve"> (</t>
    </r>
    <r>
      <rPr>
        <sz val="9"/>
        <rFont val="Arial CE"/>
      </rPr>
      <t xml:space="preserve">modernizace kamerového sstému 65, zabudování řetězových pohonů na okna v tělocvičně 180, chladicí skříň 75) po zapojení FR a FI  320 tis. Kč </t>
    </r>
  </si>
  <si>
    <r>
      <t xml:space="preserve">                         </t>
    </r>
    <r>
      <rPr>
        <b/>
        <i/>
        <sz val="10"/>
        <rFont val="Arial CE"/>
      </rPr>
      <t xml:space="preserve">ZŠ Tyršova </t>
    </r>
    <r>
      <rPr>
        <sz val="10"/>
        <rFont val="Arial CE"/>
      </rPr>
      <t>(org. 325)</t>
    </r>
  </si>
  <si>
    <t xml:space="preserve">                             - příspěvek na provoz (vč. Montessori 250), vč.energií 3 168, vč.odpisů z nem.majetku</t>
  </si>
  <si>
    <r>
      <t xml:space="preserve">                             - příspěvek na údržbu</t>
    </r>
    <r>
      <rPr>
        <sz val="9"/>
        <rFont val="Arial CE"/>
      </rPr>
      <t xml:space="preserve"> (malování a nátěry 200, </t>
    </r>
    <r>
      <rPr>
        <sz val="9"/>
        <rFont val="Arial CE"/>
      </rPr>
      <t xml:space="preserve">poklop na kovovou jímku 100, </t>
    </r>
    <r>
      <rPr>
        <sz val="9"/>
        <rFont val="Arial CE"/>
      </rPr>
      <t>oprava vstupních dveří 127)</t>
    </r>
  </si>
  <si>
    <r>
      <t xml:space="preserve">                             - příspěvek na investice (smažicí pánev 210, bezpečnostní systém 580, </t>
    </r>
    <r>
      <rPr>
        <sz val="10"/>
        <rFont val="Arial CE"/>
      </rPr>
      <t>míchací kotel 1 270</t>
    </r>
    <r>
      <rPr>
        <sz val="10"/>
        <rFont val="Arial CE"/>
      </rPr>
      <t xml:space="preserve">, interaktivní tabule 200) po zapojení FR a FI 590  </t>
    </r>
  </si>
  <si>
    <r>
      <t xml:space="preserve">z toho: </t>
    </r>
    <r>
      <rPr>
        <b/>
        <i/>
        <sz val="10"/>
        <rFont val="Arial CE"/>
      </rPr>
      <t>SVČ Fokus</t>
    </r>
  </si>
  <si>
    <t xml:space="preserve">                  - příspěvek na provoz, včetně energií 1 170, včetně odpisů z nemovitého majetku </t>
  </si>
  <si>
    <t xml:space="preserve">                  - příspěvek na údržbu (sanace vnitřní části objektu a ventilace skepu 270, malování a nátěry 90) po zapojení FR a FI 360</t>
  </si>
  <si>
    <t xml:space="preserve">                             - příspěvek na investice </t>
  </si>
  <si>
    <r>
      <t>Ostatní sportovní činnost</t>
    </r>
    <r>
      <rPr>
        <sz val="11"/>
        <rFont val="Calibri"/>
        <scheme val="minor"/>
      </rPr>
      <t xml:space="preserve"> </t>
    </r>
  </si>
  <si>
    <r>
      <t xml:space="preserve">Divadelní činnost - </t>
    </r>
    <r>
      <rPr>
        <b/>
        <i/>
        <sz val="10"/>
        <rFont val="Arial CE"/>
      </rPr>
      <t>Beskydské divadlo</t>
    </r>
    <r>
      <rPr>
        <b/>
        <sz val="9"/>
        <rFont val="Arial CE"/>
      </rPr>
      <t xml:space="preserve"> </t>
    </r>
    <r>
      <rPr>
        <sz val="9"/>
        <rFont val="Arial CE"/>
      </rPr>
      <t>(org. 504)</t>
    </r>
  </si>
  <si>
    <t>z toho: příspěvek na provoz, včetně energií 2 835, včetně odpisů z nemovitého majetku 522</t>
  </si>
  <si>
    <r>
      <t xml:space="preserve">             příspěvek na údržbu  </t>
    </r>
    <r>
      <rPr>
        <sz val="9"/>
        <rFont val="Arial CE"/>
      </rPr>
      <t xml:space="preserve"> </t>
    </r>
  </si>
  <si>
    <t xml:space="preserve">                  - příspěvek na investice </t>
  </si>
  <si>
    <r>
      <t xml:space="preserve">z toho: osadní výbory </t>
    </r>
    <r>
      <rPr>
        <sz val="9"/>
        <rFont val="Arial CE"/>
      </rPr>
      <t>(Žilina, Straník, Bludovice, Kojetín, Loučka)</t>
    </r>
  </si>
  <si>
    <t>3322</t>
  </si>
  <si>
    <t>z toho: dohody (odborné texty na tabulky, pasport MPR hradební zdi)</t>
  </si>
  <si>
    <t xml:space="preserve">Drobný materiál </t>
  </si>
  <si>
    <t>Up-grade informačního systému památek (okolonas.eu)</t>
  </si>
  <si>
    <t xml:space="preserve">             Propagace v rámci EHD (vlajky a jiné), postřiky hradebních zdí, vč. likvidace náletů, sbírky, rozšíření, posudky, zprac. Programu regenerace MPR, tisk</t>
  </si>
  <si>
    <r>
      <t xml:space="preserve">             Drobné opravy - údržba 50, restaurování kříže Skalky</t>
    </r>
    <r>
      <rPr>
        <sz val="10"/>
        <rFont val="Arial CE"/>
      </rPr>
      <t xml:space="preserve"> 150)</t>
    </r>
  </si>
  <si>
    <t>3326</t>
  </si>
  <si>
    <t>Pořízení, zachování a obnova hodnot místního kulturního, národního a historického povědomí</t>
  </si>
  <si>
    <t>z toho:  drobný materiál 10, oprava kříže a kaplí, pomník P. Vavřík 350,obnova schodů kaple Kojetín 80, obnova kaple Straník výmalba 20, obnoa sochy z kaple Loučka 80,</t>
  </si>
  <si>
    <t xml:space="preserve">            elektrická energie (zvonění kaple Kojetín, Bludovice, Straník) </t>
  </si>
  <si>
    <t>z toho: Osvětová beseda Straník (org. 0502)</t>
  </si>
  <si>
    <r>
      <t xml:space="preserve">z toho: </t>
    </r>
    <r>
      <rPr>
        <b/>
        <i/>
        <sz val="10"/>
        <rFont val="Arial CE"/>
      </rPr>
      <t>Městské kulturní středisko</t>
    </r>
    <r>
      <rPr>
        <b/>
        <sz val="10"/>
        <rFont val="Arial CE"/>
      </rPr>
      <t xml:space="preserve"> </t>
    </r>
    <r>
      <rPr>
        <sz val="9"/>
        <rFont val="Arial CE"/>
      </rPr>
      <t>(org. 501)</t>
    </r>
  </si>
  <si>
    <t xml:space="preserve">           -  příspěvek na provoz MKS a Kina Květen, vč.energií 1 620, vč.odpisů z nem.majetku 178 </t>
  </si>
  <si>
    <t xml:space="preserve">          -  příspěvek na investice (kamerový systém knihovny 180, instalace klimatizace do výstavní síně Stará pošta 73, spisová služba Gordic 61) zapojení FR a FI 314</t>
  </si>
  <si>
    <r>
      <t xml:space="preserve">           -  příspěvek na údržbu </t>
    </r>
    <r>
      <rPr>
        <sz val="9"/>
        <rFont val="Arial CE"/>
      </rPr>
      <t xml:space="preserve">(sanační práce v klubovně Bašta 50, výměna oken Stará pošta, zapojení do PR MPR 330, oprava nátěru plotu kolem knihovny 193) Kino Květen (oprava digit. projektoru 425, výměna externího osvětlení kina 98) zapojení FR a FI 1096 </t>
    </r>
  </si>
  <si>
    <r>
      <t xml:space="preserve">            mimořádné dotace a dary (org. 1180): </t>
    </r>
    <r>
      <rPr>
        <sz val="9"/>
        <rFont val="Arial CE"/>
      </rPr>
      <t>MŠ Beruška 267, ZŠ Galaxie 452 a MŠ Bludovice 61,776 - všechny 3 subjekty na úhradu režijních nákladů na stravování dětí včetně dovozu, ZO ČSOP Bartošovice  záchrana handicapovaných zvířat 90, Česká křesťanská akademie 15, stipendia 200</t>
    </r>
  </si>
  <si>
    <t>z toho : platy 18400, zák.odvody 4538,4 + 1647, ochr. pomůcky 0, zdrav.pomůcky 5, výstroj 350, knihy, časopisy a tisk 2, DHM 163, materiál 143, elektř. 35, PHM 264, služby pošt 1, telekomunikace 245, nájemné 30, konzult.a porad.služby 3, školení 77, konference 3, služby 1490-750, opravy a udrž. 275, služby zpracování dat 200, cestovné 17, neinv.přísp.a náhrady-prac.úrazy 50, kolky 10, náhrady za nemoc 150, správní poplatky 6, investice: progr. vybavení, stroje: kamera pro RZ 170, kamera MKDS 150, záznamové zařízení hovorů 250</t>
  </si>
  <si>
    <t>12791948,49</t>
  </si>
  <si>
    <r>
      <t>Chata Jičínka-</t>
    </r>
    <r>
      <rPr>
        <b/>
        <sz val="10"/>
        <rFont val="Arial CE"/>
      </rPr>
      <t>org.4381</t>
    </r>
    <r>
      <rPr>
        <sz val="10"/>
        <rFont val="Arial CE"/>
      </rPr>
      <t xml:space="preserve"> </t>
    </r>
    <r>
      <rPr>
        <sz val="9"/>
        <rFont val="Arial CE"/>
      </rPr>
      <t xml:space="preserve">(v tom: drobný hmotný majetek 80, materiál 20, voda 11, elektr.energie 170, PHM 1, služby-praní, odpady,... 30, opravy a udržování 150, místní poplatky 20, </t>
    </r>
    <r>
      <rPr>
        <b/>
        <sz val="9"/>
        <rFont val="Arial CE"/>
      </rPr>
      <t>investice:</t>
    </r>
    <r>
      <rPr>
        <sz val="9"/>
        <rFont val="Arial CE"/>
      </rPr>
      <t xml:space="preserve"> další etapa - rekonstrukce střechy, spol. místnost a terenní úpravy 500)</t>
    </r>
  </si>
  <si>
    <r>
      <t xml:space="preserve">Ochrana obyvatelstva </t>
    </r>
    <r>
      <rPr>
        <sz val="9"/>
        <rFont val="Arial CE"/>
      </rPr>
      <t>(letáky+uživat.příručky 1, DHM 20, zpracování dat-data hosting, GSM přenosy 35, systém varování před povodněmi-hladinoměry dle servisní smlouvy 24, opravy a udržování systému varování před povodněmi 30)</t>
    </r>
  </si>
  <si>
    <r>
      <t xml:space="preserve">Krizová opatření </t>
    </r>
    <r>
      <rPr>
        <sz val="9"/>
        <rFont val="Arial CE"/>
      </rPr>
      <t>(čerpá se jen při živelních pohromách: přikrývky, písek+pytle, respirátory, dezinfekce, zabezpečení chodu evak.středisek, teplo, elektrická energie, PHM, služby: ubytovací,stravovací,dopravní)</t>
    </r>
  </si>
  <si>
    <r>
      <t xml:space="preserve">Ostatní správa v oblasti krizového řízení </t>
    </r>
    <r>
      <rPr>
        <sz val="9"/>
        <rFont val="Arial CE"/>
      </rPr>
      <t>(PHM do elektrocentrály 1, služby 2, materiál 1, knihy+učební pomůcky+tisk 1) - čerpá se jen v mimořádných událostech</t>
    </r>
  </si>
  <si>
    <r>
      <t xml:space="preserve">Požární ochrana - profesionální část </t>
    </r>
    <r>
      <rPr>
        <sz val="9"/>
        <rFont val="Arial CE"/>
      </rPr>
      <t>(příspěvek HZS MSK dle smlouvy zvýšené o inflaci - předpoklad 10 %)</t>
    </r>
  </si>
  <si>
    <r>
      <t xml:space="preserve">Požární ochrana - dobrovolná část </t>
    </r>
    <r>
      <rPr>
        <sz val="9"/>
        <rFont val="Arial CE"/>
      </rPr>
      <t>(pro hasiče Straník: OOPP 20, DHM - vysoušeč, svítilny 25, materiál 10, PHM 15, služby+internet 5, nákup služeb-technické prohlídky vozidel, měření emisí, výměna pneu,... 10, opravy a udržování-příprava na STK, drobné opravy vozového parku 40)</t>
    </r>
  </si>
  <si>
    <r>
      <t xml:space="preserve">z toho </t>
    </r>
    <r>
      <rPr>
        <b/>
        <sz val="9"/>
        <rFont val="Arial CE"/>
      </rPr>
      <t>provoz</t>
    </r>
    <r>
      <rPr>
        <sz val="9"/>
        <rFont val="Arial CE"/>
      </rPr>
      <t>: činnost místní správy-</t>
    </r>
    <r>
      <rPr>
        <b/>
        <sz val="9"/>
        <rFont val="Arial CE"/>
      </rPr>
      <t>org.381</t>
    </r>
    <r>
      <rPr>
        <sz val="9"/>
        <rFont val="Arial CE"/>
      </rPr>
      <t xml:space="preserve"> v tom: odměny za užití duševního vlastnictví-OSA 40, ochranné pomůcky - OOPP pro nové zaměstnance a obměna stávajících 40, léky a zdrav.materiál 6, knihy+učební pomůcky+tisk 100, Novojičínský zpravodaj 500, drobný hmotný majetek-nábytek 1000, mobily, skartovačky, kan.židle, skříně, police 380, podlah.krytiny 200, materiál-kancelářský, hygienický, čistící, doručovací, ikebana, automobily-mazadla, nemrznoucí směsi,... 1075, voda 444, teplo 3150, elektr.energie 2550, pevná paliva 5, PHM 170, služby pošt 2310, telekomun.120, nájemné 140, právní služby 357,4, služby BOZP 72,6, bezplatné právní služby pro veřejnost 50, zpracování dat 281, služby vč. úklidu,servisu kopírek, elektrorevize 4285, opravy a udržování - servis vozidel 300,opravy židlí 20, příp. škodní události 100, malování, nátěry oken a dveří 450, Div. 8 garáže - oprava kanalizace, oprava garážových vrat 30,  ostatní opravy 1000, okna sekretariát VM 150, Div. 1 kanalizace 400, Div. 1 střešní okna 950, Div. 8 brána a zeď 350, pohoštění 200, ostatní nákupy (čl. přísp. auditorů a tajemníků) 4,5, daně a poplatky vč. dálničních známek 30, ostatní výdaje 2, </t>
    </r>
  </si>
  <si>
    <r>
      <t>z toho</t>
    </r>
    <r>
      <rPr>
        <b/>
        <sz val="9"/>
        <rFont val="Arial CE"/>
      </rPr>
      <t xml:space="preserve"> investice: </t>
    </r>
    <r>
      <rPr>
        <sz val="9"/>
        <rFont val="Arial CE"/>
      </rPr>
      <t>činnost místní správy-</t>
    </r>
    <r>
      <rPr>
        <b/>
        <sz val="9"/>
        <rFont val="Arial CE"/>
      </rPr>
      <t>org.381:</t>
    </r>
    <r>
      <rPr>
        <sz val="9"/>
        <rFont val="Arial CE"/>
      </rPr>
      <t xml:space="preserve"> soubor nábytku, koberec, kuch. linky 100, sl. vozidlo 1500</t>
    </r>
  </si>
  <si>
    <r>
      <t xml:space="preserve">Úsek informatiky </t>
    </r>
    <r>
      <rPr>
        <sz val="9"/>
        <rFont val="Arial CE"/>
      </rPr>
      <t xml:space="preserve">- </t>
    </r>
    <r>
      <rPr>
        <b/>
        <sz val="9"/>
        <rFont val="Arial CE"/>
      </rPr>
      <t>provoz - org.3381</t>
    </r>
    <r>
      <rPr>
        <sz val="9"/>
        <rFont val="Arial CE"/>
      </rPr>
      <t xml:space="preserve"> (v tom: drobný hmotný majetek-nové PC a LCD monitory, notebooky, kopírky, tiskárny, web kamera - nový HW, drobné síťové prvky, UPS 790, materiál 195, nájemné 40, školení 50, služby zpracování dat 3097,3, ost.služby-znalecké posudky, osvědčení, proj. dokumentace kybernetická bezpečnost NIS2 200, opravy a udržování 240, nákup softwaru 70.</t>
    </r>
  </si>
  <si>
    <r>
      <t>Úsek informatiky</t>
    </r>
    <r>
      <rPr>
        <b/>
        <sz val="9"/>
        <rFont val="Arial CE"/>
      </rPr>
      <t xml:space="preserve"> </t>
    </r>
    <r>
      <rPr>
        <sz val="9"/>
        <rFont val="Arial CE"/>
      </rPr>
      <t xml:space="preserve">- </t>
    </r>
    <r>
      <rPr>
        <b/>
        <sz val="9"/>
        <rFont val="Arial CE"/>
      </rPr>
      <t xml:space="preserve">investice - org.3381 </t>
    </r>
    <r>
      <rPr>
        <sz val="9"/>
        <rFont val="Arial CE"/>
      </rPr>
      <t xml:space="preserve">programové vybavení - rozvoj GIS 200, nákup IS 1162,81, nákup SW -office 2023 700, nový plotr 60, nákup scaneru A3 70. </t>
    </r>
  </si>
  <si>
    <r>
      <t>Mobilní telefony-</t>
    </r>
    <r>
      <rPr>
        <b/>
        <sz val="10"/>
        <rFont val="Arial CE"/>
      </rPr>
      <t>org.7381</t>
    </r>
  </si>
  <si>
    <r>
      <t>Pevné telefony-</t>
    </r>
    <r>
      <rPr>
        <b/>
        <sz val="10"/>
        <rFont val="Arial CE"/>
      </rPr>
      <t>org.8381</t>
    </r>
  </si>
  <si>
    <r>
      <t>Dotace na OSPOD-</t>
    </r>
    <r>
      <rPr>
        <b/>
        <sz val="10"/>
        <rFont val="Arial CE"/>
      </rPr>
      <t>org. 1385</t>
    </r>
    <r>
      <rPr>
        <sz val="10"/>
        <rFont val="Arial CE"/>
      </rPr>
      <t xml:space="preserve"> </t>
    </r>
    <r>
      <rPr>
        <sz val="9"/>
        <rFont val="Arial CE"/>
      </rPr>
      <t xml:space="preserve">(v tom: knihy 5, DHM 30, materiál 30, PHM 40, služby telekomunikací 18, zpracování dat 72,6, ostatní služby 10, nájemné - leasing 140,3, služby peněžních ústavů - pojištění 15,114) </t>
    </r>
  </si>
  <si>
    <r>
      <t>Pojištění funkčně nespecifikované</t>
    </r>
    <r>
      <rPr>
        <sz val="9"/>
        <rFont val="Arial CE"/>
      </rPr>
      <t xml:space="preserve"> (pojištění 1500, náhrady za nezpůsobenou újmu 50)</t>
    </r>
  </si>
  <si>
    <r>
      <t xml:space="preserve">Rozhlas a televize </t>
    </r>
    <r>
      <rPr>
        <sz val="10"/>
        <rFont val="Arial CE"/>
      </rPr>
      <t>nákup ost. služeb 3109</t>
    </r>
  </si>
  <si>
    <r>
      <t>Zastupitelstva obcí</t>
    </r>
    <r>
      <rPr>
        <sz val="9"/>
        <rFont val="Arial CE"/>
      </rPr>
      <t xml:space="preserve"> (ost.platy-refundace mzdy 30, odměny členů ZM 8520, zák.odvody 1046,6+766,8, refund.zák.odvodů 12, školení a vzdělávání pro uvolněné ZM 10, parkovné 0,5, cestovné (ubytování a doprava) 20, pohoštění vč.komisí a výborů 200, poplatky na konference 7, ošatné 90, dary 30)</t>
    </r>
  </si>
  <si>
    <r>
      <t>z toho provoz: činnost místní správy-</t>
    </r>
    <r>
      <rPr>
        <b/>
        <sz val="9"/>
        <rFont val="Arial CE"/>
      </rPr>
      <t>org.381 (bez OSPODu)</t>
    </r>
    <r>
      <rPr>
        <sz val="9"/>
        <rFont val="Arial CE"/>
      </rPr>
      <t xml:space="preserve"> v tom: platy 93200, ost.platy 10, dohody 1400, refundace 10, zák.odvody 23461+8514+520+1, školení a vzdělávání 900, elektronické předplatné 50, léky a zdr. mat. 20, právní služby 50, nákup ostatních služeb 2600, cestovné 350, konference 15, ostatní (ošatné ceremoniářky,matrikářky,hudebníci) 204, náhrady 40, náhrady mezd v nemoci  2000, </t>
    </r>
  </si>
  <si>
    <r>
      <t>Dotace na OSPOD-</t>
    </r>
    <r>
      <rPr>
        <b/>
        <sz val="10"/>
        <rFont val="Arial CE"/>
      </rPr>
      <t>org. 1385</t>
    </r>
    <r>
      <rPr>
        <sz val="10"/>
        <rFont val="Arial CE"/>
      </rPr>
      <t xml:space="preserve"> </t>
    </r>
    <r>
      <rPr>
        <sz val="9"/>
        <rFont val="Arial CE"/>
      </rPr>
      <t>v tom: platy 6900, dohody 30, zák.odvody 1718,6+623,7, školení 180, cestovné 10</t>
    </r>
  </si>
  <si>
    <r>
      <t>Sociální fond</t>
    </r>
    <r>
      <rPr>
        <sz val="10"/>
        <rFont val="Arial CE"/>
      </rPr>
      <t xml:space="preserve"> </t>
    </r>
    <r>
      <rPr>
        <sz val="9"/>
        <rFont val="Arial CE"/>
      </rPr>
      <t>(nákup ost. sl.  4067+60+21, rekreace zaměstnanců 3140, pohoštění-setkání zaměstnanců+bývalých zaměstnanců 206, dary obyvatelstvu při úmrtí zaměstnance nebo člena rodiny 100, jubilea 285, penzijní a životní pojištění zaměstn. 1150+30, akce odborů+nájemné Mořkov 26+9</t>
    </r>
  </si>
  <si>
    <r>
      <t xml:space="preserve">Nebytové hospodářství </t>
    </r>
    <r>
      <rPr>
        <sz val="9"/>
        <rFont val="Arial CE"/>
      </rPr>
      <t>(Sokolovská 9: drobný hmotný majetek 3, materiál 1, služby 3)</t>
    </r>
  </si>
  <si>
    <r>
      <t xml:space="preserve">Pohřebnictví </t>
    </r>
    <r>
      <rPr>
        <sz val="9"/>
        <rFont val="Arial CE"/>
      </rPr>
      <t>(úhrada sociálních pohřbů)</t>
    </r>
  </si>
  <si>
    <t>z toho: věcné dary/nákup materiálu (státní příspěvek na výkon SPOD) ÚZ 13024, org. 1385</t>
  </si>
  <si>
    <t xml:space="preserve">             terapeutické pobyty pro děti s omezenými příležitostmi (v tom dar Veolie 50)</t>
  </si>
  <si>
    <t>z toho: nákup služeb - Komunitní plánování (org. 0439), včetně zájezdu pro seniory 50</t>
  </si>
  <si>
    <t>z toho:   Klub seniorů Nový Jičín (org. 0383)</t>
  </si>
  <si>
    <t xml:space="preserve">               Klub seniorů Straník (org. 2383)</t>
  </si>
  <si>
    <t xml:space="preserve">               Klub seniorů Loučka (org. 3383)</t>
  </si>
  <si>
    <t xml:space="preserve">               Kavárničky - setkání seniorů v DPS (org. 3393)</t>
  </si>
  <si>
    <r>
      <t>Záležitosti soc. věcí a politiky nezaměstn. j.n.</t>
    </r>
    <r>
      <rPr>
        <b/>
        <sz val="9"/>
        <rFont val="Arial CE"/>
      </rPr>
      <t xml:space="preserve"> </t>
    </r>
    <r>
      <rPr>
        <sz val="9"/>
        <rFont val="Arial CE"/>
      </rPr>
      <t>(nákup tiskopisů receptů a žádanek na omamné látky, vč.zálohy pokladně pro nesvéprávné)</t>
    </r>
  </si>
  <si>
    <t>Rezerva</t>
  </si>
  <si>
    <r>
      <t xml:space="preserve">             podpora sociálních služeb dle zákona o soc.službách (org. 1113), </t>
    </r>
    <r>
      <rPr>
        <sz val="8"/>
        <rFont val="Arial CE"/>
      </rPr>
      <t>vč. spolufinancování obcí 1.459.028 Kč</t>
    </r>
  </si>
  <si>
    <r>
      <t xml:space="preserve">             podpora občanů města v pobytových soc. zařízeních (org. 1114), </t>
    </r>
    <r>
      <rPr>
        <sz val="8"/>
        <rFont val="Arial CE"/>
      </rPr>
      <t>vč. spolufinancování obcí 1.203.095 Kč</t>
    </r>
  </si>
  <si>
    <t xml:space="preserve">             podpora dostupnosti stomatologické péče ve městě Nový Jičín</t>
  </si>
  <si>
    <t xml:space="preserve">             individuální dotace z IP kraje 2022+ -Charita AD 1.644.000, Sl.Diakonie Soc.reh. 596.000, Jinak Podpora sam.bydlení 70.000</t>
  </si>
  <si>
    <t xml:space="preserve">             individuální dotace na Seniorpoint Nový Jičín (org. 5383)</t>
  </si>
  <si>
    <t xml:space="preserve">             individuální dotace - rezerva na dofinancování soc.oblasti</t>
  </si>
  <si>
    <r>
      <t xml:space="preserve">z toho </t>
    </r>
    <r>
      <rPr>
        <b/>
        <sz val="10"/>
        <rFont val="Arial CE"/>
      </rPr>
      <t>Pečovatelská služba</t>
    </r>
    <r>
      <rPr>
        <b/>
        <sz val="9"/>
        <rFont val="Arial CE"/>
      </rPr>
      <t xml:space="preserve"> (org.390)</t>
    </r>
    <r>
      <rPr>
        <sz val="9"/>
        <rFont val="Arial CE"/>
      </rPr>
      <t xml:space="preserve">: platy4530+785, dohody 60+50, zákonné odvody 1150+237, 408+71, potraviny 1, ochranné osobní pomůcky 40, léky+zdrav.mater.3, prádlo+oděv 2, knihy+tisk 1,5, DHM  80, materiál  120, elektř. 83, PHM 120, služby telekomunikací 0, mobily 12, pevné linky 3, školení a vzdělávání 50, zpracování dat 40, služby 70, opravy a udržování 150, cestovné 20, účastnické poplatky na konference 12, ostatní nákupy 0, neinvestiční transfery spolkům 3,5, náhrady mezd v době nemoci 83+20, dopravní prostředky 0   </t>
    </r>
  </si>
  <si>
    <r>
      <t xml:space="preserve">z toho </t>
    </r>
    <r>
      <rPr>
        <b/>
        <sz val="10"/>
        <rFont val="Arial CE"/>
      </rPr>
      <t>Denní stacionář=Domovinka</t>
    </r>
    <r>
      <rPr>
        <b/>
        <sz val="9"/>
        <rFont val="Arial CE"/>
      </rPr>
      <t xml:space="preserve"> (org.1391)</t>
    </r>
    <r>
      <rPr>
        <sz val="9"/>
        <rFont val="Arial CE"/>
      </rPr>
      <t>: platy 1040+ 410, dohody 60, zákonné odvody270+103 96+40, ochr.os.pomůcky 8, prádlo+oděv 1,5, knihy+tisk 1, DHM 15, materiál 32, elektrická energie 17, služby telekomunikací 1, školení a vzdělávání 10, zpracování dat 10, služby 33, opravy a údržba 58, cestovné 1, účastn.popl.na konferencích 2,5, náhrady mezd v době nemoci  5+10</t>
    </r>
  </si>
  <si>
    <r>
      <t xml:space="preserve">z toho </t>
    </r>
    <r>
      <rPr>
        <b/>
        <sz val="10"/>
        <rFont val="Arial CE"/>
      </rPr>
      <t xml:space="preserve">Odlehčovací služba Pohoda </t>
    </r>
    <r>
      <rPr>
        <b/>
        <sz val="9"/>
        <rFont val="Arial CE"/>
      </rPr>
      <t>(org.1393)</t>
    </r>
    <r>
      <rPr>
        <sz val="9"/>
        <rFont val="Arial CE"/>
      </rPr>
      <t xml:space="preserve">: platy 3360+940, dohody 400, zákonné odvody 900+235,  350+85, OOP+oděvy 20+8, DHM 45, materiál 60, elektř.30, telef. 1, školení a vzdělávání 25, zpracování dat 20, služby 50, opravy a údržba 15, cestovné 1, poplatky na konference 2,5, náhrady v době nemoci  80+15                                               </t>
    </r>
  </si>
  <si>
    <r>
      <t xml:space="preserve">z toho </t>
    </r>
    <r>
      <rPr>
        <b/>
        <sz val="9"/>
        <rFont val="Arial CE"/>
      </rPr>
      <t>investice</t>
    </r>
    <r>
      <rPr>
        <sz val="9"/>
        <rFont val="Arial CE"/>
      </rPr>
      <t xml:space="preserve">: nákup 2 vozidel </t>
    </r>
    <r>
      <rPr>
        <b/>
        <sz val="9"/>
        <rFont val="Arial CE"/>
      </rPr>
      <t>(org.3904)</t>
    </r>
  </si>
  <si>
    <t xml:space="preserve">Pěstební činnost </t>
  </si>
  <si>
    <t xml:space="preserve">Celospolečenské funkce lesů </t>
  </si>
  <si>
    <r>
      <t xml:space="preserve">Ostatní správa ve vodním hospodářství </t>
    </r>
    <r>
      <rPr>
        <sz val="9"/>
        <rFont val="Arial CE"/>
      </rPr>
      <t>(havárie)</t>
    </r>
  </si>
  <si>
    <r>
      <t>Sběr a svoz nebezpečných odpadů</t>
    </r>
    <r>
      <rPr>
        <b/>
        <sz val="9"/>
        <rFont val="Arial CE"/>
      </rPr>
      <t xml:space="preserve"> </t>
    </r>
    <r>
      <rPr>
        <sz val="9"/>
        <rFont val="Arial CE"/>
      </rPr>
      <t>(TSM: 50)</t>
    </r>
  </si>
  <si>
    <r>
      <t xml:space="preserve">z toho: TSM příspěvek na investice </t>
    </r>
    <r>
      <rPr>
        <sz val="9"/>
        <rFont val="Arial CE"/>
      </rPr>
      <t>(2024: ramenový nakladač 4 250 mil.+natahovač kontejnerů 3.337,434 mil)</t>
    </r>
  </si>
  <si>
    <r>
      <t xml:space="preserve">Využívání a zneškodňování komunálních odpadů </t>
    </r>
    <r>
      <rPr>
        <sz val="10"/>
        <rFont val="Arial CE"/>
      </rPr>
      <t>(pořízení 300 ks kompostérů z dotace)</t>
    </r>
  </si>
  <si>
    <r>
      <t xml:space="preserve">Monitoring půdy a podzemní vody </t>
    </r>
    <r>
      <rPr>
        <sz val="9"/>
        <rFont val="Arial CE"/>
      </rPr>
      <t xml:space="preserve">(sledování vrtů na Kojetíně) </t>
    </r>
  </si>
  <si>
    <r>
      <t>Chráněné části přírody</t>
    </r>
    <r>
      <rPr>
        <sz val="9"/>
        <rFont val="Arial CE"/>
      </rPr>
      <t xml:space="preserve"> (památné stromy, významné krajinné prvky)</t>
    </r>
  </si>
  <si>
    <t xml:space="preserve">z toho: Zelené město </t>
  </si>
  <si>
    <r>
      <t xml:space="preserve">             příspěvek na investice TSM </t>
    </r>
    <r>
      <rPr>
        <sz val="9"/>
        <rFont val="Arial CE"/>
      </rPr>
      <t xml:space="preserve">(2024:hákový nakladač 2 600 tis., přeložka elektriky SD Palackého 150 tis.) </t>
    </r>
  </si>
  <si>
    <t>031 - Dotace, návratné finanční výpomoci a dary cizím subjektům</t>
  </si>
  <si>
    <r>
      <t>031/</t>
    </r>
    <r>
      <rPr>
        <b/>
        <sz val="9"/>
        <rFont val="Arial CE"/>
      </rPr>
      <t>2321</t>
    </r>
    <r>
      <rPr>
        <sz val="9"/>
        <rFont val="Arial CE"/>
      </rPr>
      <t>/6371</t>
    </r>
  </si>
  <si>
    <t xml:space="preserve">                    Dotace na vybudování malých domovních čistíren odpadních vod</t>
  </si>
  <si>
    <r>
      <t>Střední odborné školy (EDUCA) -</t>
    </r>
    <r>
      <rPr>
        <sz val="10"/>
        <rFont val="Arial CE"/>
      </rPr>
      <t xml:space="preserve"> běžné opravy 100, zápočet investic a nájmu 303</t>
    </r>
  </si>
  <si>
    <t xml:space="preserve">   Sportovní hala s bazénem: org. 0515</t>
  </si>
  <si>
    <t xml:space="preserve">                       - nákup zahradního traktoru s hydraulickým vyprazdňováním koše (pol 6122)</t>
  </si>
  <si>
    <t xml:space="preserve">                       - nákup telefonní ústředna, defibrilátor (pol. 6122)</t>
  </si>
  <si>
    <t xml:space="preserve">         - v tom:     nepředvídané opravy</t>
  </si>
  <si>
    <t xml:space="preserve">          - příspěvek Basketbalovému klubu, z.s. (provoz+energie)  + oprava dešťových svodů (500)       AÚ 437 </t>
  </si>
  <si>
    <t xml:space="preserve">          - nákup DDHM a ost.materiálu  5137 (nákup 8ks lehátek pro saunový provoz), 5139 </t>
  </si>
  <si>
    <t xml:space="preserve">   Zimní stadión: org. 0522</t>
  </si>
  <si>
    <t xml:space="preserve">             - příspěvek Hokejovému klubu, z.s. (provoz+energie)         AÚ 437</t>
  </si>
  <si>
    <t xml:space="preserve">             - nákup DDHM a ost.materiálu  5137 , 5139 </t>
  </si>
  <si>
    <t xml:space="preserve">             - služby pol. 5169 (PD, posudky, studie)</t>
  </si>
  <si>
    <t xml:space="preserve">            - výměna motoru VZT (75),  výměna elektroinstalace v šatnách č.32/33 (100), výměna dveří vč.zárubní (200), boxy na sezení šatny  č.32 ,33 (240)</t>
  </si>
  <si>
    <t xml:space="preserve">           PD - investice, realizace do 1 mil. Kč </t>
  </si>
  <si>
    <t xml:space="preserve">                          - generální opravy volných bytů (vrácené byty zdevastované nebo po exekucích) </t>
  </si>
  <si>
    <t xml:space="preserve">                          - PD a posudky opravy střech, fasád, odvlhčení domů ve správě OB, apod.</t>
  </si>
  <si>
    <t xml:space="preserve">                          - realizace oprav střech, fasád, odvlhčení domů ve správě OB (do 1 mil. Kč)</t>
  </si>
  <si>
    <t xml:space="preserve">                          - generální opravy bytů v MPR ( pro ORI nad 1 mil)</t>
  </si>
  <si>
    <t xml:space="preserve">             úsek 1 (p. Kabuďová ):  </t>
  </si>
  <si>
    <t xml:space="preserve">                          - běžná údržba a opravy, výměny zařizovacích předmětů </t>
  </si>
  <si>
    <t xml:space="preserve">                             DPS Pod Lipami - výměna vstupních dveří</t>
  </si>
  <si>
    <t xml:space="preserve">                             DPS  Revoluční 6 - opravy hromosvodů </t>
  </si>
  <si>
    <t xml:space="preserve">                             Výmalba společných prostor a schodišť (Jičínská 272, Na Lani 212)</t>
  </si>
  <si>
    <t xml:space="preserve">             úsek 2 + MPR (p. Honešová): </t>
  </si>
  <si>
    <t xml:space="preserve">                             Výmalba společných prostor a schodišť (Bulharská 9,7,11,13,15,17 + Luční 2,3,4)</t>
  </si>
  <si>
    <r>
      <t xml:space="preserve">             </t>
    </r>
    <r>
      <rPr>
        <b/>
        <sz val="10"/>
        <rFont val="Arial CE"/>
      </rPr>
      <t>domovníci</t>
    </r>
    <r>
      <rPr>
        <sz val="10"/>
        <rFont val="Arial CE"/>
      </rPr>
      <t xml:space="preserve"> (mzdy a odvody, AÚ 0800)</t>
    </r>
  </si>
  <si>
    <r>
      <t xml:space="preserve">           </t>
    </r>
    <r>
      <rPr>
        <b/>
        <sz val="10"/>
        <rFont val="Arial CE"/>
      </rPr>
      <t xml:space="preserve">  služby</t>
    </r>
    <r>
      <rPr>
        <sz val="10"/>
        <rFont val="Arial CE"/>
      </rPr>
      <t xml:space="preserve">  org. 0518 (úklidy,revize,výtahy, odečty,poruch.služba, deratizace,čištění kanalizace,komíny, SBI, zn. posudky)</t>
    </r>
  </si>
  <si>
    <t xml:space="preserve">             příspěvek do fondu oprav v SVJ (kotelny Vančurova 16, Dlouhá 45, Mendelova 8) ( pol. 5192)</t>
  </si>
  <si>
    <t xml:space="preserve">Nákup zboží (paragony)- pol. 5139 </t>
  </si>
  <si>
    <t>Náklady na energie - org. 0518</t>
  </si>
  <si>
    <t xml:space="preserve">            - vodné a stočné</t>
  </si>
  <si>
    <t xml:space="preserve">            - dodávka tepla </t>
  </si>
  <si>
    <t xml:space="preserve">            - plyn</t>
  </si>
  <si>
    <t xml:space="preserve">            - elektřina </t>
  </si>
  <si>
    <t>TSM  - požadavky Redmine, OB příspěvek - AÚ 0800, po. 5169</t>
  </si>
  <si>
    <t xml:space="preserve">              Hückelovy vily - zpracování studií vily J. Hückela (300), aktualizace studie vily  A. Hückela (100), studie areálu (100)</t>
  </si>
  <si>
    <t xml:space="preserve">              Příspěvek na investice TSM  (AÚ 0800, pol. 6351) - Administrativní budova: Klimatizační jednotka 2.patro - PD vč.realizace        (520), Zateplení stropu pod střechou ( 80)</t>
  </si>
  <si>
    <t xml:space="preserve">              Hotel Praha - WC u zadního vchodu -realizace </t>
  </si>
  <si>
    <r>
      <t xml:space="preserve">              SK Straník 147 - realizace ČOV (</t>
    </r>
    <r>
      <rPr>
        <b/>
        <sz val="10"/>
        <rFont val="Arial CE"/>
      </rPr>
      <t>2023</t>
    </r>
    <r>
      <rPr>
        <sz val="10"/>
        <rFont val="Arial CE"/>
      </rPr>
      <t xml:space="preserve"> - nákup zahradní sekačky, pol. 6122, přístřešek pol. 6121)</t>
    </r>
  </si>
  <si>
    <t xml:space="preserve">              Straník 80 - realizace ČOV</t>
  </si>
  <si>
    <t>Nákup DHDM pro org. 0518,8518 - pol. 5137</t>
  </si>
  <si>
    <t>Nákup zboží (paragony)- pol. 5139 (50 tis. 0518, 30 tis. 8518)</t>
  </si>
  <si>
    <t>Náklady na energie - org. 0518, 2518, 8518, 5518</t>
  </si>
  <si>
    <t xml:space="preserve">            - elektřina  </t>
  </si>
  <si>
    <t xml:space="preserve">z toho:  PD pro NP </t>
  </si>
  <si>
    <t xml:space="preserve">            služby + revize org. 0518 - nebytové domy </t>
  </si>
  <si>
    <t xml:space="preserve">            služby + revize org. 2518 Hotel Praha </t>
  </si>
  <si>
    <t xml:space="preserve">            služby + revize org. 8518  Hűckelovy vily (Smlouva správce)</t>
  </si>
  <si>
    <t xml:space="preserve">            dohody+odvody - Bludovice, Straník, Kojetín, Žilina   AÚ0 800</t>
  </si>
  <si>
    <t xml:space="preserve">            TSM - provoz veřejných WC+WC u letního kina AÚ 0800</t>
  </si>
  <si>
    <t xml:space="preserve">            TSM - požadavky Redmine, OB příspěvek - AÚ 0800, pol. 5169</t>
  </si>
  <si>
    <t xml:space="preserve">            Hückelovy vily - spoluúčast na dotačních titulech (fixace nástropních maleb E. Veitha, restaurátorský průzkum maleb), výkup předmětů pro sbírku HV Ministerstva kultury pol. 5169</t>
  </si>
  <si>
    <t xml:space="preserve">              Příspěvek na TSM - Výměna osvětlení za úsporné LED v objektech svěřených TSM NJ, městská tržnice (100 tis.)</t>
  </si>
  <si>
    <t xml:space="preserve">             úsek 5 - NP + NP v MPR (p. Friedecká, Černochová)</t>
  </si>
  <si>
    <t xml:space="preserve">             úsek 5 (p. Friedecká): </t>
  </si>
  <si>
    <t xml:space="preserve">                          - akce úsek 5 celkem:</t>
  </si>
  <si>
    <t xml:space="preserve">                                      Hűckelovy vily- oprava a údržba do doby rekonstrukce - střecha, věže, kovářské a zámečnické práce </t>
  </si>
  <si>
    <t xml:space="preserve">                                      Hückelovy vily - oprava vrátnice </t>
  </si>
  <si>
    <t xml:space="preserve">                                      Hotel Praha - nepředvídané opravy </t>
  </si>
  <si>
    <t xml:space="preserve">            - osadní výbory celkem:                                                                                       </t>
  </si>
  <si>
    <t xml:space="preserve">                   Loučka 90</t>
  </si>
  <si>
    <t xml:space="preserve">                   Straník 80 (nepředvídatelné opravy)</t>
  </si>
  <si>
    <t xml:space="preserve">                   SK Straník 147 (oprava fasády, nová podlaha v tělocvičně, výměna oken - II. část) </t>
  </si>
  <si>
    <t xml:space="preserve">                   Bludovice 13  - drobné opravy</t>
  </si>
  <si>
    <t xml:space="preserve">                   Žilina</t>
  </si>
  <si>
    <t xml:space="preserve">                   Kojetín 7-stavební úpravy (dětská herna, tělocvična), oprava dlažby a osvětl. ve volební místnosti </t>
  </si>
  <si>
    <r>
      <t xml:space="preserve">Lokální zásobování teplem </t>
    </r>
    <r>
      <rPr>
        <sz val="10"/>
        <rFont val="Arial CE"/>
      </rPr>
      <t>(tepelné hospodářství)</t>
    </r>
  </si>
  <si>
    <t>z toho:  nákup služeb - obsluha a revize kotelny Hotelu Praha + Suvorovova 152 + Dům k Archivu 2, revize  pol. 5169</t>
  </si>
  <si>
    <t xml:space="preserve">             nepředvídané opravy a havárie teplovodů , výměna potrubí TUV Loučka 300</t>
  </si>
  <si>
    <t xml:space="preserve">             nepředvídané opravy tepelného hospodářství (havarie OPS, přípojek a potrubí TUV, rozvodů tepla a prostupů)</t>
  </si>
  <si>
    <r>
      <t xml:space="preserve">             opravy kotelen - sanace, opravy střechy, omítek (</t>
    </r>
    <r>
      <rPr>
        <sz val="10"/>
        <rFont val="Arial CE"/>
      </rPr>
      <t>realizace: modernizace OPS v rozsahu ÚT+MAR Zborovská 11-600 vč. vyregulování,-300 spalinovod kotelna bazén-600, výměny nefunkčních armatur domovních přípojek čtyřtrubkového teplovodního systému-100, výměny původního vnitřního teplovodu za plast Loučka -500, modernizace 9 ks OPS v rozsahu TUV Sportovní 2, 4, Bezručova 32, 41, Bulharská 6, Palackého 76, Gregorova 36, Dlouhá 43, 52-600)</t>
    </r>
  </si>
  <si>
    <r>
      <t xml:space="preserve">             Dodávka </t>
    </r>
    <r>
      <rPr>
        <sz val="10"/>
        <rFont val="Arial CE"/>
      </rPr>
      <t xml:space="preserve">5 ks nerez zásobníků teplé vody do kotelen a odběrných před.stanic v domech </t>
    </r>
  </si>
  <si>
    <r>
      <t xml:space="preserve">Osobní asistence, pečovatelská služba a podpora samostatného bydlení </t>
    </r>
    <r>
      <rPr>
        <sz val="10"/>
        <rFont val="Arial CE"/>
      </rPr>
      <t>(DPS-telefony, AÚ 0800)</t>
    </r>
  </si>
  <si>
    <r>
      <t xml:space="preserve">Azylové domy, nízkoprahová denní centra a noclehárny </t>
    </r>
    <r>
      <rPr>
        <sz val="10"/>
        <rFont val="Arial CE"/>
      </rPr>
      <t xml:space="preserve"> (nejnutnější akce)</t>
    </r>
  </si>
  <si>
    <t xml:space="preserve">            Azylový dům Nový Jičín (výměna vnitřních dveří, oprava pokojů v 1. patře, oprava plotu a střechy)</t>
  </si>
  <si>
    <t xml:space="preserve">            Azylový dům Straník (provizorní oprava podlah 40, nepředvídatelné opravy 100)</t>
  </si>
  <si>
    <t xml:space="preserve">            komplexní řízení energetiky - software energetický management ENSYTRA a roční poplatek (pol. 5168)</t>
  </si>
  <si>
    <t xml:space="preserve">            výběr dodavatele elektřiny a plynu na rok 2025 (na 2 až 3 roky)</t>
  </si>
  <si>
    <t xml:space="preserve">            Energetické dokumentace (EA, PENB, energetický posudek dle požadavku dotací)</t>
  </si>
  <si>
    <t xml:space="preserve">            PD - projektování v tepelném hospodářství</t>
  </si>
  <si>
    <t xml:space="preserve">            Opravy VN rozvaděčů a trafostanic - bazén, zimní stadion, tržnice, areál TSM </t>
  </si>
  <si>
    <r>
      <t xml:space="preserve">Ostatní správa v průmyslu, stavebnictví, obchodu a službách </t>
    </r>
    <r>
      <rPr>
        <sz val="9"/>
        <rFont val="Arial CE"/>
      </rPr>
      <t>(stavební úřad)</t>
    </r>
  </si>
  <si>
    <t>z toho: změny územního plánu města (změna č. 7, změna č. 8)</t>
  </si>
  <si>
    <r>
      <t xml:space="preserve">Bezpečnost silničního provozu - </t>
    </r>
    <r>
      <rPr>
        <sz val="10"/>
        <rFont val="Arial CE"/>
      </rPr>
      <t>převod příjmů z min.roku na příjmový účet-kód 146 NŘ přestupky dopravní</t>
    </r>
  </si>
  <si>
    <r>
      <t>Základní školy</t>
    </r>
    <r>
      <rPr>
        <sz val="10"/>
        <rFont val="Arial CE"/>
      </rPr>
      <t xml:space="preserve"> - finanční vypořádání</t>
    </r>
  </si>
  <si>
    <r>
      <t>z toho: doplatek energií za r. 2023</t>
    </r>
    <r>
      <rPr>
        <sz val="9"/>
        <rFont val="Arial CE"/>
      </rPr>
      <t xml:space="preserve"> (ZŠ+MŠ Jub 237,96757+ ZŠ K66 45,26034+ ZŠ K68 71,09203+ ZŠ Tyrš 416,27447)</t>
    </r>
  </si>
  <si>
    <r>
      <rPr>
        <b/>
        <sz val="10"/>
        <rFont val="Arial CE"/>
      </rPr>
      <t xml:space="preserve">Bytové hospodářství </t>
    </r>
    <r>
      <rPr>
        <sz val="10"/>
        <rFont val="Arial CE"/>
      </rPr>
      <t>(úroky z úvěru u ČS)</t>
    </r>
  </si>
  <si>
    <r>
      <t>2310800/741/</t>
    </r>
    <r>
      <rPr>
        <b/>
        <sz val="10"/>
        <rFont val="Arial CE"/>
      </rPr>
      <t>3639</t>
    </r>
    <r>
      <rPr>
        <sz val="9"/>
        <rFont val="Arial CE"/>
      </rPr>
      <t>/5362</t>
    </r>
  </si>
  <si>
    <r>
      <t>Komunální služby a územní rozvoj</t>
    </r>
    <r>
      <rPr>
        <b/>
        <sz val="10"/>
        <rFont val="Arial CE"/>
      </rPr>
      <t xml:space="preserve"> </t>
    </r>
    <r>
      <rPr>
        <sz val="10"/>
        <rFont val="Arial CE"/>
      </rPr>
      <t>(soudní poplatky, realizace exekucí, ...)</t>
    </r>
  </si>
  <si>
    <r>
      <t xml:space="preserve">Činnost místní správy </t>
    </r>
    <r>
      <rPr>
        <sz val="10"/>
        <rFont val="Arial CE"/>
      </rPr>
      <t>(daňové, účetní poradenství, odborné konzultace, psí známky, poplatky FÚ za bezdlužnost města)</t>
    </r>
  </si>
  <si>
    <r>
      <t>Obecné příjmy a výdaje z finančních operací</t>
    </r>
    <r>
      <rPr>
        <b/>
        <sz val="9"/>
        <rFont val="Arial CE"/>
      </rPr>
      <t xml:space="preserve"> </t>
    </r>
    <r>
      <rPr>
        <sz val="10"/>
        <rFont val="Arial CE"/>
      </rPr>
      <t>(bankovní poplatky za vedení účtů a položky)</t>
    </r>
  </si>
  <si>
    <r>
      <t xml:space="preserve">z toho: daň z příjmů právnických osob za obec </t>
    </r>
    <r>
      <rPr>
        <sz val="10"/>
        <rFont val="Arial CE"/>
      </rPr>
      <t>(stejná výše je uvedena i v příjmech na pol. 1122)</t>
    </r>
  </si>
  <si>
    <t xml:space="preserve">             daň z přidané hodnoty za město (odvod+režim PDP za 12/2023) </t>
  </si>
  <si>
    <t>Finanční vypořádání</t>
  </si>
  <si>
    <t xml:space="preserve">             vratka části dotace Obědy dětem (úz 253+911 ZŠK 66)</t>
  </si>
  <si>
    <t xml:space="preserve">             vratka části dotace Obědy dětem (úz 253+911 ZŠK 68)</t>
  </si>
  <si>
    <t xml:space="preserve">             vratka části dotace Obědy dětem (úz 253+911 ZŠMŠ Jub 18,354)</t>
  </si>
  <si>
    <t>z toho: rozpočtová rezerva (vč.rezervy  z progr.dotací OSV: celorok 291, dobrov. 5, hospic 65)</t>
  </si>
  <si>
    <r>
      <t xml:space="preserve">            členství města ve svazech a sdruž. </t>
    </r>
    <r>
      <rPr>
        <sz val="10"/>
        <rFont val="Arial CE"/>
      </rPr>
      <t>(org.1010):</t>
    </r>
    <r>
      <rPr>
        <sz val="9"/>
        <rFont val="Arial CE"/>
      </rPr>
      <t xml:space="preserve"> </t>
    </r>
    <r>
      <rPr>
        <sz val="10"/>
        <rFont val="Arial CE"/>
      </rPr>
      <t>Partnerství pro městskou mobilitu (bývalá Asociace cykloměst) 5, MAS Lašsko 80, Národní síť zdravých měst 44,7735, Svaz měst a obcí 76,89776, Sdružení historických sídel 28,195, EUROREGION SILESIA-CZ 58,74, ...,</t>
    </r>
  </si>
  <si>
    <t xml:space="preserve">            mylné výdaje</t>
  </si>
  <si>
    <t>0382/3421/6121</t>
  </si>
  <si>
    <r>
      <t xml:space="preserve">Využívání a zneškodňování ostatních odpadů </t>
    </r>
    <r>
      <rPr>
        <sz val="10"/>
        <rFont val="Arial CE"/>
      </rPr>
      <t>(pořízení 300 ks kompostérů z dotace)</t>
    </r>
  </si>
  <si>
    <t>Výsledky hospodaření města Nový Jičín 
za rok 2024</t>
  </si>
  <si>
    <r>
      <t xml:space="preserve">Schválený rozpočet
rok 2024
</t>
    </r>
    <r>
      <rPr>
        <sz val="9"/>
        <rFont val="Arial CE"/>
      </rPr>
      <t>(v Kč)</t>
    </r>
  </si>
  <si>
    <r>
      <t xml:space="preserve">Upravený rozpočet
rok 2024
</t>
    </r>
    <r>
      <rPr>
        <sz val="9"/>
        <rFont val="Arial CE"/>
      </rPr>
      <t>(v Kč)</t>
    </r>
  </si>
  <si>
    <r>
      <t xml:space="preserve">Skutečnost za
rok 2024
</t>
    </r>
    <r>
      <rPr>
        <sz val="9"/>
        <rFont val="Arial CE"/>
      </rPr>
      <t>v Kč</t>
    </r>
  </si>
  <si>
    <t>rok 2023</t>
  </si>
  <si>
    <t>Příjem ze zrušeného odvodu z loterií a podobných her kromě VHP</t>
  </si>
  <si>
    <r>
      <t xml:space="preserve">Příjem z ostatních odvodů příspěvkových organizací </t>
    </r>
    <r>
      <rPr>
        <sz val="9"/>
        <rFont val="Arial CE"/>
      </rPr>
      <t>(splátky z exe býv.účetní ZŠ K68)</t>
    </r>
    <r>
      <rPr>
        <b/>
        <i/>
        <sz val="9"/>
        <rFont val="Arial CE"/>
      </rPr>
      <t xml:space="preserve"> </t>
    </r>
    <r>
      <rPr>
        <b/>
        <i/>
        <sz val="9"/>
        <color indexed="2"/>
        <rFont val="Arial CE"/>
      </rPr>
      <t xml:space="preserve"> </t>
    </r>
    <r>
      <rPr>
        <b/>
        <i/>
        <sz val="9"/>
        <rFont val="Arial CE"/>
      </rPr>
      <t xml:space="preserve">   </t>
    </r>
    <r>
      <rPr>
        <sz val="9"/>
        <rFont val="Arial CE"/>
      </rPr>
      <t xml:space="preserve">      </t>
    </r>
  </si>
  <si>
    <r>
      <t xml:space="preserve">              § 3613 v nebyt.prostorech </t>
    </r>
    <r>
      <rPr>
        <sz val="9"/>
        <rFont val="Arial CE"/>
      </rPr>
      <t>(Odbor správy majetku: nájem plynovodu 100)</t>
    </r>
  </si>
  <si>
    <t xml:space="preserve">              § 3639 nájemné za pozemky (nájem reklamních ploch 400)</t>
  </si>
  <si>
    <t xml:space="preserve">             § 3631 veřejné osvětlení </t>
  </si>
  <si>
    <t xml:space="preserve">             § 6409 ostatní činnosti j.n.</t>
  </si>
  <si>
    <t xml:space="preserve">            § vratky dotací-oblast sociální 2023 (541 org.1180, 1112)</t>
  </si>
  <si>
    <t xml:space="preserve">            § vratky dotací-oblast sportu 2023 (441 org. 1180, 1131, 1132)</t>
  </si>
  <si>
    <t xml:space="preserve">           § 2143 cestovní ruch (Návštěvnické centrum NJ)</t>
  </si>
  <si>
    <t xml:space="preserve">           § 2229 ostatní záležitosti v silniční dopravě</t>
  </si>
  <si>
    <t xml:space="preserve">           § 6409 ostatní činnosti j.n.</t>
  </si>
  <si>
    <t xml:space="preserve">           § 4399 ost.záležitosti soc.věcí </t>
  </si>
  <si>
    <r>
      <t xml:space="preserve">           § 6171 neinvestiční příspěvek na výkon soc.právní ochrany dětí </t>
    </r>
    <r>
      <rPr>
        <sz val="9"/>
        <rFont val="Arial CE"/>
      </rPr>
      <t>(předpokládaná dotace z MPSV) - po schválení je rozpočtováno na pol. 4116 (ÚZ 13024)</t>
    </r>
  </si>
  <si>
    <r>
      <t xml:space="preserve">           § 6171 neinvestiční příspěvek pouze na výkon soc.práce mimo soc.právní ochranu dětí </t>
    </r>
    <r>
      <rPr>
        <sz val="9"/>
        <rFont val="Arial CE"/>
      </rPr>
      <t>(předpokládaná dotace z MPSV) - po schválení je rozpočtováno na pol. 4116 (ÚZ 914)</t>
    </r>
  </si>
  <si>
    <r>
      <t xml:space="preserve">           § 6409 neinvestiční příspěvek na regeneraci MPR a MPZ (předpokládaná dotace z MK ČR) -</t>
    </r>
    <r>
      <rPr>
        <sz val="9"/>
        <rFont val="Arial CE"/>
      </rPr>
      <t>po schválení je rozpočtováno na pol. 4116 (ÚZ 34054)</t>
    </r>
  </si>
  <si>
    <t xml:space="preserve">           § 6171, § 6409 odbor organizační, OF  </t>
  </si>
  <si>
    <t xml:space="preserve">             zastávka Žilina</t>
  </si>
  <si>
    <t xml:space="preserve">            na volby do Senátu a zastupitelstev krajů (úz 98193)</t>
  </si>
  <si>
    <r>
      <t xml:space="preserve">            MPSV - Výkon soc.práce mimo sociálně právní ochrany dětí </t>
    </r>
    <r>
      <rPr>
        <sz val="9"/>
        <rFont val="Arial CE"/>
      </rPr>
      <t>(ÚZ 13015)</t>
    </r>
  </si>
  <si>
    <t xml:space="preserve">            MPSV - Výkon sociálně-právní ochrany dětí (ÚZ 13024)-dopl 2023</t>
  </si>
  <si>
    <t xml:space="preserve">            MPSV - Výkon sociálně-právní ochrany dětí (ÚZ 13024)-rok 2024</t>
  </si>
  <si>
    <t xml:space="preserve">            MK - oprava a výměna oken a restaurování kamen.prvků radnice (ÚZ 34054)</t>
  </si>
  <si>
    <r>
      <t xml:space="preserve">            Podpora turistických informačních center v MSK - pro Návštěvnické centrum NJ </t>
    </r>
    <r>
      <rPr>
        <sz val="9"/>
        <rFont val="Arial CE"/>
      </rPr>
      <t>(ÚZ 674)</t>
    </r>
  </si>
  <si>
    <r>
      <t xml:space="preserve">            Podpora mezinárodní spolupráce v NJ </t>
    </r>
    <r>
      <rPr>
        <sz val="9"/>
        <rFont val="Arial CE"/>
      </rPr>
      <t>(ÚZ 801)</t>
    </r>
  </si>
  <si>
    <t xml:space="preserve">            Potravinová pomoc dětem do škol (obědy) - pro ZŠ Tyrš - SR (ÚZ 253) +EU (ÚZ 911), NáZ 144 1,5</t>
  </si>
  <si>
    <r>
      <t xml:space="preserve">            Okresní a krajská kola soutěží vyhlášená pro rok 2023 - SVČ Fokus </t>
    </r>
    <r>
      <rPr>
        <sz val="9"/>
        <rFont val="Arial CE"/>
      </rPr>
      <t>(ÚZ 910)</t>
    </r>
  </si>
  <si>
    <t xml:space="preserve">            Povodně 2024 - JSDH Straník (ÚZ 916)</t>
  </si>
  <si>
    <t xml:space="preserve">            Povodně 2024 - majetek města (ÚZ 916)</t>
  </si>
  <si>
    <t xml:space="preserve">            SFŽP-Nová zelená úsporám-Revitalizace BD Hřbitovní 1655/44 (ÚZ 90504 NáZ 1715) </t>
  </si>
  <si>
    <t xml:space="preserve">            MŽP-OPŽP-IV-EU-Výstavba FVE v TSM (CF) - (úz 15501 NáZ 1485)</t>
  </si>
  <si>
    <t xml:space="preserve">            MMR - IROP Autobusová zastávka Riegrova (úz 17519, NáZ 1495)</t>
  </si>
  <si>
    <t xml:space="preserve">            MMR - NPO-SR/EU - IT vybavení stavebních úřadů (úz 17526, NáZ 170 1,5)</t>
  </si>
  <si>
    <t xml:space="preserve">            Reg.sport.ag.-Obnova škol.hřiště u ZŠ K66 (ÚZ 62501)</t>
  </si>
  <si>
    <t>z toho: Revitalizace veřejného prostranství Horního nádraží (ÚZ 612)</t>
  </si>
  <si>
    <r>
      <t xml:space="preserve">           Podpora technických atraktivit v NJ - pro Návštěvnické centrum NJ</t>
    </r>
    <r>
      <rPr>
        <sz val="10"/>
        <rFont val="Arial CE"/>
      </rPr>
      <t xml:space="preserve"> (ÚZ 694)</t>
    </r>
  </si>
  <si>
    <t xml:space="preserve">            Lávka Novosady přes Jičínku (ÚZ 712)</t>
  </si>
  <si>
    <t>Aktivní krd operace řízení likvidity</t>
  </si>
  <si>
    <t>0387/2321/51xx</t>
  </si>
  <si>
    <t>investice  Lávka Straník u č.p. 119 PD</t>
  </si>
  <si>
    <t xml:space="preserve">               Propustek Straník u č.p. 59 PD</t>
  </si>
  <si>
    <t>0386/2212/51xx</t>
  </si>
  <si>
    <t xml:space="preserve">                přísp.TSM - Chodník ke studni + úprava prostoru kolem studny v Žilině</t>
  </si>
  <si>
    <t xml:space="preserve">                Parkoviště Dlouhá č.p. 50, 52</t>
  </si>
  <si>
    <t xml:space="preserve">                Parkoviště Žilina, u kostela (p.č. 673/2)</t>
  </si>
  <si>
    <t xml:space="preserve">                Cyklopruhy na ul. B. Martinů v Novém Jičíně</t>
  </si>
  <si>
    <t xml:space="preserve">                Kontejnerová stání</t>
  </si>
  <si>
    <t xml:space="preserve">            služby - PD k opravám</t>
  </si>
  <si>
    <t xml:space="preserve">            opravy a údržba chodníků</t>
  </si>
  <si>
    <t>0513/3341/51xx</t>
  </si>
  <si>
    <t xml:space="preserve">             Dětská hřiště - inv- Výletní lokalita Čerťák</t>
  </si>
  <si>
    <t xml:space="preserve">                  opravy a údržba ( 200 oplocení Hückelovy vily, 500 nátěry dřev. prvků , 300 oplocení ČOV Kojetín, hradeb.zeď) </t>
  </si>
  <si>
    <t>0382/3631/51xx</t>
  </si>
  <si>
    <t xml:space="preserve">                    VO-přeložka VO Bludovice</t>
  </si>
  <si>
    <t>3902/3631/6121</t>
  </si>
  <si>
    <t xml:space="preserve">                     Sanace svahu MK Kojetín</t>
  </si>
  <si>
    <t xml:space="preserve">                     Lávka Straník u č.p. 119 PD</t>
  </si>
  <si>
    <t>1074/2219/6121</t>
  </si>
  <si>
    <t xml:space="preserve">                    Regenerace PS Dvořákova 1.etapa</t>
  </si>
  <si>
    <r>
      <t xml:space="preserve">                   ZŠ Komenského 66 - výměna ležatých rozvodů vody a výměna podhledů </t>
    </r>
    <r>
      <rPr>
        <sz val="10"/>
        <color indexed="2"/>
        <rFont val="Arial CE"/>
      </rPr>
      <t xml:space="preserve">1.et.ukonč 2023, </t>
    </r>
    <r>
      <rPr>
        <sz val="10"/>
        <rFont val="Arial CE"/>
      </rPr>
      <t>2.et.PD</t>
    </r>
  </si>
  <si>
    <t>1423/3113/51xx</t>
  </si>
  <si>
    <t>1425/3113/51xx</t>
  </si>
  <si>
    <t xml:space="preserve">                   ZŠ Komenského 66 - podlaha tělocvičny</t>
  </si>
  <si>
    <t>1605/3326/51xx</t>
  </si>
  <si>
    <t>3720/3634/6121</t>
  </si>
  <si>
    <t>3903/3412/6121</t>
  </si>
  <si>
    <t>Volby do Senátu a zastupitelstev krajů</t>
  </si>
  <si>
    <t>27433084,42</t>
  </si>
  <si>
    <t xml:space="preserve">             převod na účet Fond sociálních služeb</t>
  </si>
  <si>
    <r>
      <t xml:space="preserve">z toho </t>
    </r>
    <r>
      <rPr>
        <b/>
        <sz val="9"/>
        <rFont val="Arial CE"/>
      </rPr>
      <t>investice</t>
    </r>
    <r>
      <rPr>
        <sz val="9"/>
        <rFont val="Arial CE"/>
      </rPr>
      <t xml:space="preserve">: nákup 2 vozidel </t>
    </r>
    <r>
      <rPr>
        <b/>
        <sz val="9"/>
        <rFont val="Arial CE"/>
      </rPr>
      <t xml:space="preserve">(org.3904), </t>
    </r>
    <r>
      <rPr>
        <sz val="9"/>
        <rFont val="Arial CE"/>
      </rPr>
      <t>nabíjecí stanice</t>
    </r>
    <r>
      <rPr>
        <b/>
        <sz val="9"/>
        <rFont val="Arial CE"/>
      </rPr>
      <t xml:space="preserve"> (org 0390)</t>
    </r>
  </si>
  <si>
    <r>
      <t xml:space="preserve">z toho: TSM příspěvek na investice </t>
    </r>
    <r>
      <rPr>
        <sz val="9"/>
        <rFont val="Arial CE"/>
      </rPr>
      <t>(2024: ramenový nakladač 4 250+164,201 mil.+natahovač kontejnerů 3.337,434 mil)</t>
    </r>
  </si>
  <si>
    <r>
      <t xml:space="preserve">             příspěvek na investice TSM </t>
    </r>
    <r>
      <rPr>
        <sz val="9"/>
        <rFont val="Arial CE"/>
      </rPr>
      <t xml:space="preserve">(2024:hákový nakladač 2 600-186,05 tis., přeložka elektriky SD Palackého 150 tis., ohřívač TUV) </t>
    </r>
  </si>
  <si>
    <t xml:space="preserve">                       - nákup telefonní ústředna, defibrilátor, čerpadlo, odstředivka na plavky (pol. 6122)</t>
  </si>
  <si>
    <t xml:space="preserve">            - výměna motoru VZT (75),  výměna elektroinstalace v šatnách č.32/33 (100), výměna dveří vč.zárubní (200), boxy na sezení šatny  č.32 ,33 (240), havar.oprava kompresoru (186,18175)</t>
  </si>
  <si>
    <t xml:space="preserve">              Příspěvek na TSM - Výměna osvětlení za úsporné LED v objektech svěřených TSM NJ, městská tržnice (100 tis.), opr.čerp.stanice v TSM 40 tis)</t>
  </si>
  <si>
    <t xml:space="preserve">             PD Rekonstrukce kotelny Rolba ZS </t>
  </si>
  <si>
    <r>
      <t xml:space="preserve">Poskytnutí vzájem.zahr.pomoci dle mezinár.smluv - </t>
    </r>
    <r>
      <rPr>
        <sz val="10"/>
        <rFont val="Arial CE"/>
      </rPr>
      <t>peněžitý dar Pavlohradu</t>
    </r>
  </si>
  <si>
    <t xml:space="preserve">             vratka části dotace Revitalizace veř.prostranství býv.Horního nádraží (úz 612)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</si>
</sst>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č_-;\-* #,##0.00\ _K_č_-;_-* &quot;-&quot;??\ _K_č_-;_-@_-"/>
    <numFmt numFmtId="164" formatCode="_-* #,##0.00\ _K_č_-;\-* #,##0.00\ _K_č_-;_-* \-??\ _K_č_-;_-@_-"/>
    <numFmt numFmtId="165" formatCode="#,##0.000"/>
    <numFmt numFmtId="166" formatCode="0.0"/>
  </numFmts>
  <fonts count="62" x14ac:knownFonts="1">
    <font>
      <sz val="10"/>
      <color theme="1"/>
      <name val="Arial CE"/>
    </font>
    <font>
      <sz val="10"/>
      <name val="Arial CE"/>
    </font>
    <font>
      <sz val="11"/>
      <color theme="1"/>
      <name val="Calibri"/>
      <scheme val="minor"/>
    </font>
    <font>
      <sz val="11"/>
      <color indexed="64"/>
      <name val="Calibri"/>
    </font>
    <font>
      <sz val="10"/>
      <name val="Arial"/>
    </font>
    <font>
      <b/>
      <sz val="10"/>
      <name val="Arial CE"/>
    </font>
    <font>
      <b/>
      <sz val="12"/>
      <name val="Arial CE"/>
    </font>
    <font>
      <b/>
      <sz val="14"/>
      <name val="Arial CE"/>
    </font>
    <font>
      <b/>
      <sz val="9"/>
      <name val="Arial CE"/>
    </font>
    <font>
      <sz val="14"/>
      <name val="Arial CE"/>
    </font>
    <font>
      <sz val="12"/>
      <name val="Arial CE"/>
    </font>
    <font>
      <b/>
      <i/>
      <sz val="12"/>
      <name val="Arial CE"/>
    </font>
    <font>
      <i/>
      <sz val="12"/>
      <name val="Arial CE"/>
    </font>
    <font>
      <sz val="18"/>
      <name val="Arial CE"/>
    </font>
    <font>
      <b/>
      <sz val="18"/>
      <name val="Arial CE"/>
    </font>
    <font>
      <b/>
      <sz val="16"/>
      <name val="Arial CE"/>
    </font>
    <font>
      <b/>
      <i/>
      <sz val="14"/>
      <name val="Arial CE"/>
    </font>
    <font>
      <b/>
      <i/>
      <sz val="13"/>
      <name val="Arial CE"/>
    </font>
    <font>
      <sz val="16"/>
      <name val="Arial CE"/>
    </font>
    <font>
      <sz val="10"/>
      <color indexed="64"/>
      <name val="Arial"/>
    </font>
    <font>
      <sz val="9"/>
      <name val="Arial CE"/>
    </font>
    <font>
      <b/>
      <sz val="20"/>
      <name val="Arial CE"/>
    </font>
    <font>
      <sz val="20"/>
      <name val="Arial CE"/>
    </font>
    <font>
      <sz val="8"/>
      <name val="Arial CE"/>
    </font>
    <font>
      <sz val="10"/>
      <color indexed="64"/>
      <name val="Arial CE"/>
    </font>
    <font>
      <b/>
      <sz val="12"/>
      <color indexed="64"/>
      <name val="Arial CE"/>
    </font>
    <font>
      <b/>
      <sz val="15"/>
      <name val="Arial CE"/>
    </font>
    <font>
      <sz val="9"/>
      <name val="Arial"/>
    </font>
    <font>
      <sz val="11"/>
      <name val="Calibri"/>
    </font>
    <font>
      <sz val="10"/>
      <color indexed="40"/>
      <name val="Arial CE"/>
    </font>
    <font>
      <sz val="10"/>
      <color indexed="30"/>
      <name val="Arial CE"/>
    </font>
    <font>
      <b/>
      <i/>
      <sz val="10"/>
      <name val="Arial CE"/>
    </font>
    <font>
      <u/>
      <sz val="9"/>
      <name val="Arial CE"/>
    </font>
    <font>
      <b/>
      <sz val="10"/>
      <name val="Arial"/>
    </font>
    <font>
      <b/>
      <i/>
      <sz val="10"/>
      <name val="Arial"/>
    </font>
    <font>
      <sz val="10"/>
      <color indexed="2"/>
      <name val="Arial"/>
    </font>
    <font>
      <b/>
      <sz val="10"/>
      <color indexed="2"/>
      <name val="Arial"/>
    </font>
    <font>
      <i/>
      <sz val="10"/>
      <name val="Arial CE"/>
    </font>
    <font>
      <i/>
      <sz val="10"/>
      <name val="Arial"/>
    </font>
    <font>
      <i/>
      <sz val="11"/>
      <name val="Calibri"/>
    </font>
    <font>
      <sz val="9"/>
      <name val="Tahoma"/>
    </font>
    <font>
      <sz val="14"/>
      <name val="Arial"/>
    </font>
    <font>
      <i/>
      <sz val="12"/>
      <name val="Arial"/>
    </font>
    <font>
      <b/>
      <sz val="14"/>
      <color indexed="64"/>
      <name val="Arial CE"/>
    </font>
    <font>
      <sz val="14"/>
      <color indexed="64"/>
      <name val="Arial CE"/>
    </font>
    <font>
      <sz val="8"/>
      <color theme="1"/>
      <name val="Arial CE"/>
    </font>
    <font>
      <b/>
      <sz val="14"/>
      <color theme="1"/>
      <name val="Arial CE"/>
    </font>
    <font>
      <b/>
      <sz val="12"/>
      <name val="Arial"/>
    </font>
    <font>
      <b/>
      <sz val="14"/>
      <name val="Arial"/>
    </font>
    <font>
      <b/>
      <sz val="10"/>
      <color indexed="64"/>
      <name val="Arial CE"/>
    </font>
    <font>
      <sz val="10"/>
      <color indexed="2"/>
      <name val="Arial CE"/>
    </font>
    <font>
      <sz val="11"/>
      <name val="Arial CE"/>
    </font>
    <font>
      <b/>
      <sz val="11"/>
      <name val="Arial CE"/>
    </font>
    <font>
      <i/>
      <sz val="9"/>
      <name val="Arial CE"/>
    </font>
    <font>
      <b/>
      <i/>
      <sz val="9"/>
      <name val="Arial CE"/>
    </font>
    <font>
      <b/>
      <i/>
      <u/>
      <sz val="10"/>
      <name val="Arial"/>
    </font>
    <font>
      <sz val="8"/>
      <name val="Arial"/>
    </font>
    <font>
      <b/>
      <i/>
      <sz val="9"/>
      <color indexed="2"/>
      <name val="Arial CE"/>
    </font>
    <font>
      <sz val="9"/>
      <color theme="1"/>
      <name val="Arial CE"/>
    </font>
    <font>
      <sz val="10"/>
      <color theme="9"/>
      <name val="Arial CE"/>
    </font>
    <font>
      <sz val="11"/>
      <name val="Calibri"/>
      <scheme val="minor"/>
    </font>
    <font>
      <b/>
      <sz val="9"/>
      <name val="Tahoma"/>
    </font>
  </fonts>
  <fills count="9">
    <fill>
      <patternFill patternType="none"/>
    </fill>
    <fill>
      <patternFill patternType="gray125"/>
    </fill>
    <fill>
      <patternFill patternType="solid">
        <fgColor indexed="26"/>
      </patternFill>
    </fill>
    <fill>
      <patternFill patternType="solid">
        <fgColor indexed="65"/>
        <bgColor indexed="26"/>
      </patternFill>
    </fill>
    <fill>
      <patternFill patternType="solid">
        <fgColor indexed="42"/>
        <bgColor indexed="27"/>
      </patternFill>
    </fill>
    <fill>
      <patternFill patternType="solid">
        <fgColor indexed="47"/>
        <bgColor indexed="22"/>
      </patternFill>
    </fill>
    <fill>
      <patternFill patternType="solid">
        <fgColor theme="0"/>
      </patternFill>
    </fill>
    <fill>
      <patternFill patternType="solid">
        <fgColor theme="7" tint="0.59999389629810485"/>
        <bgColor indexed="65"/>
      </patternFill>
    </fill>
    <fill>
      <patternFill patternType="solid">
        <fgColor theme="9" tint="0.79998168889431442"/>
        <bgColor indexed="65"/>
      </patternFill>
    </fill>
  </fills>
  <borders count="163">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bottom style="medium">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hair">
        <color indexed="64"/>
      </bottom>
      <diagonal/>
    </border>
    <border>
      <left/>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hair">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medium">
        <color indexed="64"/>
      </left>
      <right style="medium">
        <color indexed="64"/>
      </right>
      <top/>
      <bottom style="thin">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auto="1"/>
      </left>
      <right style="thin">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style="medium">
        <color auto="1"/>
      </left>
      <right style="medium">
        <color auto="1"/>
      </right>
      <top style="medium">
        <color auto="1"/>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medium">
        <color indexed="64"/>
      </top>
      <bottom style="hair">
        <color auto="1"/>
      </bottom>
      <diagonal/>
    </border>
    <border>
      <left style="medium">
        <color indexed="64"/>
      </left>
      <right style="medium">
        <color auto="1"/>
      </right>
      <top style="medium">
        <color indexed="64"/>
      </top>
      <bottom style="hair">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indexed="64"/>
      </left>
      <right style="medium">
        <color auto="1"/>
      </right>
      <top style="hair">
        <color auto="1"/>
      </top>
      <bottom style="hair">
        <color auto="1"/>
      </bottom>
      <diagonal/>
    </border>
    <border>
      <left style="medium">
        <color auto="1"/>
      </left>
      <right style="medium">
        <color auto="1"/>
      </right>
      <top style="hair">
        <color auto="1"/>
      </top>
      <bottom style="medium">
        <color indexed="64"/>
      </bottom>
      <diagonal/>
    </border>
    <border>
      <left style="medium">
        <color indexed="64"/>
      </left>
      <right style="medium">
        <color auto="1"/>
      </right>
      <top style="hair">
        <color auto="1"/>
      </top>
      <bottom style="medium">
        <color indexed="64"/>
      </bottom>
      <diagonal/>
    </border>
    <border>
      <left style="medium">
        <color auto="1"/>
      </left>
      <right style="medium">
        <color auto="1"/>
      </right>
      <top style="medium">
        <color indexed="64"/>
      </top>
      <bottom style="medium">
        <color indexed="64"/>
      </bottom>
      <diagonal/>
    </border>
    <border>
      <left style="medium">
        <color indexed="64"/>
      </left>
      <right style="medium">
        <color auto="1"/>
      </right>
      <top style="medium">
        <color indexed="64"/>
      </top>
      <bottom style="medium">
        <color indexed="64"/>
      </bottom>
      <diagonal/>
    </border>
    <border>
      <left style="medium">
        <color indexed="64"/>
      </left>
      <right style="medium">
        <color auto="1"/>
      </right>
      <top style="medium">
        <color indexed="64"/>
      </top>
      <bottom/>
      <diagonal/>
    </border>
    <border>
      <left style="medium">
        <color auto="1"/>
      </left>
      <right style="medium">
        <color indexed="64"/>
      </right>
      <top style="hair">
        <color auto="1"/>
      </top>
      <bottom style="hair">
        <color auto="1"/>
      </bottom>
      <diagonal/>
    </border>
    <border>
      <left style="medium">
        <color indexed="64"/>
      </left>
      <right style="medium">
        <color indexed="64"/>
      </right>
      <top style="hair">
        <color indexed="64"/>
      </top>
      <bottom style="hair">
        <color auto="1"/>
      </bottom>
      <diagonal/>
    </border>
    <border>
      <left style="medium">
        <color auto="1"/>
      </left>
      <right style="medium">
        <color indexed="64"/>
      </right>
      <top/>
      <bottom/>
      <diagonal/>
    </border>
    <border>
      <left style="medium">
        <color indexed="64"/>
      </left>
      <right style="medium">
        <color indexed="64"/>
      </right>
      <top style="hair">
        <color auto="1"/>
      </top>
      <bottom style="hair">
        <color auto="1"/>
      </bottom>
      <diagonal/>
    </border>
    <border>
      <left style="medium">
        <color auto="1"/>
      </left>
      <right style="medium">
        <color auto="1"/>
      </right>
      <top style="medium">
        <color indexed="64"/>
      </top>
      <bottom style="medium">
        <color auto="1"/>
      </bottom>
      <diagonal/>
    </border>
    <border>
      <left style="medium">
        <color indexed="64"/>
      </left>
      <right style="medium">
        <color auto="1"/>
      </right>
      <top style="medium">
        <color indexed="64"/>
      </top>
      <bottom style="medium">
        <color auto="1"/>
      </bottom>
      <diagonal/>
    </border>
    <border>
      <left style="medium">
        <color auto="1"/>
      </left>
      <right style="medium">
        <color indexed="64"/>
      </right>
      <top style="medium">
        <color indexed="64"/>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64"/>
      </left>
      <right style="medium">
        <color auto="1"/>
      </right>
      <top/>
      <bottom style="medium">
        <color indexed="64"/>
      </bottom>
      <diagonal/>
    </border>
    <border>
      <left style="medium">
        <color indexed="64"/>
      </left>
      <right style="medium">
        <color auto="1"/>
      </right>
      <top/>
      <bottom/>
      <diagonal/>
    </border>
    <border>
      <left style="medium">
        <color auto="1"/>
      </left>
      <right style="medium">
        <color auto="1"/>
      </right>
      <top/>
      <bottom style="hair">
        <color indexed="64"/>
      </bottom>
      <diagonal/>
    </border>
    <border>
      <left/>
      <right style="medium">
        <color auto="1"/>
      </right>
      <top/>
      <bottom style="hair">
        <color indexed="64"/>
      </bottom>
      <diagonal/>
    </border>
    <border>
      <left style="medium">
        <color auto="1"/>
      </left>
      <right style="medium">
        <color indexed="64"/>
      </right>
      <top style="medium">
        <color indexed="64"/>
      </top>
      <bottom style="hair">
        <color auto="1"/>
      </bottom>
      <diagonal/>
    </border>
    <border>
      <left style="medium">
        <color indexed="64"/>
      </left>
      <right style="medium">
        <color auto="1"/>
      </right>
      <top style="medium">
        <color indexed="64"/>
      </top>
      <bottom style="hair">
        <color indexed="64"/>
      </bottom>
      <diagonal/>
    </border>
    <border>
      <left style="medium">
        <color auto="1"/>
      </left>
      <right style="medium">
        <color auto="1"/>
      </right>
      <top style="hair">
        <color indexed="64"/>
      </top>
      <bottom style="hair">
        <color indexed="64"/>
      </bottom>
      <diagonal/>
    </border>
    <border>
      <left/>
      <right style="medium">
        <color auto="1"/>
      </right>
      <top style="hair">
        <color indexed="64"/>
      </top>
      <bottom style="hair">
        <color indexed="64"/>
      </bottom>
      <diagonal/>
    </border>
    <border>
      <left style="medium">
        <color indexed="64"/>
      </left>
      <right style="medium">
        <color auto="1"/>
      </right>
      <top/>
      <bottom style="hair">
        <color indexed="64"/>
      </bottom>
      <diagonal/>
    </border>
    <border>
      <left style="medium">
        <color auto="1"/>
      </left>
      <right style="medium">
        <color auto="1"/>
      </right>
      <top/>
      <bottom style="hair">
        <color auto="1"/>
      </bottom>
      <diagonal/>
    </border>
    <border>
      <left style="medium">
        <color auto="1"/>
      </left>
      <right style="medium">
        <color auto="1"/>
      </right>
      <top style="hair">
        <color indexed="64"/>
      </top>
      <bottom style="medium">
        <color indexed="64"/>
      </bottom>
      <diagonal/>
    </border>
    <border>
      <left/>
      <right style="medium">
        <color auto="1"/>
      </right>
      <top style="hair">
        <color indexed="64"/>
      </top>
      <bottom style="medium">
        <color indexed="64"/>
      </bottom>
      <diagonal/>
    </border>
    <border>
      <left style="medium">
        <color auto="1"/>
      </left>
      <right style="medium">
        <color auto="1"/>
      </right>
      <top/>
      <bottom style="medium">
        <color auto="1"/>
      </bottom>
      <diagonal/>
    </border>
    <border>
      <left style="medium">
        <color indexed="64"/>
      </left>
      <right style="medium">
        <color auto="1"/>
      </right>
      <top style="hair">
        <color indexed="64"/>
      </top>
      <bottom style="medium">
        <color indexed="64"/>
      </bottom>
      <diagonal/>
    </border>
    <border>
      <left style="medium">
        <color auto="1"/>
      </left>
      <right style="medium">
        <color auto="1"/>
      </right>
      <top style="medium">
        <color auto="1"/>
      </top>
      <bottom style="hair">
        <color indexed="64"/>
      </bottom>
      <diagonal/>
    </border>
    <border>
      <left style="medium">
        <color auto="1"/>
      </left>
      <right style="medium">
        <color auto="1"/>
      </right>
      <top style="medium">
        <color indexed="64"/>
      </top>
      <bottom style="hair">
        <color indexed="64"/>
      </bottom>
      <diagonal/>
    </border>
    <border>
      <left style="medium">
        <color auto="1"/>
      </left>
      <right style="medium">
        <color auto="1"/>
      </right>
      <top style="hair">
        <color indexed="64"/>
      </top>
      <bottom style="hair">
        <color auto="1"/>
      </bottom>
      <diagonal/>
    </border>
    <border>
      <left/>
      <right style="medium">
        <color auto="1"/>
      </right>
      <top style="hair">
        <color indexed="64"/>
      </top>
      <bottom style="hair">
        <color auto="1"/>
      </bottom>
      <diagonal/>
    </border>
    <border>
      <left style="medium">
        <color auto="1"/>
      </left>
      <right style="medium">
        <color auto="1"/>
      </right>
      <top style="hair">
        <color indexed="64"/>
      </top>
      <bottom/>
      <diagonal/>
    </border>
    <border>
      <left/>
      <right style="medium">
        <color auto="1"/>
      </right>
      <top style="hair">
        <color indexed="64"/>
      </top>
      <bottom/>
      <diagonal/>
    </border>
    <border>
      <left style="medium">
        <color auto="1"/>
      </left>
      <right style="medium">
        <color auto="1"/>
      </right>
      <top style="hair">
        <color auto="1"/>
      </top>
      <bottom style="medium">
        <color auto="1"/>
      </bottom>
      <diagonal/>
    </border>
    <border>
      <left style="medium">
        <color auto="1"/>
      </left>
      <right style="medium">
        <color auto="1"/>
      </right>
      <top style="hair">
        <color auto="1"/>
      </top>
      <bottom/>
      <diagonal/>
    </border>
    <border>
      <left style="thin">
        <color auto="1"/>
      </left>
      <right style="thin">
        <color auto="1"/>
      </right>
      <top/>
      <bottom style="hair">
        <color auto="1"/>
      </bottom>
      <diagonal/>
    </border>
    <border>
      <left/>
      <right style="medium">
        <color auto="1"/>
      </right>
      <top style="medium">
        <color auto="1"/>
      </top>
      <bottom/>
      <diagonal/>
    </border>
    <border>
      <left/>
      <right style="medium">
        <color auto="1"/>
      </right>
      <top style="medium">
        <color auto="1"/>
      </top>
      <bottom style="hair">
        <color indexed="64"/>
      </bottom>
      <diagonal/>
    </border>
    <border>
      <left style="medium">
        <color auto="1"/>
      </left>
      <right style="medium">
        <color auto="1"/>
      </right>
      <top style="hair">
        <color auto="1"/>
      </top>
      <bottom style="hair">
        <color indexed="64"/>
      </bottom>
      <diagonal/>
    </border>
    <border>
      <left/>
      <right style="medium">
        <color auto="1"/>
      </right>
      <top style="hair">
        <color auto="1"/>
      </top>
      <bottom/>
      <diagonal/>
    </border>
    <border>
      <left/>
      <right style="medium">
        <color auto="1"/>
      </right>
      <top style="hair">
        <color auto="1"/>
      </top>
      <bottom style="hair">
        <color auto="1"/>
      </bottom>
      <diagonal/>
    </border>
    <border>
      <left style="medium">
        <color auto="1"/>
      </left>
      <right style="medium">
        <color auto="1"/>
      </right>
      <top/>
      <bottom style="medium">
        <color indexed="64"/>
      </bottom>
      <diagonal/>
    </border>
    <border>
      <left/>
      <right style="medium">
        <color auto="1"/>
      </right>
      <top/>
      <bottom style="medium">
        <color auto="1"/>
      </bottom>
      <diagonal/>
    </border>
    <border>
      <left/>
      <right style="medium">
        <color auto="1"/>
      </right>
      <top/>
      <bottom style="medium">
        <color indexed="64"/>
      </bottom>
      <diagonal/>
    </border>
    <border>
      <left/>
      <right style="medium">
        <color auto="1"/>
      </right>
      <top style="medium">
        <color indexed="64"/>
      </top>
      <bottom style="hair">
        <color indexed="64"/>
      </bottom>
      <diagonal/>
    </border>
    <border>
      <left style="medium">
        <color auto="1"/>
      </left>
      <right style="medium">
        <color auto="1"/>
      </right>
      <top style="hair">
        <color indexed="64"/>
      </top>
      <bottom style="medium">
        <color auto="1"/>
      </bottom>
      <diagonal/>
    </border>
    <border>
      <left style="medium">
        <color auto="1"/>
      </left>
      <right style="medium">
        <color indexed="64"/>
      </right>
      <top style="hair">
        <color auto="1"/>
      </top>
      <bottom style="medium">
        <color auto="1"/>
      </bottom>
      <diagonal/>
    </border>
    <border>
      <left style="medium">
        <color indexed="64"/>
      </left>
      <right style="medium">
        <color auto="1"/>
      </right>
      <top/>
      <bottom style="medium">
        <color auto="1"/>
      </bottom>
      <diagonal/>
    </border>
    <border>
      <left/>
      <right style="medium">
        <color auto="1"/>
      </right>
      <top style="medium">
        <color indexed="64"/>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hair">
        <color auto="1"/>
      </top>
      <bottom style="thin">
        <color indexed="64"/>
      </bottom>
      <diagonal/>
    </border>
    <border>
      <left/>
      <right style="medium">
        <color auto="1"/>
      </right>
      <top style="medium">
        <color auto="1"/>
      </top>
      <bottom style="medium">
        <color indexed="64"/>
      </bottom>
      <diagonal/>
    </border>
    <border>
      <left/>
      <right style="medium">
        <color auto="1"/>
      </right>
      <top style="medium">
        <color indexed="64"/>
      </top>
      <bottom style="hair">
        <color auto="1"/>
      </bottom>
      <diagonal/>
    </border>
    <border>
      <left style="medium">
        <color auto="1"/>
      </left>
      <right/>
      <top style="hair">
        <color auto="1"/>
      </top>
      <bottom style="hair">
        <color auto="1"/>
      </bottom>
      <diagonal/>
    </border>
    <border>
      <left/>
      <right style="medium">
        <color auto="1"/>
      </right>
      <top/>
      <bottom style="hair">
        <color auto="1"/>
      </bottom>
      <diagonal/>
    </border>
    <border>
      <left style="medium">
        <color indexed="64"/>
      </left>
      <right style="medium">
        <color auto="1"/>
      </right>
      <top style="hair">
        <color auto="1"/>
      </top>
      <bottom style="hair">
        <color indexed="64"/>
      </bottom>
      <diagonal/>
    </border>
    <border>
      <left/>
      <right/>
      <top style="thin">
        <color auto="1"/>
      </top>
      <bottom/>
      <diagonal/>
    </border>
    <border>
      <left style="medium">
        <color auto="1"/>
      </left>
      <right style="medium">
        <color auto="1"/>
      </right>
      <top style="thin">
        <color indexed="64"/>
      </top>
      <bottom/>
      <diagonal/>
    </border>
    <border>
      <left/>
      <right/>
      <top style="thin">
        <color auto="1"/>
      </top>
      <bottom style="thin">
        <color auto="1"/>
      </bottom>
      <diagonal/>
    </border>
    <border>
      <left style="medium">
        <color indexed="64"/>
      </left>
      <right style="medium">
        <color auto="1"/>
      </right>
      <top/>
      <bottom style="hair">
        <color auto="1"/>
      </bottom>
      <diagonal/>
    </border>
    <border>
      <left style="medium">
        <color auto="1"/>
      </left>
      <right style="medium">
        <color indexed="64"/>
      </right>
      <top/>
      <bottom style="hair">
        <color auto="1"/>
      </bottom>
      <diagonal/>
    </border>
    <border>
      <left style="medium">
        <color indexed="64"/>
      </left>
      <right style="medium">
        <color auto="1"/>
      </right>
      <top style="hair">
        <color auto="1"/>
      </top>
      <bottom/>
      <diagonal/>
    </border>
    <border>
      <left style="medium">
        <color auto="1"/>
      </left>
      <right style="medium">
        <color auto="1"/>
      </right>
      <top/>
      <bottom style="thin">
        <color indexed="64"/>
      </bottom>
      <diagonal/>
    </border>
    <border>
      <left/>
      <right style="medium">
        <color auto="1"/>
      </right>
      <top/>
      <bottom style="thin">
        <color indexed="64"/>
      </bottom>
      <diagonal/>
    </border>
    <border>
      <left/>
      <right style="medium">
        <color auto="1"/>
      </right>
      <top style="hair">
        <color indexed="64"/>
      </top>
      <bottom style="medium">
        <color auto="1"/>
      </bottom>
      <diagonal/>
    </border>
    <border>
      <left style="medium">
        <color auto="1"/>
      </left>
      <right style="medium">
        <color auto="1"/>
      </right>
      <top style="medium">
        <color indexed="64"/>
      </top>
      <bottom/>
      <diagonal/>
    </border>
    <border>
      <left style="medium">
        <color auto="1"/>
      </left>
      <right/>
      <top/>
      <bottom style="hair">
        <color indexed="64"/>
      </bottom>
      <diagonal/>
    </border>
    <border>
      <left style="medium">
        <color auto="1"/>
      </left>
      <right/>
      <top style="medium">
        <color auto="1"/>
      </top>
      <bottom style="hair">
        <color indexed="64"/>
      </bottom>
      <diagonal/>
    </border>
    <border>
      <left style="medium">
        <color auto="1"/>
      </left>
      <right/>
      <top style="hair">
        <color indexed="64"/>
      </top>
      <bottom style="hair">
        <color indexed="64"/>
      </bottom>
      <diagonal/>
    </border>
    <border>
      <left style="medium">
        <color auto="1"/>
      </left>
      <right/>
      <top/>
      <bottom style="medium">
        <color auto="1"/>
      </bottom>
      <diagonal/>
    </border>
    <border>
      <left style="medium">
        <color auto="1"/>
      </left>
      <right style="medium">
        <color indexed="64"/>
      </right>
      <top style="hair">
        <color indexed="64"/>
      </top>
      <bottom style="hair">
        <color indexed="64"/>
      </bottom>
      <diagonal/>
    </border>
    <border>
      <left style="medium">
        <color auto="1"/>
      </left>
      <right style="medium">
        <color indexed="64"/>
      </right>
      <top style="hair">
        <color auto="1"/>
      </top>
      <bottom style="medium">
        <color indexed="64"/>
      </bottom>
      <diagonal/>
    </border>
    <border>
      <left/>
      <right style="medium">
        <color auto="1"/>
      </right>
      <top style="medium">
        <color indexed="64"/>
      </top>
      <bottom/>
      <diagonal/>
    </border>
    <border>
      <left/>
      <right style="medium">
        <color auto="1"/>
      </right>
      <top style="hair">
        <color auto="1"/>
      </top>
      <bottom style="hair">
        <color indexed="64"/>
      </bottom>
      <diagonal/>
    </border>
    <border>
      <left/>
      <right style="medium">
        <color auto="1"/>
      </right>
      <top style="hair">
        <color auto="1"/>
      </top>
      <bottom style="medium">
        <color indexed="64"/>
      </bottom>
      <diagonal/>
    </border>
    <border>
      <left style="medium">
        <color auto="1"/>
      </left>
      <right style="medium">
        <color auto="1"/>
      </right>
      <top style="hair">
        <color indexed="64"/>
      </top>
      <bottom style="thin">
        <color auto="1"/>
      </bottom>
      <diagonal/>
    </border>
    <border>
      <left/>
      <right style="medium">
        <color auto="1"/>
      </right>
      <top style="hair">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hair">
        <color auto="1"/>
      </top>
      <bottom style="thin">
        <color auto="1"/>
      </bottom>
      <diagonal/>
    </border>
    <border>
      <left style="medium">
        <color auto="1"/>
      </left>
      <right style="medium">
        <color indexed="64"/>
      </right>
      <top style="hair">
        <color auto="1"/>
      </top>
      <bottom style="thin">
        <color auto="1"/>
      </bottom>
      <diagonal/>
    </border>
    <border>
      <left style="medium">
        <color indexed="64"/>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style="medium">
        <color auto="1"/>
      </right>
      <top style="thin">
        <color auto="1"/>
      </top>
      <bottom style="medium">
        <color indexed="64"/>
      </bottom>
      <diagonal/>
    </border>
    <border>
      <left style="medium">
        <color auto="1"/>
      </left>
      <right style="medium">
        <color auto="1"/>
      </right>
      <top style="thin">
        <color auto="1"/>
      </top>
      <bottom style="medium">
        <color auto="1"/>
      </bottom>
      <diagonal/>
    </border>
  </borders>
  <cellStyleXfs count="7">
    <xf numFmtId="0" fontId="0" fillId="0" borderId="0"/>
    <xf numFmtId="164" fontId="1" fillId="0" borderId="0" applyFill="0" applyBorder="0" applyProtection="0"/>
    <xf numFmtId="43" fontId="2" fillId="0" borderId="0" applyFont="0" applyFill="0" applyBorder="0" applyProtection="0"/>
    <xf numFmtId="0" fontId="1" fillId="2" borderId="1" applyNumberFormat="0" applyProtection="0"/>
    <xf numFmtId="0" fontId="1" fillId="0" borderId="0"/>
    <xf numFmtId="0" fontId="3" fillId="0" borderId="0"/>
    <xf numFmtId="0" fontId="4" fillId="0" borderId="0"/>
  </cellStyleXfs>
  <cellXfs count="1254">
    <xf numFmtId="0" fontId="0" fillId="0" borderId="0" xfId="0"/>
    <xf numFmtId="0" fontId="1" fillId="0" borderId="0" xfId="0" applyFont="1"/>
    <xf numFmtId="0" fontId="0" fillId="0" borderId="0" xfId="0"/>
    <xf numFmtId="0" fontId="5" fillId="0" borderId="0" xfId="0" applyFont="1" applyAlignment="1">
      <alignment horizontal="right"/>
    </xf>
    <xf numFmtId="4" fontId="6" fillId="0" borderId="0" xfId="0" applyNumberFormat="1" applyFont="1" applyAlignment="1">
      <alignment horizontal="center" wrapText="1"/>
    </xf>
    <xf numFmtId="4" fontId="0" fillId="0" borderId="0" xfId="0" applyNumberFormat="1" applyAlignment="1">
      <alignment horizontal="center" vertical="center" wrapText="1"/>
    </xf>
    <xf numFmtId="4" fontId="7" fillId="0" borderId="0" xfId="0" applyNumberFormat="1" applyFont="1" applyAlignment="1">
      <alignment horizontal="center" vertical="center" wrapText="1"/>
    </xf>
    <xf numFmtId="0" fontId="1" fillId="0" borderId="0" xfId="0" applyFont="1" applyAlignment="1">
      <alignment horizontal="center" vertical="center"/>
    </xf>
    <xf numFmtId="0" fontId="8" fillId="0" borderId="2" xfId="0" applyFont="1" applyBorder="1" applyAlignment="1">
      <alignment horizontal="center" vertical="center" wrapText="1"/>
    </xf>
    <xf numFmtId="0" fontId="7" fillId="0" borderId="2" xfId="0" applyFont="1" applyBorder="1" applyAlignment="1">
      <alignment horizontal="center" vertical="center" wrapText="1"/>
    </xf>
    <xf numFmtId="4" fontId="6" fillId="0" borderId="3" xfId="0" applyNumberFormat="1" applyFont="1" applyBorder="1" applyAlignment="1">
      <alignment horizontal="center" vertical="center" wrapText="1"/>
    </xf>
    <xf numFmtId="4" fontId="6" fillId="0" borderId="2" xfId="0" applyNumberFormat="1" applyFont="1" applyBorder="1" applyAlignment="1">
      <alignment horizontal="center" vertical="center" wrapText="1"/>
    </xf>
    <xf numFmtId="0" fontId="9" fillId="0" borderId="0" xfId="0" applyFont="1"/>
    <xf numFmtId="0" fontId="9" fillId="3" borderId="4" xfId="0" applyFont="1" applyFill="1" applyBorder="1"/>
    <xf numFmtId="0" fontId="7" fillId="3" borderId="4" xfId="0" applyFont="1" applyFill="1" applyBorder="1"/>
    <xf numFmtId="0" fontId="7" fillId="3" borderId="5" xfId="0" applyFont="1" applyFill="1" applyBorder="1"/>
    <xf numFmtId="4" fontId="6" fillId="0" borderId="5" xfId="0" applyNumberFormat="1" applyFont="1" applyBorder="1" applyAlignment="1">
      <alignment horizontal="center" wrapText="1"/>
    </xf>
    <xf numFmtId="4" fontId="0" fillId="0" borderId="5" xfId="0" applyNumberFormat="1" applyBorder="1" applyAlignment="1">
      <alignment horizontal="center" vertical="center" wrapText="1"/>
    </xf>
    <xf numFmtId="4" fontId="6" fillId="0" borderId="5" xfId="0" applyNumberFormat="1" applyFont="1" applyBorder="1" applyAlignment="1">
      <alignment horizontal="center" vertical="center" wrapText="1"/>
    </xf>
    <xf numFmtId="0" fontId="10" fillId="0" borderId="0" xfId="0" applyFont="1"/>
    <xf numFmtId="0" fontId="10" fillId="3" borderId="6" xfId="0" applyFont="1" applyFill="1" applyBorder="1"/>
    <xf numFmtId="0" fontId="11" fillId="3" borderId="6" xfId="0" applyFont="1" applyFill="1" applyBorder="1"/>
    <xf numFmtId="4" fontId="11" fillId="3" borderId="4" xfId="0" applyNumberFormat="1" applyFont="1" applyFill="1" applyBorder="1"/>
    <xf numFmtId="0" fontId="10" fillId="0" borderId="0" xfId="0" applyFont="1" applyAlignment="1">
      <alignment vertical="center"/>
    </xf>
    <xf numFmtId="0" fontId="12" fillId="3" borderId="6" xfId="0" applyFont="1" applyFill="1" applyBorder="1"/>
    <xf numFmtId="4" fontId="11" fillId="3" borderId="6" xfId="0" applyNumberFormat="1" applyFont="1" applyFill="1" applyBorder="1"/>
    <xf numFmtId="0" fontId="9" fillId="3" borderId="6" xfId="0" applyFont="1" applyFill="1" applyBorder="1"/>
    <xf numFmtId="0" fontId="7" fillId="3" borderId="6" xfId="0" applyFont="1" applyFill="1" applyBorder="1"/>
    <xf numFmtId="4" fontId="7" fillId="3" borderId="6" xfId="0" applyNumberFormat="1" applyFont="1" applyFill="1" applyBorder="1"/>
    <xf numFmtId="4" fontId="1" fillId="0" borderId="0" xfId="0" applyNumberFormat="1" applyFont="1"/>
    <xf numFmtId="0" fontId="11" fillId="3" borderId="7" xfId="0" applyFont="1" applyFill="1" applyBorder="1"/>
    <xf numFmtId="4" fontId="11" fillId="3" borderId="8" xfId="0" applyNumberFormat="1" applyFont="1" applyFill="1" applyBorder="1"/>
    <xf numFmtId="4" fontId="0" fillId="0" borderId="0" xfId="0" applyNumberFormat="1" applyAlignment="1">
      <alignment vertical="center"/>
    </xf>
    <xf numFmtId="0" fontId="13" fillId="0" borderId="0" xfId="0" applyFont="1"/>
    <xf numFmtId="0" fontId="13" fillId="3" borderId="2" xfId="0" applyFont="1" applyFill="1" applyBorder="1"/>
    <xf numFmtId="0" fontId="14" fillId="3" borderId="2" xfId="0" applyFont="1" applyFill="1" applyBorder="1"/>
    <xf numFmtId="4" fontId="15" fillId="3" borderId="2" xfId="0" applyNumberFormat="1" applyFont="1" applyFill="1" applyBorder="1"/>
    <xf numFmtId="4" fontId="13" fillId="0" borderId="0" xfId="0" applyNumberFormat="1" applyFont="1"/>
    <xf numFmtId="165" fontId="11" fillId="0" borderId="4" xfId="0" applyNumberFormat="1" applyFont="1" applyBorder="1"/>
    <xf numFmtId="165" fontId="12" fillId="0" borderId="4" xfId="0" applyNumberFormat="1" applyFont="1" applyBorder="1"/>
    <xf numFmtId="165" fontId="11" fillId="0" borderId="5" xfId="0" applyNumberFormat="1" applyFont="1" applyBorder="1"/>
    <xf numFmtId="4" fontId="11" fillId="3" borderId="4" xfId="0" applyNumberFormat="1" applyFont="1" applyFill="1" applyBorder="1" applyAlignment="1">
      <alignment vertical="center"/>
    </xf>
    <xf numFmtId="4" fontId="11" fillId="3" borderId="6" xfId="0" applyNumberFormat="1" applyFont="1" applyFill="1" applyBorder="1" applyAlignment="1">
      <alignment vertical="center"/>
    </xf>
    <xf numFmtId="0" fontId="6" fillId="3" borderId="4" xfId="0" applyFont="1" applyFill="1" applyBorder="1"/>
    <xf numFmtId="165" fontId="11" fillId="0" borderId="6" xfId="0" applyNumberFormat="1" applyFont="1" applyBorder="1"/>
    <xf numFmtId="165" fontId="12" fillId="0" borderId="6" xfId="0" applyNumberFormat="1" applyFont="1" applyBorder="1"/>
    <xf numFmtId="0" fontId="16" fillId="3" borderId="9" xfId="0" applyFont="1" applyFill="1" applyBorder="1" applyAlignment="1">
      <alignment vertical="center" wrapText="1"/>
    </xf>
    <xf numFmtId="4" fontId="16" fillId="3" borderId="4" xfId="0" applyNumberFormat="1" applyFont="1" applyFill="1" applyBorder="1" applyAlignment="1">
      <alignment vertical="center"/>
    </xf>
    <xf numFmtId="0" fontId="6" fillId="3" borderId="6" xfId="0" applyFont="1" applyFill="1" applyBorder="1"/>
    <xf numFmtId="0" fontId="11" fillId="3" borderId="4" xfId="0" applyFont="1" applyFill="1" applyBorder="1"/>
    <xf numFmtId="0" fontId="11" fillId="3" borderId="8" xfId="0" applyFont="1" applyFill="1" applyBorder="1"/>
    <xf numFmtId="0" fontId="16" fillId="3" borderId="10" xfId="0" applyFont="1" applyFill="1" applyBorder="1" applyAlignment="1">
      <alignment vertical="center" wrapText="1"/>
    </xf>
    <xf numFmtId="0" fontId="11" fillId="3" borderId="9" xfId="0" applyFont="1" applyFill="1" applyBorder="1"/>
    <xf numFmtId="0" fontId="11" fillId="3" borderId="11" xfId="0" applyFont="1" applyFill="1" applyBorder="1"/>
    <xf numFmtId="4" fontId="11" fillId="3" borderId="11" xfId="0" applyNumberFormat="1" applyFont="1" applyFill="1" applyBorder="1"/>
    <xf numFmtId="0" fontId="11" fillId="3" borderId="2" xfId="0" applyFont="1" applyFill="1" applyBorder="1"/>
    <xf numFmtId="0" fontId="16" fillId="3" borderId="2" xfId="0" applyFont="1" applyFill="1" applyBorder="1"/>
    <xf numFmtId="4" fontId="16" fillId="3" borderId="2" xfId="0" applyNumberFormat="1" applyFont="1" applyFill="1" applyBorder="1"/>
    <xf numFmtId="0" fontId="10" fillId="3" borderId="0" xfId="0" applyFont="1" applyFill="1"/>
    <xf numFmtId="0" fontId="16" fillId="3" borderId="8" xfId="0" applyFont="1" applyFill="1" applyBorder="1"/>
    <xf numFmtId="4" fontId="16" fillId="3" borderId="8" xfId="0" applyNumberFormat="1" applyFont="1" applyFill="1" applyBorder="1"/>
    <xf numFmtId="0" fontId="16" fillId="3" borderId="9" xfId="0" applyFont="1" applyFill="1" applyBorder="1"/>
    <xf numFmtId="4" fontId="16" fillId="3" borderId="9" xfId="0" applyNumberFormat="1" applyFont="1" applyFill="1" applyBorder="1"/>
    <xf numFmtId="0" fontId="10" fillId="4" borderId="0" xfId="0" applyFont="1" applyFill="1"/>
    <xf numFmtId="0" fontId="6" fillId="0" borderId="2" xfId="0" applyFont="1" applyBorder="1"/>
    <xf numFmtId="0" fontId="16" fillId="0" borderId="2" xfId="0" applyFont="1" applyBorder="1" applyAlignment="1">
      <alignment vertical="center" wrapText="1"/>
    </xf>
    <xf numFmtId="4" fontId="16" fillId="0" borderId="2" xfId="0" applyNumberFormat="1" applyFont="1" applyBorder="1" applyAlignment="1">
      <alignment vertical="center"/>
    </xf>
    <xf numFmtId="0" fontId="16" fillId="3" borderId="4" xfId="0" applyFont="1" applyFill="1" applyBorder="1"/>
    <xf numFmtId="4" fontId="17" fillId="3" borderId="4" xfId="0" applyNumberFormat="1" applyFont="1" applyFill="1" applyBorder="1"/>
    <xf numFmtId="4" fontId="16" fillId="3" borderId="4" xfId="0" applyNumberFormat="1" applyFont="1" applyFill="1" applyBorder="1"/>
    <xf numFmtId="0" fontId="16" fillId="3" borderId="11" xfId="0" applyFont="1" applyFill="1" applyBorder="1"/>
    <xf numFmtId="4" fontId="16" fillId="3" borderId="11" xfId="0" applyNumberFormat="1" applyFont="1" applyFill="1" applyBorder="1"/>
    <xf numFmtId="0" fontId="16" fillId="3" borderId="11" xfId="0" applyFont="1" applyFill="1" applyBorder="1" applyAlignment="1">
      <alignment vertical="center" wrapText="1"/>
    </xf>
    <xf numFmtId="4" fontId="17" fillId="3" borderId="2" xfId="0" applyNumberFormat="1" applyFont="1" applyFill="1" applyBorder="1" applyAlignment="1">
      <alignment vertical="center"/>
    </xf>
    <xf numFmtId="4" fontId="16" fillId="3" borderId="2" xfId="0" applyNumberFormat="1" applyFont="1" applyFill="1" applyBorder="1" applyAlignment="1">
      <alignment vertical="center"/>
    </xf>
    <xf numFmtId="0" fontId="11" fillId="3" borderId="5" xfId="0" applyFont="1" applyFill="1" applyBorder="1"/>
    <xf numFmtId="0" fontId="11" fillId="0" borderId="6" xfId="0" applyFont="1" applyBorder="1"/>
    <xf numFmtId="0" fontId="16" fillId="3" borderId="12" xfId="0" applyFont="1" applyFill="1" applyBorder="1"/>
    <xf numFmtId="4" fontId="16" fillId="3" borderId="5" xfId="0" applyNumberFormat="1" applyFont="1" applyFill="1" applyBorder="1"/>
    <xf numFmtId="0" fontId="11" fillId="3" borderId="13" xfId="0" applyFont="1" applyFill="1" applyBorder="1"/>
    <xf numFmtId="4" fontId="16" fillId="3" borderId="6" xfId="0" applyNumberFormat="1" applyFont="1" applyFill="1" applyBorder="1"/>
    <xf numFmtId="0" fontId="11" fillId="3" borderId="14" xfId="0" applyFont="1" applyFill="1" applyBorder="1"/>
    <xf numFmtId="0" fontId="11" fillId="3" borderId="15" xfId="0" applyFont="1" applyFill="1" applyBorder="1"/>
    <xf numFmtId="0" fontId="12" fillId="3" borderId="2" xfId="0" applyFont="1" applyFill="1" applyBorder="1"/>
    <xf numFmtId="4" fontId="17" fillId="3" borderId="2" xfId="0" applyNumberFormat="1" applyFont="1" applyFill="1" applyBorder="1"/>
    <xf numFmtId="0" fontId="18" fillId="0" borderId="0" xfId="0" applyFont="1"/>
    <xf numFmtId="0" fontId="16" fillId="3" borderId="5" xfId="0" applyFont="1" applyFill="1" applyBorder="1"/>
    <xf numFmtId="0" fontId="11" fillId="3" borderId="11" xfId="0" applyFont="1" applyFill="1" applyBorder="1" applyAlignment="1">
      <alignment vertical="center"/>
    </xf>
    <xf numFmtId="4" fontId="0" fillId="0" borderId="0" xfId="0" applyNumberFormat="1"/>
    <xf numFmtId="0" fontId="9" fillId="3" borderId="2" xfId="0" applyFont="1" applyFill="1" applyBorder="1"/>
    <xf numFmtId="0" fontId="15" fillId="3" borderId="2" xfId="0" applyFont="1" applyFill="1" applyBorder="1"/>
    <xf numFmtId="4" fontId="7" fillId="3" borderId="2" xfId="0" applyNumberFormat="1" applyFont="1" applyFill="1" applyBorder="1"/>
    <xf numFmtId="0" fontId="1" fillId="0" borderId="2" xfId="0" applyFont="1" applyBorder="1"/>
    <xf numFmtId="0" fontId="15" fillId="0" borderId="2" xfId="0" applyFont="1" applyBorder="1"/>
    <xf numFmtId="0" fontId="7" fillId="0" borderId="2" xfId="0" applyFont="1" applyBorder="1" applyAlignment="1">
      <alignment horizontal="center"/>
    </xf>
    <xf numFmtId="4" fontId="5" fillId="0" borderId="2" xfId="0" applyNumberFormat="1" applyFont="1" applyBorder="1" applyAlignment="1">
      <alignment vertical="center" shrinkToFit="1"/>
    </xf>
    <xf numFmtId="4" fontId="0" fillId="0" borderId="2" xfId="0" applyNumberFormat="1" applyBorder="1" applyAlignment="1">
      <alignment vertical="center" shrinkToFit="1"/>
    </xf>
    <xf numFmtId="4" fontId="5" fillId="0" borderId="2" xfId="0" applyNumberFormat="1" applyFont="1" applyBorder="1" applyAlignment="1">
      <alignment vertical="center"/>
    </xf>
    <xf numFmtId="0" fontId="5" fillId="0" borderId="0" xfId="0" applyFont="1"/>
    <xf numFmtId="0" fontId="7" fillId="0" borderId="2" xfId="0" applyFont="1" applyBorder="1"/>
    <xf numFmtId="0" fontId="6" fillId="0" borderId="2" xfId="0" applyFont="1" applyBorder="1" applyAlignment="1">
      <alignment vertical="center" wrapText="1"/>
    </xf>
    <xf numFmtId="4" fontId="6" fillId="0" borderId="2" xfId="0" applyNumberFormat="1" applyFont="1" applyBorder="1" applyAlignment="1">
      <alignment shrinkToFit="1"/>
    </xf>
    <xf numFmtId="0" fontId="5" fillId="0" borderId="14" xfId="0" applyFont="1" applyBorder="1" applyAlignment="1">
      <alignment vertical="center"/>
    </xf>
    <xf numFmtId="0" fontId="5" fillId="0" borderId="4" xfId="0" applyFont="1" applyBorder="1" applyAlignment="1">
      <alignment vertical="center"/>
    </xf>
    <xf numFmtId="4" fontId="5" fillId="0" borderId="4" xfId="0" applyNumberFormat="1" applyFont="1" applyBorder="1" applyAlignment="1">
      <alignment vertical="center" shrinkToFit="1"/>
    </xf>
    <xf numFmtId="4" fontId="5" fillId="0" borderId="4" xfId="0" applyNumberFormat="1" applyFont="1" applyBorder="1" applyAlignment="1">
      <alignment vertical="center"/>
    </xf>
    <xf numFmtId="0" fontId="5" fillId="0" borderId="13" xfId="0" applyFont="1" applyBorder="1" applyAlignment="1">
      <alignment vertical="center"/>
    </xf>
    <xf numFmtId="0" fontId="5" fillId="0" borderId="6" xfId="0" applyFont="1" applyBorder="1" applyAlignment="1">
      <alignment vertical="center"/>
    </xf>
    <xf numFmtId="4" fontId="5" fillId="0" borderId="6" xfId="0" applyNumberFormat="1" applyFont="1" applyBorder="1" applyAlignment="1">
      <alignment vertical="center" shrinkToFit="1"/>
    </xf>
    <xf numFmtId="4" fontId="5" fillId="0" borderId="6" xfId="0" applyNumberFormat="1" applyFont="1" applyBorder="1" applyAlignment="1">
      <alignment vertical="center"/>
    </xf>
    <xf numFmtId="0" fontId="5" fillId="0" borderId="6" xfId="0" applyFont="1" applyBorder="1" applyAlignment="1">
      <alignment vertical="center" wrapText="1"/>
    </xf>
    <xf numFmtId="0" fontId="1" fillId="0" borderId="13" xfId="0" applyFont="1" applyBorder="1" applyAlignment="1">
      <alignment vertical="center"/>
    </xf>
    <xf numFmtId="0" fontId="1" fillId="0" borderId="6" xfId="0" applyFont="1" applyBorder="1" applyAlignment="1">
      <alignment vertical="center"/>
    </xf>
    <xf numFmtId="4" fontId="0" fillId="0" borderId="6" xfId="0" applyNumberFormat="1" applyBorder="1" applyAlignment="1">
      <alignment vertical="center"/>
    </xf>
    <xf numFmtId="4" fontId="0" fillId="0" borderId="4" xfId="0" applyNumberFormat="1" applyBorder="1" applyAlignment="1">
      <alignment vertical="center"/>
    </xf>
    <xf numFmtId="0" fontId="0" fillId="0" borderId="13" xfId="0" applyBorder="1" applyAlignment="1">
      <alignment vertical="center"/>
    </xf>
    <xf numFmtId="0" fontId="0" fillId="0" borderId="6" xfId="0" applyBorder="1" applyAlignment="1">
      <alignment vertical="center" wrapText="1"/>
    </xf>
    <xf numFmtId="4" fontId="0" fillId="0" borderId="6" xfId="0" applyNumberFormat="1" applyBorder="1" applyAlignment="1">
      <alignment vertical="center" shrinkToFit="1"/>
    </xf>
    <xf numFmtId="0" fontId="0" fillId="3" borderId="0" xfId="0" applyFill="1"/>
    <xf numFmtId="0" fontId="0" fillId="3" borderId="13" xfId="0" applyFill="1" applyBorder="1" applyAlignment="1">
      <alignment vertical="center"/>
    </xf>
    <xf numFmtId="0" fontId="0" fillId="3" borderId="6" xfId="0" applyFill="1" applyBorder="1" applyAlignment="1">
      <alignment vertical="center" wrapText="1"/>
    </xf>
    <xf numFmtId="4" fontId="0" fillId="3" borderId="6" xfId="0" applyNumberFormat="1" applyFill="1" applyBorder="1" applyAlignment="1">
      <alignment vertical="center"/>
    </xf>
    <xf numFmtId="4" fontId="0" fillId="3" borderId="6" xfId="0" applyNumberFormat="1" applyFill="1" applyBorder="1" applyAlignment="1">
      <alignment vertical="center" shrinkToFit="1"/>
    </xf>
    <xf numFmtId="4" fontId="0" fillId="3" borderId="4" xfId="0" applyNumberFormat="1" applyFill="1" applyBorder="1" applyAlignment="1">
      <alignment vertical="center"/>
    </xf>
    <xf numFmtId="4" fontId="0" fillId="3" borderId="0" xfId="0" applyNumberFormat="1" applyFill="1" applyAlignment="1">
      <alignment vertical="center"/>
    </xf>
    <xf numFmtId="0" fontId="1" fillId="0" borderId="6" xfId="0" applyFont="1" applyBorder="1" applyAlignment="1">
      <alignment vertical="center" wrapText="1"/>
    </xf>
    <xf numFmtId="0" fontId="1" fillId="4" borderId="0" xfId="0" applyFont="1" applyFill="1"/>
    <xf numFmtId="0" fontId="1" fillId="3" borderId="13" xfId="0" applyFont="1" applyFill="1" applyBorder="1" applyAlignment="1">
      <alignment vertical="center"/>
    </xf>
    <xf numFmtId="0" fontId="1" fillId="3" borderId="6" xfId="0" applyFont="1" applyFill="1" applyBorder="1" applyAlignment="1">
      <alignment vertical="center"/>
    </xf>
    <xf numFmtId="4" fontId="0" fillId="3" borderId="0" xfId="0" applyNumberFormat="1" applyFill="1"/>
    <xf numFmtId="0" fontId="1" fillId="3" borderId="0" xfId="0" applyFont="1" applyFill="1"/>
    <xf numFmtId="0" fontId="5" fillId="0" borderId="16" xfId="0" applyFont="1" applyBorder="1" applyAlignment="1">
      <alignment vertical="center"/>
    </xf>
    <xf numFmtId="0" fontId="5" fillId="0" borderId="8" xfId="0" applyFont="1" applyBorder="1" applyAlignment="1">
      <alignment vertical="center"/>
    </xf>
    <xf numFmtId="4" fontId="5" fillId="0" borderId="11" xfId="0" applyNumberFormat="1" applyFont="1" applyBorder="1"/>
    <xf numFmtId="4" fontId="0" fillId="0" borderId="11" xfId="0" applyNumberFormat="1" applyBorder="1"/>
    <xf numFmtId="4" fontId="5" fillId="0" borderId="11" xfId="0" applyNumberFormat="1" applyFont="1" applyBorder="1" applyAlignment="1">
      <alignment vertical="center"/>
    </xf>
    <xf numFmtId="0" fontId="5" fillId="0" borderId="17" xfId="0" applyFont="1" applyBorder="1"/>
    <xf numFmtId="4" fontId="6" fillId="0" borderId="2" xfId="0" applyNumberFormat="1" applyFont="1" applyBorder="1"/>
    <xf numFmtId="0" fontId="5" fillId="3" borderId="14" xfId="0" applyFont="1" applyFill="1" applyBorder="1" applyAlignment="1">
      <alignment vertical="center"/>
    </xf>
    <xf numFmtId="0" fontId="5" fillId="3" borderId="4" xfId="0" applyFont="1" applyFill="1" applyBorder="1" applyAlignment="1">
      <alignment vertical="center"/>
    </xf>
    <xf numFmtId="4" fontId="5" fillId="3" borderId="5" xfId="0" applyNumberFormat="1" applyFont="1" applyFill="1" applyBorder="1" applyAlignment="1">
      <alignment vertical="center"/>
    </xf>
    <xf numFmtId="0" fontId="5" fillId="3" borderId="13" xfId="0" applyFont="1" applyFill="1" applyBorder="1" applyAlignment="1">
      <alignment vertical="center"/>
    </xf>
    <xf numFmtId="4" fontId="19" fillId="0" borderId="9" xfId="0" applyNumberFormat="1" applyFont="1" applyBorder="1"/>
    <xf numFmtId="4" fontId="0" fillId="0" borderId="9" xfId="0" applyNumberFormat="1" applyBorder="1" applyAlignment="1">
      <alignment vertical="center"/>
    </xf>
    <xf numFmtId="0" fontId="5" fillId="3" borderId="6" xfId="0" applyFont="1" applyFill="1" applyBorder="1" applyAlignment="1">
      <alignment vertical="center"/>
    </xf>
    <xf numFmtId="4" fontId="5" fillId="3" borderId="6" xfId="0" applyNumberFormat="1" applyFont="1" applyFill="1" applyBorder="1" applyAlignment="1">
      <alignment vertical="center"/>
    </xf>
    <xf numFmtId="0" fontId="5" fillId="3" borderId="6" xfId="0" applyFont="1" applyFill="1" applyBorder="1" applyAlignment="1">
      <alignment vertical="center" wrapText="1"/>
    </xf>
    <xf numFmtId="0" fontId="1" fillId="3" borderId="6" xfId="0" applyFont="1" applyFill="1" applyBorder="1" applyAlignment="1">
      <alignment vertical="center" wrapText="1"/>
    </xf>
    <xf numFmtId="4" fontId="0" fillId="0" borderId="18" xfId="0" applyNumberFormat="1" applyBorder="1" applyAlignment="1">
      <alignment vertical="center"/>
    </xf>
    <xf numFmtId="4" fontId="0" fillId="0" borderId="6" xfId="0" applyNumberFormat="1" applyBorder="1" applyAlignment="1">
      <alignment horizontal="right" vertical="center"/>
    </xf>
    <xf numFmtId="0" fontId="15" fillId="0" borderId="0" xfId="0" applyFont="1" applyAlignment="1">
      <alignment vertical="center"/>
    </xf>
    <xf numFmtId="4" fontId="1" fillId="0" borderId="6" xfId="0" applyNumberFormat="1" applyFont="1" applyBorder="1" applyAlignment="1">
      <alignment shrinkToFit="1"/>
    </xf>
    <xf numFmtId="4" fontId="0" fillId="0" borderId="6" xfId="0" applyNumberFormat="1" applyBorder="1" applyAlignment="1">
      <alignment shrinkToFit="1"/>
    </xf>
    <xf numFmtId="4" fontId="5" fillId="0" borderId="19" xfId="0" applyNumberFormat="1" applyFont="1" applyBorder="1" applyAlignment="1">
      <alignment vertical="center"/>
    </xf>
    <xf numFmtId="4" fontId="8" fillId="3" borderId="6" xfId="0" applyNumberFormat="1" applyFont="1" applyFill="1" applyBorder="1" applyAlignment="1">
      <alignment vertical="center"/>
    </xf>
    <xf numFmtId="0" fontId="0" fillId="3" borderId="6" xfId="0" applyFill="1" applyBorder="1" applyAlignment="1">
      <alignment vertical="center"/>
    </xf>
    <xf numFmtId="0" fontId="1" fillId="3" borderId="13" xfId="0" applyFont="1" applyFill="1" applyBorder="1"/>
    <xf numFmtId="0" fontId="1" fillId="3" borderId="6" xfId="0" applyFont="1" applyFill="1" applyBorder="1" applyAlignment="1">
      <alignment wrapText="1"/>
    </xf>
    <xf numFmtId="0" fontId="1" fillId="0" borderId="0" xfId="0" applyFont="1" applyAlignment="1">
      <alignment vertical="center"/>
    </xf>
    <xf numFmtId="0" fontId="0" fillId="0" borderId="6" xfId="0" applyBorder="1" applyAlignment="1">
      <alignment vertical="center"/>
    </xf>
    <xf numFmtId="4" fontId="1" fillId="0" borderId="6" xfId="0" applyNumberFormat="1" applyFont="1" applyBorder="1" applyAlignment="1">
      <alignment vertical="center"/>
    </xf>
    <xf numFmtId="0" fontId="5" fillId="3" borderId="20" xfId="0" applyFont="1" applyFill="1" applyBorder="1"/>
    <xf numFmtId="0" fontId="5" fillId="3" borderId="7" xfId="0" applyFont="1" applyFill="1" applyBorder="1"/>
    <xf numFmtId="4" fontId="5" fillId="3" borderId="8" xfId="0" applyNumberFormat="1" applyFont="1" applyFill="1" applyBorder="1"/>
    <xf numFmtId="4" fontId="1" fillId="0" borderId="7" xfId="0" applyNumberFormat="1" applyFont="1" applyBorder="1" applyAlignment="1">
      <alignment shrinkToFit="1"/>
    </xf>
    <xf numFmtId="4" fontId="0" fillId="0" borderId="7" xfId="0" applyNumberFormat="1" applyBorder="1" applyAlignment="1">
      <alignment shrinkToFit="1"/>
    </xf>
    <xf numFmtId="4" fontId="0" fillId="0" borderId="11" xfId="0" applyNumberFormat="1" applyBorder="1" applyAlignment="1">
      <alignment vertical="center"/>
    </xf>
    <xf numFmtId="0" fontId="5" fillId="3" borderId="17" xfId="0" applyFont="1" applyFill="1" applyBorder="1"/>
    <xf numFmtId="0" fontId="6" fillId="3" borderId="2" xfId="0" applyFont="1" applyFill="1" applyBorder="1"/>
    <xf numFmtId="4" fontId="6" fillId="3" borderId="2" xfId="0" applyNumberFormat="1" applyFont="1" applyFill="1" applyBorder="1"/>
    <xf numFmtId="0" fontId="5" fillId="3" borderId="14" xfId="0" applyFont="1" applyFill="1" applyBorder="1" applyAlignment="1">
      <alignment vertical="center" wrapText="1"/>
    </xf>
    <xf numFmtId="4" fontId="5" fillId="0" borderId="18" xfId="0" applyNumberFormat="1" applyFont="1" applyBorder="1" applyAlignment="1">
      <alignment vertical="center"/>
    </xf>
    <xf numFmtId="4" fontId="5" fillId="0" borderId="14" xfId="0" applyNumberFormat="1" applyFont="1" applyBorder="1" applyAlignment="1">
      <alignment vertical="center"/>
    </xf>
    <xf numFmtId="4" fontId="5" fillId="0" borderId="5" xfId="0" applyNumberFormat="1" applyFont="1" applyBorder="1" applyAlignment="1">
      <alignment vertical="center"/>
    </xf>
    <xf numFmtId="4" fontId="5" fillId="3" borderId="21" xfId="0" applyNumberFormat="1" applyFont="1" applyFill="1" applyBorder="1" applyAlignment="1">
      <alignment vertical="center"/>
    </xf>
    <xf numFmtId="4" fontId="5" fillId="3" borderId="13" xfId="0" applyNumberFormat="1" applyFont="1" applyFill="1" applyBorder="1" applyAlignment="1">
      <alignment vertical="center"/>
    </xf>
    <xf numFmtId="0" fontId="1" fillId="3" borderId="20" xfId="0" applyFont="1" applyFill="1" applyBorder="1" applyAlignment="1">
      <alignment vertical="center"/>
    </xf>
    <xf numFmtId="4" fontId="0" fillId="0" borderId="21" xfId="0" applyNumberFormat="1" applyBorder="1" applyAlignment="1">
      <alignment vertical="center"/>
    </xf>
    <xf numFmtId="4" fontId="0" fillId="0" borderId="13" xfId="0" applyNumberFormat="1" applyBorder="1" applyAlignment="1">
      <alignment vertical="center"/>
    </xf>
    <xf numFmtId="4" fontId="1" fillId="3" borderId="6" xfId="0" applyNumberFormat="1" applyFont="1" applyFill="1" applyBorder="1" applyAlignment="1">
      <alignment vertical="center"/>
    </xf>
    <xf numFmtId="4" fontId="5" fillId="0" borderId="21" xfId="0" applyNumberFormat="1" applyFont="1" applyBorder="1" applyAlignment="1">
      <alignment vertical="center"/>
    </xf>
    <xf numFmtId="4" fontId="5" fillId="0" borderId="13" xfId="0" applyNumberFormat="1" applyFont="1" applyBorder="1" applyAlignment="1">
      <alignment vertical="center"/>
    </xf>
    <xf numFmtId="0" fontId="5" fillId="3" borderId="13" xfId="0" applyFont="1" applyFill="1" applyBorder="1" applyAlignment="1">
      <alignment vertical="center" wrapText="1"/>
    </xf>
    <xf numFmtId="0" fontId="5" fillId="3" borderId="20" xfId="0" applyFont="1" applyFill="1" applyBorder="1" applyAlignment="1">
      <alignment vertical="center"/>
    </xf>
    <xf numFmtId="4" fontId="0" fillId="0" borderId="22" xfId="0" applyNumberFormat="1" applyBorder="1" applyAlignment="1">
      <alignment vertical="center"/>
    </xf>
    <xf numFmtId="4" fontId="0" fillId="0" borderId="20" xfId="0" applyNumberFormat="1" applyBorder="1" applyAlignment="1">
      <alignment vertical="center"/>
    </xf>
    <xf numFmtId="0" fontId="5" fillId="3" borderId="7" xfId="0" applyFont="1" applyFill="1" applyBorder="1" applyAlignment="1">
      <alignment vertical="center"/>
    </xf>
    <xf numFmtId="4" fontId="5" fillId="3" borderId="11" xfId="0" applyNumberFormat="1" applyFont="1" applyFill="1" applyBorder="1" applyAlignment="1">
      <alignment vertical="center"/>
    </xf>
    <xf numFmtId="0" fontId="5" fillId="3" borderId="2" xfId="0" applyFont="1" applyFill="1" applyBorder="1"/>
    <xf numFmtId="4" fontId="6" fillId="3" borderId="17" xfId="0" applyNumberFormat="1" applyFont="1" applyFill="1" applyBorder="1"/>
    <xf numFmtId="0" fontId="5" fillId="3" borderId="4" xfId="0" applyFont="1" applyFill="1" applyBorder="1"/>
    <xf numFmtId="4" fontId="5" fillId="3" borderId="4" xfId="0" applyNumberFormat="1" applyFont="1" applyFill="1" applyBorder="1"/>
    <xf numFmtId="4" fontId="5" fillId="3" borderId="14" xfId="0" applyNumberFormat="1" applyFont="1" applyFill="1" applyBorder="1"/>
    <xf numFmtId="0" fontId="0" fillId="3" borderId="4" xfId="0" applyFill="1" applyBorder="1"/>
    <xf numFmtId="4" fontId="0" fillId="3" borderId="4" xfId="0" applyNumberFormat="1" applyFill="1" applyBorder="1"/>
    <xf numFmtId="4" fontId="0" fillId="3" borderId="14" xfId="0" applyNumberFormat="1" applyFill="1" applyBorder="1"/>
    <xf numFmtId="0" fontId="5" fillId="3" borderId="4" xfId="0" applyFont="1" applyFill="1" applyBorder="1" applyAlignment="1">
      <alignment vertical="center" wrapText="1"/>
    </xf>
    <xf numFmtId="4" fontId="5" fillId="3" borderId="4" xfId="0" applyNumberFormat="1" applyFont="1" applyFill="1" applyBorder="1" applyAlignment="1">
      <alignment vertical="center"/>
    </xf>
    <xf numFmtId="4" fontId="0" fillId="3" borderId="13" xfId="0" applyNumberFormat="1" applyFill="1" applyBorder="1" applyAlignment="1">
      <alignment vertical="center"/>
    </xf>
    <xf numFmtId="0" fontId="1" fillId="0" borderId="7" xfId="0" applyFont="1" applyBorder="1" applyAlignment="1">
      <alignment vertical="center"/>
    </xf>
    <xf numFmtId="4" fontId="0" fillId="3" borderId="7" xfId="0" applyNumberFormat="1" applyFill="1" applyBorder="1" applyAlignment="1">
      <alignment vertical="center"/>
    </xf>
    <xf numFmtId="4" fontId="0" fillId="3" borderId="20" xfId="0" applyNumberFormat="1" applyFill="1" applyBorder="1" applyAlignment="1">
      <alignment vertical="center"/>
    </xf>
    <xf numFmtId="0" fontId="5" fillId="0" borderId="7" xfId="0" applyFont="1" applyBorder="1" applyAlignment="1">
      <alignment vertical="center"/>
    </xf>
    <xf numFmtId="4" fontId="1" fillId="0" borderId="7" xfId="0" applyNumberFormat="1" applyFont="1" applyBorder="1" applyAlignment="1">
      <alignment vertical="center"/>
    </xf>
    <xf numFmtId="4" fontId="1" fillId="0" borderId="20" xfId="0" applyNumberFormat="1" applyFont="1" applyBorder="1" applyAlignment="1">
      <alignment vertical="center"/>
    </xf>
    <xf numFmtId="4" fontId="1" fillId="0" borderId="13" xfId="0" applyNumberFormat="1" applyFont="1" applyBorder="1" applyAlignment="1">
      <alignment vertical="center"/>
    </xf>
    <xf numFmtId="0" fontId="20" fillId="3" borderId="6" xfId="0" applyFont="1" applyFill="1" applyBorder="1" applyAlignment="1">
      <alignment horizontal="right" vertical="center"/>
    </xf>
    <xf numFmtId="4" fontId="5" fillId="0" borderId="13" xfId="0" applyNumberFormat="1" applyFont="1" applyBorder="1"/>
    <xf numFmtId="4" fontId="0" fillId="0" borderId="13" xfId="0" applyNumberFormat="1" applyBorder="1"/>
    <xf numFmtId="0" fontId="5" fillId="0" borderId="13" xfId="0" applyFont="1" applyBorder="1" applyAlignment="1">
      <alignment vertical="center" wrapText="1"/>
    </xf>
    <xf numFmtId="4" fontId="5" fillId="0" borderId="6" xfId="3" applyNumberFormat="1" applyFont="1" applyFill="1" applyBorder="1" applyAlignment="1" applyProtection="1">
      <alignment vertical="center"/>
    </xf>
    <xf numFmtId="4" fontId="5" fillId="0" borderId="13" xfId="3" applyNumberFormat="1" applyFont="1" applyFill="1" applyBorder="1" applyAlignment="1" applyProtection="1">
      <alignment vertical="center"/>
    </xf>
    <xf numFmtId="4" fontId="0" fillId="3" borderId="7" xfId="0" applyNumberFormat="1" applyFill="1" applyBorder="1"/>
    <xf numFmtId="0" fontId="1" fillId="3" borderId="7" xfId="0" applyFont="1" applyFill="1" applyBorder="1" applyAlignment="1">
      <alignment vertical="center"/>
    </xf>
    <xf numFmtId="4" fontId="1" fillId="3" borderId="7" xfId="0" applyNumberFormat="1" applyFont="1" applyFill="1" applyBorder="1" applyAlignment="1">
      <alignment vertical="center"/>
    </xf>
    <xf numFmtId="4" fontId="1" fillId="3" borderId="20" xfId="0" applyNumberFormat="1" applyFont="1" applyFill="1" applyBorder="1" applyAlignment="1">
      <alignment vertical="center"/>
    </xf>
    <xf numFmtId="4" fontId="5" fillId="3" borderId="6" xfId="3" applyNumberFormat="1" applyFont="1" applyFill="1" applyBorder="1" applyAlignment="1" applyProtection="1">
      <alignment vertical="center"/>
    </xf>
    <xf numFmtId="4" fontId="5" fillId="3" borderId="13" xfId="3" applyNumberFormat="1" applyFont="1" applyFill="1" applyBorder="1" applyAlignment="1" applyProtection="1">
      <alignment vertical="center"/>
    </xf>
    <xf numFmtId="0" fontId="0" fillId="3" borderId="7" xfId="0" applyFill="1" applyBorder="1" applyAlignment="1">
      <alignment vertical="center"/>
    </xf>
    <xf numFmtId="0" fontId="0" fillId="3" borderId="7" xfId="0" applyFill="1" applyBorder="1" applyAlignment="1">
      <alignment vertical="center" wrapText="1"/>
    </xf>
    <xf numFmtId="4" fontId="0" fillId="3" borderId="6" xfId="0" applyNumberFormat="1" applyFill="1" applyBorder="1"/>
    <xf numFmtId="0" fontId="5" fillId="3" borderId="8" xfId="0" applyFont="1" applyFill="1" applyBorder="1" applyAlignment="1">
      <alignment vertical="center"/>
    </xf>
    <xf numFmtId="0" fontId="1" fillId="3" borderId="7" xfId="0" applyFont="1" applyFill="1" applyBorder="1" applyAlignment="1">
      <alignment vertical="center" wrapText="1"/>
    </xf>
    <xf numFmtId="4" fontId="5" fillId="0" borderId="8" xfId="0" applyNumberFormat="1" applyFont="1" applyBorder="1" applyAlignment="1">
      <alignment vertical="center"/>
    </xf>
    <xf numFmtId="4" fontId="0" fillId="0" borderId="16" xfId="0" applyNumberFormat="1" applyBorder="1" applyAlignment="1">
      <alignment vertical="center"/>
    </xf>
    <xf numFmtId="0" fontId="15" fillId="3" borderId="17" xfId="0" applyFont="1" applyFill="1" applyBorder="1"/>
    <xf numFmtId="4" fontId="7" fillId="3" borderId="2" xfId="0" applyNumberFormat="1" applyFont="1" applyFill="1" applyBorder="1" applyAlignment="1">
      <alignment vertical="center" shrinkToFit="1"/>
    </xf>
    <xf numFmtId="0" fontId="5" fillId="3" borderId="23" xfId="0" applyFont="1" applyFill="1" applyBorder="1"/>
    <xf numFmtId="0" fontId="6" fillId="3" borderId="9" xfId="0" applyFont="1" applyFill="1" applyBorder="1"/>
    <xf numFmtId="4" fontId="1" fillId="3" borderId="2" xfId="0" applyNumberFormat="1" applyFont="1" applyFill="1" applyBorder="1" applyAlignment="1">
      <alignment vertical="center"/>
    </xf>
    <xf numFmtId="4" fontId="0" fillId="3" borderId="2" xfId="0" applyNumberFormat="1" applyFill="1" applyBorder="1" applyAlignment="1">
      <alignment vertical="center"/>
    </xf>
    <xf numFmtId="4" fontId="0" fillId="0" borderId="2" xfId="0" applyNumberFormat="1" applyBorder="1" applyAlignment="1">
      <alignment vertical="center"/>
    </xf>
    <xf numFmtId="4" fontId="6" fillId="3" borderId="2" xfId="0" applyNumberFormat="1" applyFont="1" applyFill="1" applyBorder="1" applyAlignment="1">
      <alignment shrinkToFit="1"/>
    </xf>
    <xf numFmtId="0" fontId="5" fillId="3" borderId="12" xfId="0" applyFont="1" applyFill="1" applyBorder="1" applyAlignment="1">
      <alignment horizontal="left" vertical="center" wrapText="1"/>
    </xf>
    <xf numFmtId="0" fontId="5" fillId="0" borderId="14" xfId="0" applyFont="1" applyBorder="1" applyAlignment="1">
      <alignment horizontal="left" vertical="center" wrapText="1"/>
    </xf>
    <xf numFmtId="0" fontId="21" fillId="0" borderId="0" xfId="0" applyFont="1"/>
    <xf numFmtId="0" fontId="22" fillId="0" borderId="0" xfId="0" applyFont="1"/>
    <xf numFmtId="0" fontId="0" fillId="3" borderId="13" xfId="0" applyFill="1" applyBorder="1" applyAlignment="1">
      <alignment vertical="center" wrapText="1"/>
    </xf>
    <xf numFmtId="0" fontId="1" fillId="3" borderId="23" xfId="0" applyFont="1" applyFill="1" applyBorder="1" applyAlignment="1">
      <alignment vertical="center"/>
    </xf>
    <xf numFmtId="165" fontId="1" fillId="3" borderId="9" xfId="0" applyNumberFormat="1" applyFont="1" applyFill="1" applyBorder="1" applyAlignment="1">
      <alignment vertical="center"/>
    </xf>
    <xf numFmtId="4" fontId="0" fillId="3" borderId="8" xfId="0" applyNumberFormat="1" applyFill="1" applyBorder="1" applyAlignment="1">
      <alignment vertical="center"/>
    </xf>
    <xf numFmtId="4" fontId="0" fillId="0" borderId="8" xfId="0" applyNumberFormat="1" applyBorder="1" applyAlignment="1">
      <alignment vertical="center"/>
    </xf>
    <xf numFmtId="0" fontId="21" fillId="3" borderId="17" xfId="0" applyFont="1" applyFill="1" applyBorder="1"/>
    <xf numFmtId="4" fontId="15" fillId="3" borderId="2" xfId="0" applyNumberFormat="1" applyFont="1" applyFill="1" applyBorder="1" applyAlignment="1">
      <alignment shrinkToFit="1"/>
    </xf>
    <xf numFmtId="0" fontId="6" fillId="0" borderId="0" xfId="0" applyFont="1"/>
    <xf numFmtId="0" fontId="21" fillId="3" borderId="3" xfId="0" applyFont="1" applyFill="1" applyBorder="1"/>
    <xf numFmtId="0" fontId="14" fillId="3" borderId="3" xfId="0" applyFont="1" applyFill="1" applyBorder="1"/>
    <xf numFmtId="165" fontId="14" fillId="3" borderId="3" xfId="0" applyNumberFormat="1" applyFont="1" applyFill="1" applyBorder="1" applyAlignment="1">
      <alignment shrinkToFit="1"/>
    </xf>
    <xf numFmtId="4" fontId="0" fillId="3" borderId="3" xfId="0" applyNumberFormat="1" applyFill="1" applyBorder="1" applyAlignment="1">
      <alignment vertical="center"/>
    </xf>
    <xf numFmtId="4" fontId="0" fillId="0" borderId="3" xfId="0" applyNumberFormat="1" applyBorder="1" applyAlignment="1">
      <alignment vertical="center"/>
    </xf>
    <xf numFmtId="0" fontId="1" fillId="3" borderId="17" xfId="0" applyFont="1" applyFill="1" applyBorder="1"/>
    <xf numFmtId="0" fontId="18" fillId="3" borderId="17" xfId="0" applyFont="1" applyFill="1" applyBorder="1"/>
    <xf numFmtId="0" fontId="6" fillId="3" borderId="2" xfId="0" applyFont="1" applyFill="1" applyBorder="1" applyAlignment="1">
      <alignment vertical="center"/>
    </xf>
    <xf numFmtId="4" fontId="6" fillId="3" borderId="2" xfId="0" applyNumberFormat="1" applyFont="1" applyFill="1" applyBorder="1" applyAlignment="1">
      <alignment vertical="center"/>
    </xf>
    <xf numFmtId="0" fontId="5" fillId="3" borderId="5" xfId="0" applyFont="1" applyFill="1" applyBorder="1" applyAlignment="1">
      <alignment vertical="center"/>
    </xf>
    <xf numFmtId="4" fontId="5" fillId="3" borderId="10" xfId="0" applyNumberFormat="1" applyFont="1" applyFill="1" applyBorder="1" applyAlignment="1">
      <alignment vertical="center"/>
    </xf>
    <xf numFmtId="0" fontId="23" fillId="3" borderId="6" xfId="0" applyFont="1" applyFill="1" applyBorder="1" applyAlignment="1">
      <alignment vertical="center"/>
    </xf>
    <xf numFmtId="4" fontId="0" fillId="3" borderId="6" xfId="0" applyNumberFormat="1" applyFill="1" applyBorder="1" applyAlignment="1">
      <alignment horizontal="right" vertical="center"/>
    </xf>
    <xf numFmtId="0" fontId="5" fillId="3" borderId="9" xfId="0" applyFont="1" applyFill="1" applyBorder="1" applyAlignment="1">
      <alignment vertical="center"/>
    </xf>
    <xf numFmtId="0" fontId="5" fillId="3" borderId="12" xfId="0" applyFont="1" applyFill="1" applyBorder="1" applyAlignment="1">
      <alignment vertical="center"/>
    </xf>
    <xf numFmtId="0" fontId="0" fillId="3" borderId="14" xfId="0" applyFill="1" applyBorder="1" applyAlignment="1">
      <alignment vertical="center"/>
    </xf>
    <xf numFmtId="0" fontId="1" fillId="3" borderId="14" xfId="0" applyFont="1" applyFill="1" applyBorder="1" applyAlignment="1">
      <alignment vertical="center"/>
    </xf>
    <xf numFmtId="0" fontId="5" fillId="3" borderId="23" xfId="0" applyFont="1" applyFill="1" applyBorder="1" applyAlignment="1">
      <alignment vertical="center"/>
    </xf>
    <xf numFmtId="0" fontId="23" fillId="3" borderId="11" xfId="0" applyFont="1" applyFill="1" applyBorder="1" applyAlignment="1">
      <alignment vertical="center"/>
    </xf>
    <xf numFmtId="0" fontId="1" fillId="3" borderId="15" xfId="0" applyFont="1" applyFill="1" applyBorder="1" applyAlignment="1">
      <alignment vertical="center"/>
    </xf>
    <xf numFmtId="4" fontId="0" fillId="3" borderId="11" xfId="0" applyNumberFormat="1" applyFill="1" applyBorder="1" applyAlignment="1">
      <alignment vertical="center"/>
    </xf>
    <xf numFmtId="4" fontId="0" fillId="0" borderId="7" xfId="0" applyNumberFormat="1" applyBorder="1" applyAlignment="1">
      <alignment vertical="center"/>
    </xf>
    <xf numFmtId="4" fontId="24" fillId="0" borderId="4" xfId="0" applyNumberFormat="1" applyFont="1" applyBorder="1" applyAlignment="1">
      <alignment vertical="center"/>
    </xf>
    <xf numFmtId="0" fontId="23" fillId="3" borderId="9" xfId="0" applyFont="1" applyFill="1" applyBorder="1" applyAlignment="1">
      <alignment vertical="center"/>
    </xf>
    <xf numFmtId="0" fontId="23" fillId="3" borderId="7" xfId="0" applyFont="1" applyFill="1" applyBorder="1" applyAlignment="1">
      <alignment vertical="center"/>
    </xf>
    <xf numFmtId="4" fontId="25" fillId="3" borderId="2" xfId="0" applyNumberFormat="1" applyFont="1" applyFill="1" applyBorder="1"/>
    <xf numFmtId="0" fontId="0" fillId="3" borderId="6" xfId="0" applyFill="1" applyBorder="1" applyAlignment="1">
      <alignment horizontal="left" vertical="center"/>
    </xf>
    <xf numFmtId="0" fontId="0" fillId="3" borderId="4" xfId="0" applyFill="1" applyBorder="1" applyAlignment="1">
      <alignment horizontal="left" vertical="center"/>
    </xf>
    <xf numFmtId="0" fontId="23" fillId="3" borderId="4" xfId="0" applyFont="1" applyFill="1" applyBorder="1" applyAlignment="1">
      <alignment vertical="center"/>
    </xf>
    <xf numFmtId="0" fontId="1" fillId="3" borderId="4" xfId="0" applyFont="1" applyFill="1" applyBorder="1" applyAlignment="1">
      <alignment vertical="center"/>
    </xf>
    <xf numFmtId="4" fontId="0" fillId="3" borderId="21" xfId="0" applyNumberFormat="1" applyFill="1" applyBorder="1" applyAlignment="1">
      <alignment vertical="center"/>
    </xf>
    <xf numFmtId="0" fontId="1" fillId="3" borderId="9" xfId="0" applyFont="1" applyFill="1" applyBorder="1" applyAlignment="1">
      <alignment vertical="center"/>
    </xf>
    <xf numFmtId="0" fontId="23" fillId="0" borderId="17" xfId="0" applyFont="1" applyBorder="1" applyAlignment="1">
      <alignment vertical="center"/>
    </xf>
    <xf numFmtId="0" fontId="15" fillId="0" borderId="2" xfId="0" applyFont="1" applyBorder="1" applyAlignment="1">
      <alignment vertical="center"/>
    </xf>
    <xf numFmtId="4" fontId="15" fillId="0" borderId="3" xfId="0" applyNumberFormat="1" applyFont="1" applyBorder="1" applyAlignment="1">
      <alignment vertical="center"/>
    </xf>
    <xf numFmtId="4" fontId="15" fillId="0" borderId="17" xfId="0" applyNumberFormat="1" applyFont="1" applyBorder="1" applyAlignment="1">
      <alignment vertical="center"/>
    </xf>
    <xf numFmtId="4" fontId="15" fillId="0" borderId="2" xfId="0" applyNumberFormat="1" applyFont="1" applyBorder="1" applyAlignment="1">
      <alignment vertical="center"/>
    </xf>
    <xf numFmtId="4" fontId="26" fillId="0" borderId="2" xfId="0" applyNumberFormat="1" applyFont="1" applyBorder="1" applyAlignment="1">
      <alignment vertical="center"/>
    </xf>
    <xf numFmtId="0" fontId="5" fillId="0" borderId="17" xfId="0" applyFont="1" applyBorder="1" applyAlignment="1">
      <alignment vertical="center"/>
    </xf>
    <xf numFmtId="0" fontId="6" fillId="0" borderId="2" xfId="0" applyFont="1" applyBorder="1" applyAlignment="1">
      <alignment vertical="center"/>
    </xf>
    <xf numFmtId="4" fontId="6" fillId="0" borderId="24" xfId="0" applyNumberFormat="1" applyFont="1" applyBorder="1" applyAlignment="1">
      <alignment vertical="center"/>
    </xf>
    <xf numFmtId="4" fontId="6" fillId="0" borderId="25" xfId="0" applyNumberFormat="1" applyFont="1" applyBorder="1" applyAlignment="1">
      <alignment vertical="center"/>
    </xf>
    <xf numFmtId="4" fontId="6" fillId="0" borderId="2" xfId="0" applyNumberFormat="1" applyFont="1" applyBorder="1" applyAlignment="1">
      <alignment vertical="center"/>
    </xf>
    <xf numFmtId="4" fontId="6" fillId="0" borderId="3" xfId="0" applyNumberFormat="1" applyFont="1" applyBorder="1" applyAlignment="1">
      <alignment vertical="center"/>
    </xf>
    <xf numFmtId="0" fontId="5" fillId="0" borderId="12" xfId="0" applyFont="1" applyBorder="1" applyAlignment="1">
      <alignment vertical="center"/>
    </xf>
    <xf numFmtId="0" fontId="5" fillId="0" borderId="5" xfId="0" applyFont="1" applyBorder="1" applyAlignment="1">
      <alignment vertical="center"/>
    </xf>
    <xf numFmtId="4" fontId="5" fillId="0" borderId="26" xfId="0" applyNumberFormat="1" applyFont="1" applyBorder="1" applyAlignment="1">
      <alignment vertical="center"/>
    </xf>
    <xf numFmtId="4" fontId="5" fillId="0" borderId="27" xfId="0" applyNumberFormat="1" applyFont="1" applyBorder="1" applyAlignment="1">
      <alignment vertical="center"/>
    </xf>
    <xf numFmtId="4" fontId="5" fillId="0" borderId="28" xfId="0" applyNumberFormat="1" applyFont="1" applyBorder="1" applyAlignment="1">
      <alignment vertical="center"/>
    </xf>
    <xf numFmtId="0" fontId="23" fillId="0" borderId="13" xfId="0" applyFont="1" applyBorder="1" applyAlignment="1">
      <alignment vertical="center"/>
    </xf>
    <xf numFmtId="4" fontId="0" fillId="0" borderId="29" xfId="0" applyNumberFormat="1" applyBorder="1" applyAlignment="1">
      <alignment vertical="center"/>
    </xf>
    <xf numFmtId="4" fontId="0" fillId="0" borderId="30" xfId="0" applyNumberFormat="1" applyBorder="1" applyAlignment="1">
      <alignment vertical="center"/>
    </xf>
    <xf numFmtId="4" fontId="0" fillId="0" borderId="19" xfId="0" applyNumberFormat="1" applyBorder="1" applyAlignment="1">
      <alignment vertical="center"/>
    </xf>
    <xf numFmtId="4" fontId="0" fillId="0" borderId="31" xfId="0" applyNumberFormat="1" applyBorder="1" applyAlignment="1">
      <alignment vertical="center"/>
    </xf>
    <xf numFmtId="4" fontId="0" fillId="0" borderId="32" xfId="0" applyNumberFormat="1" applyBorder="1" applyAlignment="1">
      <alignment vertical="center"/>
    </xf>
    <xf numFmtId="4" fontId="5" fillId="0" borderId="29" xfId="0" applyNumberFormat="1" applyFont="1" applyBorder="1" applyAlignment="1">
      <alignment vertical="center"/>
    </xf>
    <xf numFmtId="4" fontId="5" fillId="0" borderId="33" xfId="0" applyNumberFormat="1" applyFont="1" applyBorder="1" applyAlignment="1">
      <alignment vertical="center"/>
    </xf>
    <xf numFmtId="4" fontId="5" fillId="0" borderId="34" xfId="0" applyNumberFormat="1" applyFont="1" applyBorder="1" applyAlignment="1">
      <alignment vertical="center"/>
    </xf>
    <xf numFmtId="4" fontId="0" fillId="0" borderId="35" xfId="0" applyNumberFormat="1" applyBorder="1" applyAlignment="1">
      <alignment vertical="center"/>
    </xf>
    <xf numFmtId="4" fontId="0" fillId="0" borderId="33" xfId="0" applyNumberFormat="1" applyBorder="1" applyAlignment="1">
      <alignment vertical="center"/>
    </xf>
    <xf numFmtId="4" fontId="0" fillId="0" borderId="34" xfId="0" applyNumberFormat="1" applyBorder="1" applyAlignment="1">
      <alignment vertical="center"/>
    </xf>
    <xf numFmtId="0" fontId="0" fillId="0" borderId="4" xfId="0" applyBorder="1" applyAlignment="1">
      <alignment vertical="center"/>
    </xf>
    <xf numFmtId="0" fontId="23" fillId="0" borderId="20" xfId="0" applyFont="1" applyBorder="1" applyAlignment="1">
      <alignment vertical="center"/>
    </xf>
    <xf numFmtId="0" fontId="0" fillId="0" borderId="9" xfId="0" applyBorder="1" applyAlignment="1">
      <alignment vertical="center"/>
    </xf>
    <xf numFmtId="4" fontId="0" fillId="0" borderId="36" xfId="0" applyNumberFormat="1" applyBorder="1" applyAlignment="1">
      <alignment vertical="center"/>
    </xf>
    <xf numFmtId="4" fontId="0" fillId="0" borderId="37" xfId="0" applyNumberFormat="1" applyBorder="1" applyAlignment="1">
      <alignment vertical="center"/>
    </xf>
    <xf numFmtId="4" fontId="0" fillId="0" borderId="38" xfId="0" applyNumberFormat="1" applyBorder="1" applyAlignment="1">
      <alignment vertical="center"/>
    </xf>
    <xf numFmtId="0" fontId="6" fillId="0" borderId="17" xfId="0" applyFont="1" applyBorder="1"/>
    <xf numFmtId="4" fontId="5" fillId="0" borderId="30" xfId="0" applyNumberFormat="1" applyFont="1" applyBorder="1" applyAlignment="1">
      <alignment vertical="center"/>
    </xf>
    <xf numFmtId="0" fontId="0" fillId="0" borderId="8" xfId="0" applyBorder="1" applyAlignment="1">
      <alignment vertical="center"/>
    </xf>
    <xf numFmtId="4" fontId="0" fillId="0" borderId="39" xfId="0" applyNumberFormat="1" applyBorder="1" applyAlignment="1">
      <alignment vertical="center"/>
    </xf>
    <xf numFmtId="4" fontId="0" fillId="0" borderId="40" xfId="0" applyNumberFormat="1" applyBorder="1" applyAlignment="1">
      <alignment vertical="center"/>
    </xf>
    <xf numFmtId="4" fontId="0" fillId="0" borderId="41" xfId="0" applyNumberFormat="1" applyBorder="1" applyAlignment="1">
      <alignment vertical="center"/>
    </xf>
    <xf numFmtId="0" fontId="20" fillId="0" borderId="6" xfId="0" applyFont="1" applyBorder="1" applyAlignment="1">
      <alignment vertical="center" wrapText="1"/>
    </xf>
    <xf numFmtId="4" fontId="6" fillId="0" borderId="24" xfId="0" applyNumberFormat="1" applyFont="1" applyBorder="1"/>
    <xf numFmtId="4" fontId="6" fillId="0" borderId="25" xfId="0" applyNumberFormat="1" applyFont="1" applyBorder="1"/>
    <xf numFmtId="4" fontId="6" fillId="0" borderId="3" xfId="0" applyNumberFormat="1" applyFont="1" applyBorder="1"/>
    <xf numFmtId="0" fontId="0" fillId="0" borderId="7" xfId="0" applyBorder="1" applyAlignment="1">
      <alignment vertical="center"/>
    </xf>
    <xf numFmtId="4" fontId="0" fillId="0" borderId="42" xfId="0" applyNumberFormat="1" applyBorder="1" applyAlignment="1">
      <alignment vertical="center"/>
    </xf>
    <xf numFmtId="4" fontId="0" fillId="0" borderId="43" xfId="0" applyNumberFormat="1" applyBorder="1" applyAlignment="1">
      <alignment vertical="center"/>
    </xf>
    <xf numFmtId="4" fontId="0" fillId="0" borderId="44" xfId="0" applyNumberFormat="1" applyBorder="1" applyAlignment="1">
      <alignment vertical="center"/>
    </xf>
    <xf numFmtId="0" fontId="23" fillId="0" borderId="14" xfId="0" applyFont="1" applyBorder="1" applyAlignment="1">
      <alignment vertical="center"/>
    </xf>
    <xf numFmtId="4" fontId="0" fillId="0" borderId="45" xfId="0" applyNumberFormat="1" applyBorder="1" applyAlignment="1">
      <alignment vertical="center"/>
    </xf>
    <xf numFmtId="4" fontId="0" fillId="0" borderId="46" xfId="0" applyNumberFormat="1" applyBorder="1" applyAlignment="1">
      <alignment vertical="center"/>
    </xf>
    <xf numFmtId="0" fontId="23" fillId="0" borderId="16" xfId="0" applyFont="1" applyBorder="1" applyAlignment="1">
      <alignment vertical="center"/>
    </xf>
    <xf numFmtId="0" fontId="5" fillId="3" borderId="2" xfId="0" applyFont="1" applyFill="1" applyBorder="1" applyAlignment="1">
      <alignment vertical="center"/>
    </xf>
    <xf numFmtId="0" fontId="15" fillId="3" borderId="2" xfId="0" applyFont="1" applyFill="1" applyBorder="1" applyAlignment="1">
      <alignment vertical="center"/>
    </xf>
    <xf numFmtId="4" fontId="7" fillId="3" borderId="2" xfId="0" applyNumberFormat="1" applyFont="1" applyFill="1" applyBorder="1" applyAlignment="1">
      <alignment vertical="center"/>
    </xf>
    <xf numFmtId="4" fontId="5" fillId="3" borderId="4" xfId="0" applyNumberFormat="1" applyFont="1" applyFill="1" applyBorder="1" applyAlignment="1">
      <alignment vertical="center" wrapText="1"/>
    </xf>
    <xf numFmtId="4" fontId="5" fillId="0" borderId="0" xfId="0" applyNumberFormat="1" applyFont="1" applyAlignment="1">
      <alignment horizontal="right" vertical="center"/>
    </xf>
    <xf numFmtId="4" fontId="5" fillId="0" borderId="23" xfId="0" applyNumberFormat="1" applyFont="1" applyBorder="1" applyAlignment="1">
      <alignment horizontal="right" vertical="center"/>
    </xf>
    <xf numFmtId="4" fontId="5" fillId="0" borderId="19" xfId="0" applyNumberFormat="1" applyFont="1" applyBorder="1" applyAlignment="1">
      <alignment horizontal="right" vertical="center"/>
    </xf>
    <xf numFmtId="4" fontId="5" fillId="0" borderId="13" xfId="0" applyNumberFormat="1" applyFont="1" applyBorder="1" applyAlignment="1">
      <alignment horizontal="right" vertical="center"/>
    </xf>
    <xf numFmtId="0" fontId="5" fillId="3" borderId="13" xfId="0" applyFont="1" applyFill="1" applyBorder="1"/>
    <xf numFmtId="4" fontId="5" fillId="3" borderId="0" xfId="0" applyNumberFormat="1" applyFont="1" applyFill="1" applyAlignment="1">
      <alignment vertical="center"/>
    </xf>
    <xf numFmtId="4" fontId="0" fillId="3" borderId="23" xfId="0" applyNumberFormat="1" applyFill="1" applyBorder="1" applyAlignment="1">
      <alignment vertical="center"/>
    </xf>
    <xf numFmtId="0" fontId="6" fillId="0" borderId="15" xfId="0" applyFont="1" applyBorder="1"/>
    <xf numFmtId="0" fontId="5" fillId="3" borderId="6" xfId="0" applyFont="1" applyFill="1" applyBorder="1"/>
    <xf numFmtId="0" fontId="5" fillId="3" borderId="0" xfId="0" applyFont="1" applyFill="1"/>
    <xf numFmtId="0" fontId="6" fillId="3" borderId="17" xfId="0" applyFont="1" applyFill="1" applyBorder="1"/>
    <xf numFmtId="4" fontId="15" fillId="3" borderId="2" xfId="0" applyNumberFormat="1" applyFont="1" applyFill="1" applyBorder="1" applyAlignment="1">
      <alignment vertical="center"/>
    </xf>
    <xf numFmtId="4" fontId="15" fillId="3" borderId="17" xfId="0" applyNumberFormat="1" applyFont="1" applyFill="1" applyBorder="1" applyAlignment="1">
      <alignment vertical="center"/>
    </xf>
    <xf numFmtId="4" fontId="5" fillId="3" borderId="46" xfId="0" applyNumberFormat="1" applyFont="1" applyFill="1" applyBorder="1" applyAlignment="1">
      <alignment vertical="center"/>
    </xf>
    <xf numFmtId="4" fontId="5" fillId="3" borderId="14" xfId="0" applyNumberFormat="1" applyFont="1" applyFill="1" applyBorder="1" applyAlignment="1">
      <alignment vertical="center"/>
    </xf>
    <xf numFmtId="4" fontId="5" fillId="3" borderId="19" xfId="0" applyNumberFormat="1" applyFont="1" applyFill="1" applyBorder="1" applyAlignment="1">
      <alignment vertical="center"/>
    </xf>
    <xf numFmtId="0" fontId="5" fillId="3" borderId="16" xfId="0" applyFont="1" applyFill="1" applyBorder="1"/>
    <xf numFmtId="0" fontId="5" fillId="3" borderId="8" xfId="0" applyFont="1" applyFill="1" applyBorder="1"/>
    <xf numFmtId="4" fontId="5" fillId="3" borderId="11" xfId="0" applyNumberFormat="1" applyFont="1" applyFill="1" applyBorder="1"/>
    <xf numFmtId="0" fontId="6" fillId="3" borderId="17" xfId="0" applyFont="1" applyFill="1" applyBorder="1" applyAlignment="1">
      <alignment vertical="center"/>
    </xf>
    <xf numFmtId="0" fontId="20" fillId="3" borderId="13" xfId="0" applyFont="1" applyFill="1" applyBorder="1" applyAlignment="1">
      <alignment vertical="center"/>
    </xf>
    <xf numFmtId="0" fontId="1" fillId="3" borderId="13" xfId="0" applyFont="1" applyFill="1" applyBorder="1" applyAlignment="1">
      <alignment vertical="center" wrapText="1"/>
    </xf>
    <xf numFmtId="0" fontId="20" fillId="3" borderId="13" xfId="0" applyFont="1" applyFill="1" applyBorder="1"/>
    <xf numFmtId="0" fontId="20" fillId="3" borderId="23" xfId="0" applyFont="1" applyFill="1" applyBorder="1"/>
    <xf numFmtId="4" fontId="0" fillId="3" borderId="11" xfId="0" applyNumberFormat="1" applyFill="1" applyBorder="1"/>
    <xf numFmtId="4" fontId="0" fillId="0" borderId="47" xfId="0" applyNumberFormat="1" applyBorder="1" applyAlignment="1">
      <alignment vertical="center"/>
    </xf>
    <xf numFmtId="0" fontId="5" fillId="3" borderId="15" xfId="0" applyFont="1" applyFill="1" applyBorder="1" applyAlignment="1">
      <alignment vertical="center"/>
    </xf>
    <xf numFmtId="0" fontId="5" fillId="3" borderId="11" xfId="0" applyFont="1" applyFill="1" applyBorder="1" applyAlignment="1">
      <alignment vertical="center"/>
    </xf>
    <xf numFmtId="4" fontId="7" fillId="0" borderId="11" xfId="0" applyNumberFormat="1" applyFont="1" applyBorder="1"/>
    <xf numFmtId="4" fontId="7" fillId="0" borderId="2" xfId="0" applyNumberFormat="1" applyFont="1" applyBorder="1"/>
    <xf numFmtId="4" fontId="7" fillId="0" borderId="17" xfId="0" applyNumberFormat="1" applyFont="1" applyBorder="1"/>
    <xf numFmtId="0" fontId="5" fillId="0" borderId="9" xfId="0" applyFont="1" applyBorder="1" applyAlignment="1">
      <alignment vertical="center"/>
    </xf>
    <xf numFmtId="4" fontId="5" fillId="0" borderId="9" xfId="0" applyNumberFormat="1" applyFont="1" applyBorder="1" applyAlignment="1">
      <alignment vertical="center"/>
    </xf>
    <xf numFmtId="4" fontId="5" fillId="0" borderId="23" xfId="0" applyNumberFormat="1" applyFont="1" applyBorder="1" applyAlignment="1">
      <alignment vertical="center"/>
    </xf>
    <xf numFmtId="0" fontId="15" fillId="0" borderId="2" xfId="0" applyFont="1" applyBorder="1" applyAlignment="1">
      <alignment wrapText="1"/>
    </xf>
    <xf numFmtId="0" fontId="6" fillId="0" borderId="2" xfId="0" applyFont="1" applyBorder="1" applyAlignment="1">
      <alignment wrapText="1"/>
    </xf>
    <xf numFmtId="0" fontId="5" fillId="0" borderId="4" xfId="0" applyFont="1" applyBorder="1" applyAlignment="1">
      <alignment vertical="center" wrapText="1"/>
    </xf>
    <xf numFmtId="0" fontId="27" fillId="0" borderId="6" xfId="0" applyFont="1" applyBorder="1" applyAlignment="1">
      <alignment vertical="center" wrapText="1"/>
    </xf>
    <xf numFmtId="4" fontId="27" fillId="3" borderId="6" xfId="0" applyNumberFormat="1" applyFont="1" applyFill="1" applyBorder="1" applyAlignment="1">
      <alignment vertical="center"/>
    </xf>
    <xf numFmtId="4" fontId="27" fillId="0" borderId="6" xfId="0" applyNumberFormat="1" applyFont="1" applyBorder="1" applyAlignment="1">
      <alignment vertical="center"/>
    </xf>
    <xf numFmtId="4" fontId="28" fillId="0" borderId="6" xfId="0" applyNumberFormat="1" applyFont="1" applyBorder="1" applyAlignment="1">
      <alignment vertical="center"/>
    </xf>
    <xf numFmtId="0" fontId="29" fillId="0" borderId="13" xfId="0" applyFont="1" applyBorder="1" applyAlignment="1">
      <alignment vertical="center"/>
    </xf>
    <xf numFmtId="0" fontId="30" fillId="0" borderId="6" xfId="0" applyFont="1" applyBorder="1" applyAlignment="1">
      <alignment vertical="center" wrapText="1"/>
    </xf>
    <xf numFmtId="4" fontId="1" fillId="0" borderId="6" xfId="0" applyNumberFormat="1" applyFont="1" applyBorder="1" applyAlignment="1">
      <alignment vertical="center" wrapText="1"/>
    </xf>
    <xf numFmtId="0" fontId="31" fillId="0" borderId="6" xfId="0" applyFont="1" applyBorder="1" applyAlignment="1">
      <alignment vertical="center" wrapText="1"/>
    </xf>
    <xf numFmtId="0" fontId="29" fillId="0" borderId="0" xfId="0" applyFont="1"/>
    <xf numFmtId="4" fontId="28" fillId="0" borderId="7" xfId="0" applyNumberFormat="1" applyFont="1" applyBorder="1" applyAlignment="1">
      <alignment vertical="center" wrapText="1"/>
    </xf>
    <xf numFmtId="4" fontId="5" fillId="3" borderId="7" xfId="0" applyNumberFormat="1" applyFont="1" applyFill="1" applyBorder="1" applyAlignment="1">
      <alignment vertical="center"/>
    </xf>
    <xf numFmtId="4" fontId="5" fillId="0" borderId="7" xfId="0" applyNumberFormat="1" applyFont="1" applyBorder="1" applyAlignment="1">
      <alignment vertical="center"/>
    </xf>
    <xf numFmtId="4" fontId="28" fillId="0" borderId="6" xfId="0" applyNumberFormat="1" applyFont="1" applyBorder="1" applyAlignment="1">
      <alignment vertical="center" wrapText="1"/>
    </xf>
    <xf numFmtId="4" fontId="0" fillId="0" borderId="14" xfId="0" applyNumberFormat="1" applyBorder="1" applyAlignment="1">
      <alignment vertical="center"/>
    </xf>
    <xf numFmtId="4" fontId="28" fillId="3" borderId="6" xfId="0" applyNumberFormat="1" applyFont="1" applyFill="1" applyBorder="1" applyAlignment="1">
      <alignment vertical="center"/>
    </xf>
    <xf numFmtId="4" fontId="0" fillId="0" borderId="23" xfId="0" applyNumberFormat="1" applyBorder="1"/>
    <xf numFmtId="4" fontId="0" fillId="0" borderId="23" xfId="0" applyNumberFormat="1" applyBorder="1" applyAlignment="1">
      <alignment vertical="center"/>
    </xf>
    <xf numFmtId="4" fontId="0" fillId="0" borderId="6" xfId="0" applyNumberFormat="1" applyBorder="1"/>
    <xf numFmtId="49" fontId="5" fillId="0" borderId="14" xfId="0" applyNumberFormat="1" applyFont="1" applyBorder="1" applyAlignment="1">
      <alignment horizontal="right" vertical="center"/>
    </xf>
    <xf numFmtId="2" fontId="5" fillId="0" borderId="4" xfId="0" applyNumberFormat="1" applyFont="1" applyBorder="1" applyAlignment="1">
      <alignment vertical="center" wrapText="1"/>
    </xf>
    <xf numFmtId="49" fontId="1" fillId="0" borderId="13" xfId="0" applyNumberFormat="1" applyFont="1" applyBorder="1" applyAlignment="1">
      <alignment horizontal="right" vertical="center"/>
    </xf>
    <xf numFmtId="2" fontId="1" fillId="0" borderId="6" xfId="0" applyNumberFormat="1" applyFont="1" applyBorder="1" applyAlignment="1">
      <alignment vertical="center" wrapText="1"/>
    </xf>
    <xf numFmtId="4" fontId="28" fillId="0" borderId="4" xfId="0" applyNumberFormat="1" applyFont="1" applyBorder="1" applyAlignment="1">
      <alignment vertical="center"/>
    </xf>
    <xf numFmtId="49" fontId="5" fillId="0" borderId="13" xfId="0" applyNumberFormat="1" applyFont="1" applyBorder="1" applyAlignment="1">
      <alignment horizontal="right" vertical="center"/>
    </xf>
    <xf numFmtId="2" fontId="5" fillId="3" borderId="6" xfId="0" applyNumberFormat="1" applyFont="1" applyFill="1" applyBorder="1" applyAlignment="1">
      <alignment vertical="center" wrapText="1"/>
    </xf>
    <xf numFmtId="2" fontId="1" fillId="3" borderId="6" xfId="0" applyNumberFormat="1" applyFont="1" applyFill="1" applyBorder="1" applyAlignment="1">
      <alignment vertical="center" wrapText="1"/>
    </xf>
    <xf numFmtId="2" fontId="20" fillId="3" borderId="6" xfId="0" applyNumberFormat="1" applyFont="1" applyFill="1" applyBorder="1" applyAlignment="1">
      <alignment vertical="center" wrapText="1"/>
    </xf>
    <xf numFmtId="2" fontId="5" fillId="0" borderId="6" xfId="0" applyNumberFormat="1" applyFont="1" applyBorder="1" applyAlignment="1">
      <alignment vertical="center" wrapText="1"/>
    </xf>
    <xf numFmtId="4" fontId="28" fillId="0" borderId="8" xfId="0" applyNumberFormat="1" applyFont="1" applyBorder="1" applyAlignment="1">
      <alignment vertical="center"/>
    </xf>
    <xf numFmtId="4" fontId="6" fillId="0" borderId="2" xfId="0" applyNumberFormat="1" applyFont="1" applyBorder="1" applyAlignment="1">
      <alignment vertical="center" shrinkToFit="1"/>
    </xf>
    <xf numFmtId="4" fontId="7" fillId="3" borderId="2" xfId="1" applyNumberFormat="1" applyFont="1" applyFill="1" applyBorder="1" applyAlignment="1" applyProtection="1">
      <alignment horizontal="right"/>
    </xf>
    <xf numFmtId="4" fontId="15" fillId="3" borderId="2" xfId="1" applyNumberFormat="1" applyFont="1" applyFill="1" applyBorder="1" applyAlignment="1" applyProtection="1">
      <alignment horizontal="right"/>
    </xf>
    <xf numFmtId="4" fontId="5" fillId="3" borderId="4" xfId="1" applyNumberFormat="1" applyFont="1" applyFill="1" applyBorder="1" applyAlignment="1" applyProtection="1">
      <alignment vertical="center"/>
    </xf>
    <xf numFmtId="4" fontId="0" fillId="3" borderId="6" xfId="1" applyNumberFormat="1" applyFont="1" applyFill="1" applyBorder="1" applyAlignment="1" applyProtection="1">
      <alignment vertical="center"/>
    </xf>
    <xf numFmtId="0" fontId="5" fillId="0" borderId="15" xfId="0" applyFont="1" applyBorder="1" applyAlignment="1">
      <alignment vertical="center"/>
    </xf>
    <xf numFmtId="0" fontId="1" fillId="3" borderId="15" xfId="0" applyFont="1" applyFill="1" applyBorder="1" applyAlignment="1">
      <alignment vertical="center" wrapText="1"/>
    </xf>
    <xf numFmtId="4" fontId="20" fillId="3" borderId="11" xfId="0" applyNumberFormat="1" applyFont="1" applyFill="1" applyBorder="1" applyAlignment="1">
      <alignment horizontal="right"/>
    </xf>
    <xf numFmtId="0" fontId="20" fillId="3" borderId="6" xfId="0" applyFont="1" applyFill="1" applyBorder="1" applyAlignment="1">
      <alignment vertical="center" wrapText="1"/>
    </xf>
    <xf numFmtId="0" fontId="32" fillId="3" borderId="6" xfId="0" applyFont="1" applyFill="1" applyBorder="1" applyAlignment="1">
      <alignment vertical="center" wrapText="1"/>
    </xf>
    <xf numFmtId="4" fontId="0" fillId="0" borderId="0" xfId="0" applyNumberFormat="1" applyAlignment="1">
      <alignment horizontal="right" vertical="center"/>
    </xf>
    <xf numFmtId="0" fontId="5" fillId="0" borderId="16" xfId="0" applyFont="1" applyBorder="1"/>
    <xf numFmtId="4" fontId="7" fillId="3" borderId="2" xfId="0" applyNumberFormat="1" applyFont="1" applyFill="1" applyBorder="1" applyAlignment="1">
      <alignment shrinkToFit="1"/>
    </xf>
    <xf numFmtId="0" fontId="20" fillId="3" borderId="4" xfId="0" applyFont="1" applyFill="1" applyBorder="1" applyAlignment="1">
      <alignment vertical="center" wrapText="1"/>
    </xf>
    <xf numFmtId="0" fontId="6" fillId="0" borderId="14" xfId="0" applyFont="1" applyBorder="1"/>
    <xf numFmtId="4" fontId="0" fillId="3" borderId="4" xfId="0" applyNumberFormat="1" applyFill="1" applyBorder="1" applyAlignment="1">
      <alignment vertical="center" shrinkToFit="1"/>
    </xf>
    <xf numFmtId="0" fontId="5" fillId="0" borderId="15" xfId="0" applyFont="1" applyBorder="1"/>
    <xf numFmtId="0" fontId="5" fillId="3" borderId="11" xfId="0" applyFont="1" applyFill="1" applyBorder="1"/>
    <xf numFmtId="166" fontId="5" fillId="3" borderId="6" xfId="0" applyNumberFormat="1" applyFont="1" applyFill="1" applyBorder="1" applyAlignment="1">
      <alignment vertical="center"/>
    </xf>
    <xf numFmtId="166" fontId="5" fillId="0" borderId="0" xfId="0" applyNumberFormat="1" applyFont="1"/>
    <xf numFmtId="4" fontId="5" fillId="3" borderId="8" xfId="0" applyNumberFormat="1" applyFont="1" applyFill="1" applyBorder="1" applyAlignment="1">
      <alignment vertical="center"/>
    </xf>
    <xf numFmtId="0" fontId="5" fillId="0" borderId="20" xfId="0" applyFont="1" applyBorder="1" applyAlignment="1">
      <alignment vertical="center"/>
    </xf>
    <xf numFmtId="0" fontId="1" fillId="3" borderId="8" xfId="0" applyFont="1" applyFill="1" applyBorder="1" applyAlignment="1">
      <alignment vertical="center"/>
    </xf>
    <xf numFmtId="0" fontId="15" fillId="3" borderId="11" xfId="0" applyFont="1" applyFill="1" applyBorder="1" applyAlignment="1">
      <alignment vertical="center"/>
    </xf>
    <xf numFmtId="0" fontId="5" fillId="0" borderId="23" xfId="0" applyFont="1" applyBorder="1" applyAlignment="1">
      <alignment vertical="center"/>
    </xf>
    <xf numFmtId="4" fontId="5" fillId="3" borderId="5" xfId="0" applyNumberFormat="1" applyFont="1" applyFill="1" applyBorder="1" applyAlignment="1">
      <alignment horizontal="right" vertical="center"/>
    </xf>
    <xf numFmtId="4" fontId="0" fillId="3" borderId="4" xfId="0" applyNumberFormat="1" applyFill="1" applyBorder="1" applyAlignment="1">
      <alignment horizontal="right" vertical="center"/>
    </xf>
    <xf numFmtId="0" fontId="1" fillId="3" borderId="11" xfId="0" applyFont="1" applyFill="1" applyBorder="1" applyAlignment="1">
      <alignment vertical="center"/>
    </xf>
    <xf numFmtId="4" fontId="5" fillId="5" borderId="4" xfId="0" applyNumberFormat="1" applyFont="1" applyFill="1" applyBorder="1" applyAlignment="1">
      <alignment vertical="center"/>
    </xf>
    <xf numFmtId="4" fontId="5" fillId="5" borderId="6" xfId="0" applyNumberFormat="1" applyFont="1" applyFill="1" applyBorder="1" applyAlignment="1">
      <alignment vertical="center"/>
    </xf>
    <xf numFmtId="4" fontId="0" fillId="5" borderId="6" xfId="0" applyNumberFormat="1" applyFill="1" applyBorder="1" applyAlignment="1">
      <alignment vertical="center"/>
    </xf>
    <xf numFmtId="4" fontId="0" fillId="5" borderId="7" xfId="0" applyNumberFormat="1" applyFill="1" applyBorder="1" applyAlignment="1">
      <alignment vertical="center"/>
    </xf>
    <xf numFmtId="4" fontId="5" fillId="0" borderId="6" xfId="0" applyNumberFormat="1" applyFont="1" applyBorder="1"/>
    <xf numFmtId="4" fontId="0" fillId="5" borderId="6" xfId="0" applyNumberFormat="1" applyFill="1" applyBorder="1"/>
    <xf numFmtId="4" fontId="0" fillId="5" borderId="4" xfId="0" applyNumberFormat="1" applyFill="1" applyBorder="1" applyAlignment="1">
      <alignment vertical="center"/>
    </xf>
    <xf numFmtId="4" fontId="5" fillId="5" borderId="7" xfId="0" applyNumberFormat="1" applyFont="1" applyFill="1" applyBorder="1" applyAlignment="1">
      <alignment vertical="center"/>
    </xf>
    <xf numFmtId="4" fontId="5" fillId="3" borderId="9" xfId="0" applyNumberFormat="1" applyFont="1" applyFill="1" applyBorder="1" applyAlignment="1">
      <alignment vertical="center"/>
    </xf>
    <xf numFmtId="0" fontId="7" fillId="0" borderId="17" xfId="0" applyFont="1" applyBorder="1" applyAlignment="1">
      <alignment horizontal="center" vertical="center"/>
    </xf>
    <xf numFmtId="0" fontId="33" fillId="0" borderId="10" xfId="0" applyFont="1" applyBorder="1" applyAlignment="1">
      <alignment horizontal="right" vertical="center"/>
    </xf>
    <xf numFmtId="49" fontId="33" fillId="0" borderId="5" xfId="0" applyNumberFormat="1" applyFont="1" applyBorder="1" applyAlignment="1">
      <alignment vertical="center" wrapText="1"/>
    </xf>
    <xf numFmtId="4" fontId="33" fillId="0" borderId="5" xfId="0" applyNumberFormat="1" applyFont="1" applyBorder="1" applyAlignment="1">
      <alignment vertical="center"/>
    </xf>
    <xf numFmtId="4" fontId="33" fillId="0" borderId="48" xfId="0" applyNumberFormat="1" applyFont="1" applyBorder="1" applyAlignment="1">
      <alignment vertical="center"/>
    </xf>
    <xf numFmtId="4" fontId="33" fillId="0" borderId="49" xfId="0" applyNumberFormat="1" applyFont="1" applyBorder="1" applyAlignment="1">
      <alignment vertical="center"/>
    </xf>
    <xf numFmtId="0" fontId="33" fillId="0" borderId="6" xfId="0" applyFont="1" applyBorder="1" applyAlignment="1">
      <alignment horizontal="right" vertical="center"/>
    </xf>
    <xf numFmtId="0" fontId="33" fillId="0" borderId="6" xfId="0" applyFont="1" applyBorder="1" applyAlignment="1">
      <alignment vertical="center"/>
    </xf>
    <xf numFmtId="4" fontId="33" fillId="0" borderId="4" xfId="0" applyNumberFormat="1" applyFont="1" applyBorder="1" applyAlignment="1">
      <alignment vertical="center"/>
    </xf>
    <xf numFmtId="4" fontId="33" fillId="0" borderId="30" xfId="0" applyNumberFormat="1" applyFont="1" applyBorder="1" applyAlignment="1">
      <alignment vertical="center"/>
    </xf>
    <xf numFmtId="4" fontId="33" fillId="0" borderId="6" xfId="0" applyNumberFormat="1" applyFont="1" applyBorder="1" applyAlignment="1">
      <alignment vertical="center"/>
    </xf>
    <xf numFmtId="0" fontId="34" fillId="0" borderId="6" xfId="0" applyFont="1" applyBorder="1" applyAlignment="1">
      <alignment vertical="center" wrapText="1"/>
    </xf>
    <xf numFmtId="0" fontId="4" fillId="0" borderId="6" xfId="0" applyFont="1" applyBorder="1" applyAlignment="1">
      <alignment vertical="center"/>
    </xf>
    <xf numFmtId="4" fontId="4" fillId="0" borderId="4" xfId="0" applyNumberFormat="1" applyFont="1" applyBorder="1" applyAlignment="1">
      <alignment vertical="center"/>
    </xf>
    <xf numFmtId="4" fontId="4" fillId="0" borderId="30" xfId="0" applyNumberFormat="1" applyFont="1" applyBorder="1" applyAlignment="1">
      <alignment vertical="center"/>
    </xf>
    <xf numFmtId="4" fontId="4" fillId="0" borderId="6" xfId="0" applyNumberFormat="1" applyFont="1" applyBorder="1" applyAlignment="1">
      <alignment vertical="center"/>
    </xf>
    <xf numFmtId="0" fontId="4" fillId="0" borderId="6" xfId="0" applyFont="1" applyBorder="1" applyAlignment="1">
      <alignment vertical="center" wrapText="1"/>
    </xf>
    <xf numFmtId="4" fontId="4" fillId="0" borderId="50" xfId="0" applyNumberFormat="1" applyFont="1" applyBorder="1" applyAlignment="1">
      <alignment vertical="center"/>
    </xf>
    <xf numFmtId="4" fontId="4" fillId="0" borderId="51" xfId="0" applyNumberFormat="1" applyFont="1" applyBorder="1" applyAlignment="1">
      <alignment vertical="center"/>
    </xf>
    <xf numFmtId="49" fontId="4" fillId="0" borderId="6" xfId="0" applyNumberFormat="1" applyFont="1" applyBorder="1" applyAlignment="1">
      <alignment vertical="center" wrapText="1"/>
    </xf>
    <xf numFmtId="4" fontId="4" fillId="0" borderId="52" xfId="0" applyNumberFormat="1" applyFont="1" applyBorder="1" applyAlignment="1">
      <alignment vertical="center"/>
    </xf>
    <xf numFmtId="4" fontId="0" fillId="0" borderId="9" xfId="0" applyNumberFormat="1" applyBorder="1" applyAlignment="1">
      <alignment horizontal="right" vertical="center"/>
    </xf>
    <xf numFmtId="4" fontId="4" fillId="0" borderId="53" xfId="0" applyNumberFormat="1" applyFont="1" applyBorder="1" applyAlignment="1">
      <alignment vertical="center"/>
    </xf>
    <xf numFmtId="4" fontId="4" fillId="0" borderId="34" xfId="0" applyNumberFormat="1" applyFont="1" applyBorder="1" applyAlignment="1">
      <alignment vertical="center"/>
    </xf>
    <xf numFmtId="4" fontId="4" fillId="0" borderId="54" xfId="0" applyNumberFormat="1" applyFont="1" applyBorder="1" applyAlignment="1">
      <alignment vertical="center"/>
    </xf>
    <xf numFmtId="4" fontId="0" fillId="0" borderId="30" xfId="0" applyNumberFormat="1" applyBorder="1" applyAlignment="1">
      <alignment horizontal="right" vertical="center"/>
    </xf>
    <xf numFmtId="4" fontId="33" fillId="0" borderId="55" xfId="0" applyNumberFormat="1" applyFont="1" applyBorder="1" applyAlignment="1">
      <alignment vertical="center"/>
    </xf>
    <xf numFmtId="4" fontId="33" fillId="0" borderId="34" xfId="0" applyNumberFormat="1" applyFont="1" applyBorder="1" applyAlignment="1">
      <alignment vertical="center"/>
    </xf>
    <xf numFmtId="4" fontId="4" fillId="0" borderId="56" xfId="0" applyNumberFormat="1" applyFont="1" applyBorder="1" applyAlignment="1">
      <alignment vertical="center"/>
    </xf>
    <xf numFmtId="4" fontId="0" fillId="0" borderId="57" xfId="0" applyNumberFormat="1" applyBorder="1" applyAlignment="1">
      <alignment vertical="center"/>
    </xf>
    <xf numFmtId="0" fontId="4" fillId="0" borderId="4" xfId="0" applyFont="1" applyBorder="1" applyAlignment="1">
      <alignment vertical="center" wrapText="1"/>
    </xf>
    <xf numFmtId="4" fontId="4" fillId="0" borderId="58" xfId="0" applyNumberFormat="1" applyFont="1" applyBorder="1" applyAlignment="1">
      <alignment vertical="center"/>
    </xf>
    <xf numFmtId="4" fontId="33" fillId="0" borderId="50" xfId="0" applyNumberFormat="1" applyFont="1" applyBorder="1" applyAlignment="1">
      <alignment vertical="center"/>
    </xf>
    <xf numFmtId="4" fontId="33" fillId="0" borderId="33" xfId="0" applyNumberFormat="1" applyFont="1" applyBorder="1" applyAlignment="1">
      <alignment vertical="center"/>
    </xf>
    <xf numFmtId="0" fontId="4" fillId="0" borderId="6" xfId="0" applyFont="1" applyBorder="1" applyAlignment="1">
      <alignment horizontal="right" vertical="center"/>
    </xf>
    <xf numFmtId="0" fontId="4" fillId="0" borderId="4" xfId="0" applyFont="1" applyBorder="1" applyAlignment="1">
      <alignment vertical="center"/>
    </xf>
    <xf numFmtId="0" fontId="34" fillId="0" borderId="6" xfId="0" applyFont="1" applyBorder="1" applyAlignment="1">
      <alignment vertical="center"/>
    </xf>
    <xf numFmtId="49" fontId="4" fillId="0" borderId="4" xfId="0" applyNumberFormat="1" applyFont="1" applyBorder="1" applyAlignment="1">
      <alignment vertical="center"/>
    </xf>
    <xf numFmtId="0" fontId="35" fillId="0" borderId="6" xfId="0" applyFont="1" applyBorder="1" applyAlignment="1">
      <alignment horizontal="right" vertical="center"/>
    </xf>
    <xf numFmtId="4" fontId="0" fillId="0" borderId="33" xfId="0" applyNumberFormat="1" applyBorder="1"/>
    <xf numFmtId="4" fontId="0" fillId="0" borderId="4" xfId="0" applyNumberFormat="1" applyBorder="1"/>
    <xf numFmtId="4" fontId="19" fillId="0" borderId="50" xfId="0" applyNumberFormat="1" applyFont="1" applyBorder="1" applyAlignment="1">
      <alignment vertical="center"/>
    </xf>
    <xf numFmtId="4" fontId="19" fillId="0" borderId="51" xfId="0" applyNumberFormat="1" applyFont="1" applyBorder="1" applyAlignment="1">
      <alignment vertical="center"/>
    </xf>
    <xf numFmtId="4" fontId="19" fillId="0" borderId="58" xfId="0" applyNumberFormat="1" applyFont="1" applyBorder="1" applyAlignment="1">
      <alignment vertical="center"/>
    </xf>
    <xf numFmtId="0" fontId="36" fillId="0" borderId="6" xfId="0" applyFont="1" applyBorder="1" applyAlignment="1">
      <alignment horizontal="right" vertical="center"/>
    </xf>
    <xf numFmtId="4" fontId="35" fillId="0" borderId="50" xfId="0" applyNumberFormat="1" applyFont="1" applyBorder="1" applyAlignment="1">
      <alignment vertical="center"/>
    </xf>
    <xf numFmtId="4" fontId="35" fillId="0" borderId="58" xfId="0" applyNumberFormat="1" applyFont="1" applyBorder="1" applyAlignment="1">
      <alignment vertical="center"/>
    </xf>
    <xf numFmtId="4" fontId="4" fillId="0" borderId="33" xfId="0" applyNumberFormat="1" applyFont="1" applyBorder="1"/>
    <xf numFmtId="4" fontId="4" fillId="0" borderId="6" xfId="0" applyNumberFormat="1" applyFont="1" applyBorder="1"/>
    <xf numFmtId="4" fontId="35" fillId="0" borderId="51" xfId="0" applyNumberFormat="1" applyFont="1" applyBorder="1" applyAlignment="1">
      <alignment vertical="center"/>
    </xf>
    <xf numFmtId="4" fontId="4" fillId="0" borderId="4" xfId="0" applyNumberFormat="1" applyFont="1" applyBorder="1"/>
    <xf numFmtId="0" fontId="37" fillId="0" borderId="0" xfId="0" applyFont="1"/>
    <xf numFmtId="0" fontId="38" fillId="0" borderId="6" xfId="0" applyFont="1" applyBorder="1" applyAlignment="1">
      <alignment horizontal="right" vertical="center"/>
    </xf>
    <xf numFmtId="4" fontId="38" fillId="0" borderId="4" xfId="0" applyNumberFormat="1" applyFont="1" applyBorder="1" applyAlignment="1">
      <alignment vertical="center"/>
    </xf>
    <xf numFmtId="4" fontId="38" fillId="0" borderId="50" xfId="0" applyNumberFormat="1" applyFont="1" applyBorder="1" applyAlignment="1">
      <alignment vertical="center"/>
    </xf>
    <xf numFmtId="4" fontId="38" fillId="0" borderId="51" xfId="0" applyNumberFormat="1" applyFont="1" applyBorder="1" applyAlignment="1">
      <alignment vertical="center"/>
    </xf>
    <xf numFmtId="4" fontId="39" fillId="0" borderId="33" xfId="0" applyNumberFormat="1" applyFont="1" applyBorder="1" applyAlignment="1">
      <alignment horizontal="right" vertical="center"/>
    </xf>
    <xf numFmtId="4" fontId="28" fillId="0" borderId="4" xfId="0" applyNumberFormat="1" applyFont="1" applyBorder="1" applyAlignment="1">
      <alignment horizontal="right" vertical="center"/>
    </xf>
    <xf numFmtId="4" fontId="0" fillId="0" borderId="50" xfId="0" applyNumberFormat="1" applyBorder="1" applyAlignment="1">
      <alignment vertical="center"/>
    </xf>
    <xf numFmtId="4" fontId="38" fillId="0" borderId="33" xfId="0" applyNumberFormat="1" applyFont="1" applyBorder="1" applyAlignment="1">
      <alignment vertical="center"/>
    </xf>
    <xf numFmtId="4" fontId="38" fillId="0" borderId="6" xfId="0" applyNumberFormat="1" applyFont="1" applyBorder="1" applyAlignment="1">
      <alignment vertical="center"/>
    </xf>
    <xf numFmtId="4" fontId="4" fillId="0" borderId="33" xfId="0" applyNumberFormat="1" applyFont="1" applyBorder="1" applyAlignment="1">
      <alignment vertical="center"/>
    </xf>
    <xf numFmtId="49" fontId="4" fillId="0" borderId="4" xfId="0" applyNumberFormat="1" applyFont="1" applyBorder="1" applyAlignment="1">
      <alignment vertical="center" wrapText="1"/>
    </xf>
    <xf numFmtId="4" fontId="38" fillId="0" borderId="58" xfId="0" applyNumberFormat="1" applyFont="1" applyBorder="1" applyAlignment="1">
      <alignment vertical="center"/>
    </xf>
    <xf numFmtId="4" fontId="39" fillId="0" borderId="33" xfId="0" applyNumberFormat="1" applyFont="1" applyBorder="1" applyAlignment="1">
      <alignment vertical="center"/>
    </xf>
    <xf numFmtId="4" fontId="39" fillId="0" borderId="6" xfId="0" applyNumberFormat="1" applyFont="1" applyBorder="1" applyAlignment="1">
      <alignment vertical="center"/>
    </xf>
    <xf numFmtId="4" fontId="28" fillId="0" borderId="33" xfId="0" applyNumberFormat="1" applyFont="1" applyBorder="1" applyAlignment="1">
      <alignment horizontal="right" vertical="center"/>
    </xf>
    <xf numFmtId="4" fontId="28" fillId="0" borderId="6" xfId="0" applyNumberFormat="1" applyFont="1" applyBorder="1" applyAlignment="1">
      <alignment horizontal="right" vertical="center"/>
    </xf>
    <xf numFmtId="0" fontId="4" fillId="0" borderId="32" xfId="0" applyFont="1" applyBorder="1" applyAlignment="1">
      <alignment vertical="center"/>
    </xf>
    <xf numFmtId="4" fontId="19" fillId="0" borderId="59" xfId="0" applyNumberFormat="1" applyFont="1" applyBorder="1" applyAlignment="1">
      <alignment vertical="center"/>
    </xf>
    <xf numFmtId="4" fontId="0" fillId="0" borderId="53" xfId="0" applyNumberFormat="1" applyBorder="1" applyAlignment="1">
      <alignment vertical="center"/>
    </xf>
    <xf numFmtId="0" fontId="4" fillId="0" borderId="55" xfId="0" applyFont="1" applyBorder="1" applyAlignment="1">
      <alignment vertical="center"/>
    </xf>
    <xf numFmtId="4" fontId="4" fillId="0" borderId="55" xfId="0" applyNumberFormat="1" applyFont="1" applyBorder="1" applyAlignment="1">
      <alignment vertical="center"/>
    </xf>
    <xf numFmtId="4" fontId="28" fillId="0" borderId="33" xfId="0" applyNumberFormat="1" applyFont="1" applyBorder="1" applyAlignment="1">
      <alignment vertical="center"/>
    </xf>
    <xf numFmtId="49" fontId="4" fillId="0" borderId="6" xfId="0" applyNumberFormat="1" applyFont="1" applyBorder="1" applyAlignment="1">
      <alignment vertical="center"/>
    </xf>
    <xf numFmtId="4" fontId="37" fillId="0" borderId="33" xfId="0" applyNumberFormat="1" applyFont="1" applyBorder="1" applyAlignment="1">
      <alignment vertical="center"/>
    </xf>
    <xf numFmtId="4" fontId="37" fillId="0" borderId="4" xfId="0" applyNumberFormat="1" applyFont="1" applyBorder="1" applyAlignment="1">
      <alignment vertical="center"/>
    </xf>
    <xf numFmtId="0" fontId="4" fillId="0" borderId="6" xfId="4" applyFont="1" applyBorder="1" applyAlignment="1">
      <alignment vertical="center"/>
    </xf>
    <xf numFmtId="0" fontId="4" fillId="0" borderId="6" xfId="4" applyFont="1" applyBorder="1" applyAlignment="1">
      <alignment vertical="center" wrapText="1"/>
    </xf>
    <xf numFmtId="0" fontId="4" fillId="0" borderId="4" xfId="4" applyFont="1" applyBorder="1" applyAlignment="1">
      <alignment vertical="center" wrapText="1"/>
    </xf>
    <xf numFmtId="49" fontId="4" fillId="0" borderId="6" xfId="4" applyNumberFormat="1" applyFont="1" applyBorder="1" applyAlignment="1">
      <alignment vertical="center" wrapText="1"/>
    </xf>
    <xf numFmtId="0" fontId="4" fillId="0" borderId="4" xfId="0" applyFont="1" applyBorder="1" applyAlignment="1">
      <alignment horizontal="right" vertical="center"/>
    </xf>
    <xf numFmtId="0" fontId="33" fillId="0" borderId="4" xfId="0" applyFont="1" applyBorder="1" applyAlignment="1">
      <alignment horizontal="right" vertical="center"/>
    </xf>
    <xf numFmtId="0" fontId="34" fillId="0" borderId="6" xfId="0" applyFont="1" applyBorder="1" applyAlignment="1">
      <alignment horizontal="right" vertical="center"/>
    </xf>
    <xf numFmtId="4" fontId="34" fillId="0" borderId="33" xfId="0" applyNumberFormat="1" applyFont="1" applyBorder="1" applyAlignment="1">
      <alignment vertical="center"/>
    </xf>
    <xf numFmtId="4" fontId="4" fillId="0" borderId="33" xfId="0" applyNumberFormat="1" applyFont="1" applyBorder="1" applyAlignment="1">
      <alignment horizontal="right" vertical="center"/>
    </xf>
    <xf numFmtId="4" fontId="4" fillId="0" borderId="6" xfId="0" applyNumberFormat="1" applyFont="1" applyBorder="1" applyAlignment="1">
      <alignment horizontal="right" vertical="center"/>
    </xf>
    <xf numFmtId="2" fontId="4" fillId="0" borderId="6" xfId="0" applyNumberFormat="1" applyFont="1" applyBorder="1" applyAlignment="1">
      <alignment vertical="center" wrapText="1"/>
    </xf>
    <xf numFmtId="0" fontId="4" fillId="0" borderId="6" xfId="5" applyFont="1" applyBorder="1" applyAlignment="1">
      <alignment vertical="center" wrapText="1"/>
    </xf>
    <xf numFmtId="0" fontId="38" fillId="0" borderId="6" xfId="0" applyFont="1" applyBorder="1" applyAlignment="1">
      <alignment vertical="center"/>
    </xf>
    <xf numFmtId="2" fontId="4" fillId="0" borderId="32" xfId="0" applyNumberFormat="1" applyFont="1" applyBorder="1" applyAlignment="1">
      <alignment vertical="center" wrapText="1"/>
    </xf>
    <xf numFmtId="4" fontId="4" fillId="0" borderId="59" xfId="0" applyNumberFormat="1" applyFont="1" applyBorder="1" applyAlignment="1">
      <alignment vertical="center"/>
    </xf>
    <xf numFmtId="4" fontId="4" fillId="0" borderId="60" xfId="0" applyNumberFormat="1" applyFont="1" applyBorder="1" applyAlignment="1">
      <alignment vertical="center"/>
    </xf>
    <xf numFmtId="4" fontId="37" fillId="0" borderId="6" xfId="0" applyNumberFormat="1" applyFont="1" applyBorder="1" applyAlignment="1">
      <alignment vertical="center"/>
    </xf>
    <xf numFmtId="4" fontId="37" fillId="0" borderId="50" xfId="0" applyNumberFormat="1" applyFont="1" applyBorder="1" applyAlignment="1">
      <alignment vertical="center"/>
    </xf>
    <xf numFmtId="49" fontId="4" fillId="0" borderId="4" xfId="4" applyNumberFormat="1" applyFont="1" applyBorder="1" applyAlignment="1">
      <alignment vertical="center" wrapText="1"/>
    </xf>
    <xf numFmtId="4" fontId="0" fillId="0" borderId="33" xfId="0" applyNumberFormat="1" applyBorder="1" applyAlignment="1">
      <alignment horizontal="right" vertical="center"/>
    </xf>
    <xf numFmtId="0" fontId="34" fillId="0" borderId="6" xfId="4" applyFont="1" applyBorder="1" applyAlignment="1">
      <alignment vertical="center"/>
    </xf>
    <xf numFmtId="4" fontId="4" fillId="0" borderId="61" xfId="0" applyNumberFormat="1" applyFont="1" applyBorder="1" applyAlignment="1">
      <alignment vertical="center"/>
    </xf>
    <xf numFmtId="4" fontId="4" fillId="0" borderId="37" xfId="0" applyNumberFormat="1" applyFont="1" applyBorder="1" applyAlignment="1">
      <alignment vertical="center"/>
    </xf>
    <xf numFmtId="0" fontId="33" fillId="0" borderId="4" xfId="0" applyFont="1" applyBorder="1" applyAlignment="1">
      <alignment vertical="center"/>
    </xf>
    <xf numFmtId="0" fontId="0" fillId="0" borderId="34" xfId="0" applyBorder="1"/>
    <xf numFmtId="49" fontId="4" fillId="0" borderId="6" xfId="5" applyNumberFormat="1" applyFont="1" applyBorder="1" applyAlignment="1">
      <alignment vertical="center" wrapText="1"/>
    </xf>
    <xf numFmtId="49" fontId="4" fillId="0" borderId="4" xfId="5" applyNumberFormat="1" applyFont="1" applyBorder="1" applyAlignment="1">
      <alignment vertical="center" wrapText="1"/>
    </xf>
    <xf numFmtId="0" fontId="4" fillId="0" borderId="4" xfId="5" applyFont="1" applyBorder="1" applyAlignment="1">
      <alignment vertical="center" wrapText="1"/>
    </xf>
    <xf numFmtId="0" fontId="4" fillId="0" borderId="7" xfId="0" applyFont="1" applyBorder="1" applyAlignment="1">
      <alignment horizontal="right" vertical="center"/>
    </xf>
    <xf numFmtId="49" fontId="4" fillId="0" borderId="4" xfId="4" applyNumberFormat="1" applyFont="1" applyBorder="1" applyAlignment="1">
      <alignment vertical="center"/>
    </xf>
    <xf numFmtId="0" fontId="4" fillId="0" borderId="11" xfId="0" applyFont="1" applyBorder="1" applyAlignment="1">
      <alignment horizontal="right" vertical="center"/>
    </xf>
    <xf numFmtId="0" fontId="4" fillId="0" borderId="0" xfId="0" applyFont="1" applyAlignment="1">
      <alignment vertical="center"/>
    </xf>
    <xf numFmtId="0" fontId="15" fillId="0" borderId="3" xfId="0" applyFont="1" applyBorder="1"/>
    <xf numFmtId="4" fontId="15" fillId="0" borderId="62" xfId="0" applyNumberFormat="1" applyFont="1" applyBorder="1" applyAlignment="1">
      <alignment vertical="center"/>
    </xf>
    <xf numFmtId="0" fontId="1" fillId="0" borderId="20" xfId="0" applyFont="1" applyBorder="1" applyAlignment="1">
      <alignment vertical="center"/>
    </xf>
    <xf numFmtId="0" fontId="1" fillId="0" borderId="17" xfId="0" applyFont="1" applyBorder="1" applyAlignment="1">
      <alignment vertical="center"/>
    </xf>
    <xf numFmtId="0" fontId="33" fillId="0" borderId="0" xfId="0" applyFont="1" applyAlignment="1">
      <alignment vertical="center"/>
    </xf>
    <xf numFmtId="4" fontId="15" fillId="0" borderId="2" xfId="0" applyNumberFormat="1" applyFont="1" applyBorder="1"/>
    <xf numFmtId="4" fontId="26" fillId="0" borderId="2" xfId="0" applyNumberFormat="1" applyFont="1" applyBorder="1"/>
    <xf numFmtId="0" fontId="6" fillId="0" borderId="0" xfId="0" applyFont="1" applyAlignment="1">
      <alignment vertical="center"/>
    </xf>
    <xf numFmtId="0" fontId="20" fillId="0" borderId="14" xfId="0" applyFont="1" applyBorder="1" applyAlignment="1">
      <alignment horizontal="right" vertical="center"/>
    </xf>
    <xf numFmtId="4" fontId="5" fillId="0" borderId="4" xfId="0" applyNumberFormat="1" applyFont="1" applyBorder="1" applyAlignment="1">
      <alignment vertical="center" wrapText="1"/>
    </xf>
    <xf numFmtId="0" fontId="20" fillId="0" borderId="14" xfId="0" applyFont="1" applyBorder="1" applyAlignment="1">
      <alignment horizontal="right" vertical="center" wrapText="1"/>
    </xf>
    <xf numFmtId="0" fontId="15" fillId="0" borderId="0" xfId="0" applyFont="1" applyAlignment="1">
      <alignment wrapText="1"/>
    </xf>
    <xf numFmtId="0" fontId="15" fillId="0" borderId="0" xfId="0" applyFont="1"/>
    <xf numFmtId="0" fontId="5" fillId="0" borderId="4" xfId="0" applyFont="1" applyBorder="1" applyAlignment="1">
      <alignment vertical="top" wrapText="1"/>
    </xf>
    <xf numFmtId="0" fontId="1" fillId="0" borderId="16" xfId="0" applyFont="1" applyBorder="1" applyAlignment="1">
      <alignment vertical="center"/>
    </xf>
    <xf numFmtId="0" fontId="1" fillId="0" borderId="8" xfId="0" applyFont="1" applyBorder="1" applyAlignment="1">
      <alignment vertical="center" wrapText="1"/>
    </xf>
    <xf numFmtId="0" fontId="14" fillId="0" borderId="17" xfId="0" applyFont="1" applyBorder="1"/>
    <xf numFmtId="0" fontId="14" fillId="0" borderId="2" xfId="0" applyFont="1" applyBorder="1"/>
    <xf numFmtId="0" fontId="4" fillId="0" borderId="0" xfId="0" applyFont="1" applyAlignment="1">
      <alignment horizontal="left"/>
    </xf>
    <xf numFmtId="0" fontId="8" fillId="0" borderId="67" xfId="0" applyFont="1" applyBorder="1" applyAlignment="1">
      <alignment horizontal="center" vertical="center" wrapText="1"/>
    </xf>
    <xf numFmtId="0" fontId="7" fillId="0" borderId="63" xfId="0" applyFont="1" applyBorder="1" applyAlignment="1">
      <alignment horizontal="center" vertical="center" wrapText="1"/>
    </xf>
    <xf numFmtId="4" fontId="6" fillId="0" borderId="17" xfId="0" applyNumberFormat="1" applyFont="1" applyBorder="1" applyAlignment="1">
      <alignment horizontal="center" vertical="center" wrapText="1"/>
    </xf>
    <xf numFmtId="4" fontId="6" fillId="0" borderId="68" xfId="0" applyNumberFormat="1" applyFont="1" applyBorder="1" applyAlignment="1">
      <alignment horizontal="center" vertical="center" wrapText="1"/>
    </xf>
    <xf numFmtId="4" fontId="10" fillId="0" borderId="68" xfId="0" applyNumberFormat="1" applyFont="1" applyBorder="1" applyAlignment="1">
      <alignment horizontal="center" vertical="center" wrapText="1"/>
    </xf>
    <xf numFmtId="4" fontId="10" fillId="0" borderId="69" xfId="0" applyNumberFormat="1" applyFont="1" applyBorder="1" applyAlignment="1">
      <alignment horizontal="center" vertical="center" wrapText="1"/>
    </xf>
    <xf numFmtId="0" fontId="1" fillId="0" borderId="70" xfId="0" applyFont="1" applyBorder="1"/>
    <xf numFmtId="0" fontId="15" fillId="0" borderId="70" xfId="0" applyFont="1" applyBorder="1"/>
    <xf numFmtId="4" fontId="6" fillId="0" borderId="71" xfId="0" applyNumberFormat="1" applyFont="1" applyBorder="1" applyAlignment="1">
      <alignment horizontal="center" vertical="center" wrapText="1"/>
    </xf>
    <xf numFmtId="0" fontId="7" fillId="0" borderId="72" xfId="0" applyFont="1" applyBorder="1" applyAlignment="1">
      <alignment horizontal="center"/>
    </xf>
    <xf numFmtId="0" fontId="9" fillId="0" borderId="72" xfId="0" applyFont="1" applyBorder="1" applyAlignment="1">
      <alignment horizontal="center"/>
    </xf>
    <xf numFmtId="4" fontId="5" fillId="0" borderId="72" xfId="0" applyNumberFormat="1" applyFont="1" applyBorder="1" applyAlignment="1">
      <alignment vertical="center" shrinkToFit="1"/>
    </xf>
    <xf numFmtId="4" fontId="0" fillId="0" borderId="72" xfId="0" applyNumberFormat="1" applyBorder="1" applyAlignment="1">
      <alignment vertical="center" shrinkToFit="1"/>
    </xf>
    <xf numFmtId="4" fontId="6" fillId="0" borderId="72" xfId="0" applyNumberFormat="1" applyFont="1" applyBorder="1" applyAlignment="1">
      <alignment horizontal="center" vertical="center" wrapText="1"/>
    </xf>
    <xf numFmtId="0" fontId="7" fillId="0" borderId="73" xfId="0" applyFont="1" applyBorder="1"/>
    <xf numFmtId="0" fontId="7" fillId="0" borderId="73" xfId="0" applyFont="1" applyBorder="1" applyAlignment="1">
      <alignment vertical="center" wrapText="1"/>
    </xf>
    <xf numFmtId="4" fontId="7" fillId="0" borderId="74" xfId="0" applyNumberFormat="1" applyFont="1" applyBorder="1" applyAlignment="1">
      <alignment shrinkToFit="1"/>
    </xf>
    <xf numFmtId="0" fontId="5" fillId="0" borderId="73" xfId="0" applyFont="1" applyBorder="1"/>
    <xf numFmtId="4" fontId="7" fillId="0" borderId="74" xfId="0" applyNumberFormat="1" applyFont="1" applyBorder="1"/>
    <xf numFmtId="0" fontId="5" fillId="3" borderId="73" xfId="0" applyFont="1" applyFill="1" applyBorder="1"/>
    <xf numFmtId="4" fontId="7" fillId="0" borderId="73" xfId="0" applyNumberFormat="1" applyFont="1" applyBorder="1"/>
    <xf numFmtId="0" fontId="15" fillId="3" borderId="73" xfId="0" applyFont="1" applyFill="1" applyBorder="1"/>
    <xf numFmtId="0" fontId="15" fillId="0" borderId="73" xfId="0" applyFont="1" applyBorder="1"/>
    <xf numFmtId="4" fontId="15" fillId="0" borderId="74" xfId="0" applyNumberFormat="1" applyFont="1" applyBorder="1" applyAlignment="1">
      <alignment vertical="center" shrinkToFit="1"/>
    </xf>
    <xf numFmtId="0" fontId="5" fillId="3" borderId="75" xfId="0" applyFont="1" applyFill="1" applyBorder="1"/>
    <xf numFmtId="0" fontId="7" fillId="0" borderId="75" xfId="0" applyFont="1" applyBorder="1"/>
    <xf numFmtId="4" fontId="7" fillId="0" borderId="76" xfId="0" applyNumberFormat="1" applyFont="1" applyBorder="1" applyAlignment="1">
      <alignment shrinkToFit="1"/>
    </xf>
    <xf numFmtId="0" fontId="21" fillId="3" borderId="77" xfId="0" applyFont="1" applyFill="1" applyBorder="1"/>
    <xf numFmtId="0" fontId="14" fillId="0" borderId="77" xfId="0" applyFont="1" applyBorder="1"/>
    <xf numFmtId="4" fontId="14" fillId="0" borderId="78" xfId="0" applyNumberFormat="1" applyFont="1" applyBorder="1" applyAlignment="1">
      <alignment shrinkToFit="1"/>
    </xf>
    <xf numFmtId="0" fontId="1" fillId="3" borderId="70" xfId="0" applyFont="1" applyFill="1" applyBorder="1"/>
    <xf numFmtId="0" fontId="5" fillId="0" borderId="79" xfId="0" applyFont="1" applyBorder="1"/>
    <xf numFmtId="4" fontId="41" fillId="0" borderId="5" xfId="0" applyNumberFormat="1" applyFont="1" applyBorder="1"/>
    <xf numFmtId="4" fontId="41" fillId="0" borderId="5" xfId="0" applyNumberFormat="1" applyFont="1" applyBorder="1" applyAlignment="1">
      <alignment vertical="center"/>
    </xf>
    <xf numFmtId="0" fontId="11" fillId="0" borderId="0" xfId="0" applyFont="1"/>
    <xf numFmtId="0" fontId="12" fillId="3" borderId="73" xfId="0" applyFont="1" applyFill="1" applyBorder="1"/>
    <xf numFmtId="0" fontId="12" fillId="0" borderId="73" xfId="0" applyFont="1" applyBorder="1"/>
    <xf numFmtId="4" fontId="42" fillId="6" borderId="80" xfId="0" applyNumberFormat="1" applyFont="1" applyFill="1" applyBorder="1" applyAlignment="1">
      <alignment vertical="center"/>
    </xf>
    <xf numFmtId="4" fontId="42" fillId="0" borderId="81" xfId="0" applyNumberFormat="1" applyFont="1" applyBorder="1" applyAlignment="1">
      <alignment vertical="center"/>
    </xf>
    <xf numFmtId="4" fontId="37" fillId="0" borderId="0" xfId="0" applyNumberFormat="1" applyFont="1"/>
    <xf numFmtId="4" fontId="42" fillId="6" borderId="82" xfId="0" applyNumberFormat="1" applyFont="1" applyFill="1" applyBorder="1" applyAlignment="1">
      <alignment vertical="center"/>
    </xf>
    <xf numFmtId="4" fontId="42" fillId="0" borderId="83" xfId="0" applyNumberFormat="1" applyFont="1" applyBorder="1" applyAlignment="1">
      <alignment vertical="center"/>
    </xf>
    <xf numFmtId="0" fontId="9" fillId="3" borderId="73" xfId="0" applyFont="1" applyFill="1" applyBorder="1"/>
    <xf numFmtId="0" fontId="7" fillId="3" borderId="73" xfId="0" applyFont="1" applyFill="1" applyBorder="1" applyAlignment="1">
      <alignment vertical="center"/>
    </xf>
    <xf numFmtId="0" fontId="7" fillId="0" borderId="73" xfId="0" applyFont="1" applyBorder="1" applyAlignment="1">
      <alignment vertical="center"/>
    </xf>
    <xf numFmtId="4" fontId="7" fillId="0" borderId="74" xfId="0" applyNumberFormat="1" applyFont="1" applyBorder="1" applyAlignment="1">
      <alignment vertical="center"/>
    </xf>
    <xf numFmtId="0" fontId="7" fillId="0" borderId="0" xfId="0" applyFont="1"/>
    <xf numFmtId="0" fontId="7" fillId="3" borderId="73" xfId="0" applyFont="1" applyFill="1" applyBorder="1"/>
    <xf numFmtId="0" fontId="43" fillId="0" borderId="0" xfId="0" applyFont="1" applyAlignment="1">
      <alignment horizontal="right"/>
    </xf>
    <xf numFmtId="0" fontId="7" fillId="0" borderId="73" xfId="0" applyFont="1" applyBorder="1" applyAlignment="1">
      <alignment wrapText="1"/>
    </xf>
    <xf numFmtId="0" fontId="44" fillId="0" borderId="0" xfId="0" applyFont="1" applyAlignment="1">
      <alignment horizontal="right"/>
    </xf>
    <xf numFmtId="0" fontId="7" fillId="0" borderId="73" xfId="0" applyFont="1" applyBorder="1" applyAlignment="1">
      <alignment horizontal="center" vertical="center"/>
    </xf>
    <xf numFmtId="0" fontId="41" fillId="0" borderId="0" xfId="0" applyFont="1" applyAlignment="1">
      <alignment vertical="center"/>
    </xf>
    <xf numFmtId="4" fontId="7" fillId="0" borderId="76" xfId="0" applyNumberFormat="1" applyFont="1" applyBorder="1"/>
    <xf numFmtId="0" fontId="14" fillId="0" borderId="84" xfId="0" applyFont="1" applyBorder="1"/>
    <xf numFmtId="4" fontId="15" fillId="0" borderId="85" xfId="0" applyNumberFormat="1" applyFont="1" applyBorder="1"/>
    <xf numFmtId="4" fontId="15" fillId="0" borderId="86" xfId="0" applyNumberFormat="1" applyFont="1" applyBorder="1"/>
    <xf numFmtId="4" fontId="18" fillId="0" borderId="86" xfId="0" applyNumberFormat="1" applyFont="1" applyBorder="1"/>
    <xf numFmtId="0" fontId="1" fillId="0" borderId="77" xfId="0" applyFont="1" applyBorder="1"/>
    <xf numFmtId="0" fontId="15" fillId="0" borderId="87" xfId="0" applyFont="1" applyBorder="1"/>
    <xf numFmtId="4" fontId="6" fillId="0" borderId="88" xfId="0" applyNumberFormat="1" applyFont="1" applyBorder="1" applyAlignment="1">
      <alignment horizontal="center" vertical="center" wrapText="1"/>
    </xf>
    <xf numFmtId="4" fontId="6" fillId="0" borderId="69" xfId="0" applyNumberFormat="1" applyFont="1" applyBorder="1" applyAlignment="1">
      <alignment horizontal="center" vertical="center" wrapText="1"/>
    </xf>
    <xf numFmtId="4" fontId="6" fillId="0" borderId="89" xfId="0" applyNumberFormat="1" applyFont="1" applyBorder="1" applyAlignment="1">
      <alignment horizontal="center" vertical="center" wrapText="1"/>
    </xf>
    <xf numFmtId="0" fontId="7" fillId="0" borderId="77" xfId="0" applyFont="1" applyBorder="1"/>
    <xf numFmtId="0" fontId="6" fillId="0" borderId="87" xfId="0" applyFont="1" applyBorder="1" applyAlignment="1">
      <alignment vertical="center" wrapText="1"/>
    </xf>
    <xf numFmtId="4" fontId="7" fillId="0" borderId="68" xfId="0" applyNumberFormat="1" applyFont="1" applyBorder="1" applyAlignment="1">
      <alignment shrinkToFit="1"/>
    </xf>
    <xf numFmtId="4" fontId="7" fillId="0" borderId="77" xfId="0" applyNumberFormat="1" applyFont="1" applyBorder="1" applyAlignment="1">
      <alignment shrinkToFit="1"/>
    </xf>
    <xf numFmtId="4" fontId="9" fillId="0" borderId="77" xfId="0" applyNumberFormat="1" applyFont="1" applyBorder="1" applyAlignment="1">
      <alignment shrinkToFit="1"/>
    </xf>
    <xf numFmtId="4" fontId="7" fillId="0" borderId="90" xfId="0" applyNumberFormat="1" applyFont="1" applyBorder="1" applyAlignment="1">
      <alignment shrinkToFit="1"/>
    </xf>
    <xf numFmtId="0" fontId="5" fillId="0" borderId="91" xfId="0" applyFont="1" applyBorder="1" applyAlignment="1">
      <alignment horizontal="right" vertical="center"/>
    </xf>
    <xf numFmtId="0" fontId="5" fillId="0" borderId="92" xfId="0" applyFont="1" applyBorder="1" applyAlignment="1">
      <alignment vertical="center"/>
    </xf>
    <xf numFmtId="4" fontId="5" fillId="0" borderId="70" xfId="0" applyNumberFormat="1" applyFont="1" applyBorder="1" applyAlignment="1">
      <alignment vertical="center" shrinkToFit="1"/>
    </xf>
    <xf numFmtId="4" fontId="5" fillId="0" borderId="93" xfId="0" applyNumberFormat="1" applyFont="1" applyBorder="1" applyAlignment="1">
      <alignment vertical="center" shrinkToFit="1"/>
    </xf>
    <xf numFmtId="4" fontId="5" fillId="0" borderId="94" xfId="0" applyNumberFormat="1" applyFont="1" applyBorder="1"/>
    <xf numFmtId="0" fontId="5" fillId="0" borderId="95" xfId="0" applyFont="1" applyBorder="1" applyAlignment="1">
      <alignment horizontal="right" vertical="center"/>
    </xf>
    <xf numFmtId="0" fontId="5" fillId="0" borderId="96" xfId="0" applyFont="1" applyBorder="1" applyAlignment="1">
      <alignment vertical="center"/>
    </xf>
    <xf numFmtId="4" fontId="5" fillId="0" borderId="91" xfId="0" applyNumberFormat="1" applyFont="1" applyBorder="1" applyAlignment="1">
      <alignment vertical="center" shrinkToFit="1"/>
    </xf>
    <xf numFmtId="4" fontId="5" fillId="0" borderId="73" xfId="0" applyNumberFormat="1" applyFont="1" applyBorder="1" applyAlignment="1">
      <alignment vertical="center" shrinkToFit="1"/>
    </xf>
    <xf numFmtId="4" fontId="0" fillId="0" borderId="73" xfId="0" applyNumberFormat="1" applyBorder="1" applyAlignment="1">
      <alignment vertical="center" shrinkToFit="1"/>
    </xf>
    <xf numFmtId="4" fontId="5" fillId="0" borderId="80" xfId="0" applyNumberFormat="1" applyFont="1" applyBorder="1" applyAlignment="1">
      <alignment vertical="center" shrinkToFit="1"/>
    </xf>
    <xf numFmtId="4" fontId="5" fillId="0" borderId="97" xfId="0" applyNumberFormat="1" applyFont="1" applyBorder="1"/>
    <xf numFmtId="4" fontId="5" fillId="0" borderId="98" xfId="0" applyNumberFormat="1" applyFont="1" applyBorder="1" applyAlignment="1">
      <alignment vertical="center" shrinkToFit="1"/>
    </xf>
    <xf numFmtId="4" fontId="0" fillId="0" borderId="98" xfId="0" applyNumberFormat="1" applyBorder="1" applyAlignment="1">
      <alignment vertical="center" shrinkToFit="1"/>
    </xf>
    <xf numFmtId="0" fontId="5" fillId="0" borderId="96" xfId="0" applyFont="1" applyBorder="1" applyAlignment="1">
      <alignment vertical="center" wrapText="1"/>
    </xf>
    <xf numFmtId="4" fontId="5" fillId="0" borderId="95" xfId="0" applyNumberFormat="1" applyFont="1" applyBorder="1" applyAlignment="1">
      <alignment vertical="center"/>
    </xf>
    <xf numFmtId="4" fontId="0" fillId="0" borderId="95" xfId="0" applyNumberFormat="1" applyBorder="1" applyAlignment="1">
      <alignment vertical="center"/>
    </xf>
    <xf numFmtId="4" fontId="5" fillId="0" borderId="97" xfId="0" applyNumberFormat="1" applyFont="1" applyBorder="1" applyAlignment="1">
      <alignment vertical="center"/>
    </xf>
    <xf numFmtId="4" fontId="5" fillId="0" borderId="91" xfId="0" applyNumberFormat="1" applyFont="1" applyBorder="1" applyAlignment="1">
      <alignment vertical="center"/>
    </xf>
    <xf numFmtId="4" fontId="0" fillId="0" borderId="91" xfId="0" applyNumberFormat="1" applyBorder="1" applyAlignment="1">
      <alignment vertical="center"/>
    </xf>
    <xf numFmtId="4" fontId="1" fillId="0" borderId="0" xfId="0" applyNumberFormat="1" applyFont="1" applyAlignment="1">
      <alignment vertical="center"/>
    </xf>
    <xf numFmtId="4" fontId="5" fillId="0" borderId="95" xfId="0" applyNumberFormat="1" applyFont="1" applyBorder="1" applyAlignment="1">
      <alignment vertical="center" shrinkToFit="1"/>
    </xf>
    <xf numFmtId="4" fontId="0" fillId="0" borderId="95" xfId="0" applyNumberFormat="1" applyBorder="1" applyAlignment="1">
      <alignment vertical="center" shrinkToFit="1"/>
    </xf>
    <xf numFmtId="0" fontId="20" fillId="0" borderId="95" xfId="0" applyFont="1" applyBorder="1" applyAlignment="1">
      <alignment horizontal="right" vertical="center"/>
    </xf>
    <xf numFmtId="0" fontId="1" fillId="0" borderId="96" xfId="0" applyFont="1" applyBorder="1" applyAlignment="1">
      <alignment vertical="center"/>
    </xf>
    <xf numFmtId="4" fontId="0" fillId="0" borderId="80" xfId="0" applyNumberFormat="1" applyBorder="1" applyAlignment="1">
      <alignment vertical="center" shrinkToFit="1"/>
    </xf>
    <xf numFmtId="4" fontId="0" fillId="0" borderId="97" xfId="0" applyNumberFormat="1" applyBorder="1"/>
    <xf numFmtId="0" fontId="1" fillId="0" borderId="95" xfId="0" applyFont="1" applyBorder="1" applyAlignment="1">
      <alignment horizontal="right" vertical="center"/>
    </xf>
    <xf numFmtId="0" fontId="5" fillId="0" borderId="95" xfId="0" applyFont="1" applyBorder="1" applyAlignment="1">
      <alignment horizontal="right" vertical="center" wrapText="1"/>
    </xf>
    <xf numFmtId="4" fontId="5" fillId="6" borderId="91" xfId="0" applyNumberFormat="1" applyFont="1" applyFill="1" applyBorder="1" applyAlignment="1">
      <alignment vertical="center"/>
    </xf>
    <xf numFmtId="4" fontId="0" fillId="0" borderId="97" xfId="0" applyNumberFormat="1" applyBorder="1" applyAlignment="1">
      <alignment vertical="center"/>
    </xf>
    <xf numFmtId="0" fontId="0" fillId="0" borderId="95" xfId="0" applyBorder="1" applyAlignment="1">
      <alignment horizontal="right" vertical="center"/>
    </xf>
    <xf numFmtId="0" fontId="1" fillId="0" borderId="96" xfId="0" applyFont="1" applyBorder="1" applyAlignment="1">
      <alignment vertical="center" wrapText="1"/>
    </xf>
    <xf numFmtId="0" fontId="8" fillId="0" borderId="95" xfId="0" applyFont="1" applyBorder="1" applyAlignment="1">
      <alignment horizontal="right" vertical="center"/>
    </xf>
    <xf numFmtId="0" fontId="5" fillId="0" borderId="99" xfId="0" applyFont="1" applyBorder="1" applyAlignment="1">
      <alignment horizontal="right" vertical="center"/>
    </xf>
    <xf numFmtId="0" fontId="5" fillId="0" borderId="100" xfId="0" applyFont="1" applyBorder="1" applyAlignment="1">
      <alignment vertical="center"/>
    </xf>
    <xf numFmtId="4" fontId="5" fillId="0" borderId="101" xfId="0" applyNumberFormat="1" applyFont="1" applyBorder="1" applyAlignment="1">
      <alignment vertical="center"/>
    </xf>
    <xf numFmtId="4" fontId="0" fillId="0" borderId="101" xfId="0" applyNumberFormat="1" applyBorder="1" applyAlignment="1">
      <alignment vertical="center"/>
    </xf>
    <xf numFmtId="4" fontId="5" fillId="0" borderId="102" xfId="0" applyNumberFormat="1" applyFont="1" applyBorder="1"/>
    <xf numFmtId="0" fontId="5" fillId="0" borderId="77" xfId="0" applyFont="1" applyBorder="1"/>
    <xf numFmtId="0" fontId="6" fillId="0" borderId="87" xfId="0" applyFont="1" applyBorder="1"/>
    <xf numFmtId="4" fontId="7" fillId="0" borderId="67" xfId="0" applyNumberFormat="1" applyFont="1" applyBorder="1"/>
    <xf numFmtId="4" fontId="9" fillId="0" borderId="67" xfId="0" applyNumberFormat="1" applyFont="1" applyBorder="1"/>
    <xf numFmtId="4" fontId="7" fillId="0" borderId="84" xfId="0" applyNumberFormat="1" applyFont="1" applyBorder="1" applyAlignment="1">
      <alignment shrinkToFit="1"/>
    </xf>
    <xf numFmtId="0" fontId="5" fillId="0" borderId="91" xfId="0" applyFont="1" applyBorder="1" applyAlignment="1">
      <alignment vertical="center"/>
    </xf>
    <xf numFmtId="4" fontId="5" fillId="0" borderId="103" xfId="0" applyNumberFormat="1" applyFont="1" applyBorder="1" applyAlignment="1">
      <alignment vertical="center"/>
    </xf>
    <xf numFmtId="4" fontId="5" fillId="0" borderId="104" xfId="0" applyNumberFormat="1" applyFont="1" applyBorder="1" applyAlignment="1">
      <alignment vertical="center"/>
    </xf>
    <xf numFmtId="4" fontId="0" fillId="0" borderId="104" xfId="0" applyNumberFormat="1" applyBorder="1" applyAlignment="1">
      <alignment vertical="center"/>
    </xf>
    <xf numFmtId="0" fontId="0" fillId="0" borderId="92" xfId="0" applyBorder="1" applyAlignment="1">
      <alignment vertical="center"/>
    </xf>
    <xf numFmtId="0" fontId="5" fillId="0" borderId="95" xfId="0" applyFont="1" applyBorder="1" applyAlignment="1">
      <alignment vertical="center"/>
    </xf>
    <xf numFmtId="0" fontId="1" fillId="0" borderId="95" xfId="0" applyFont="1" applyBorder="1" applyAlignment="1">
      <alignment vertical="center"/>
    </xf>
    <xf numFmtId="0" fontId="1" fillId="7" borderId="0" xfId="0" applyFont="1" applyFill="1"/>
    <xf numFmtId="0" fontId="1" fillId="6" borderId="96" xfId="0" applyFont="1" applyFill="1" applyBorder="1" applyAlignment="1">
      <alignment vertical="center"/>
    </xf>
    <xf numFmtId="4" fontId="0" fillId="6" borderId="91" xfId="0" applyNumberFormat="1" applyFill="1" applyBorder="1" applyAlignment="1">
      <alignment vertical="center"/>
    </xf>
    <xf numFmtId="0" fontId="5" fillId="7" borderId="0" xfId="0" applyFont="1" applyFill="1"/>
    <xf numFmtId="0" fontId="5" fillId="6" borderId="96" xfId="0" applyFont="1" applyFill="1" applyBorder="1" applyAlignment="1">
      <alignment vertical="center" wrapText="1"/>
    </xf>
    <xf numFmtId="0" fontId="5" fillId="6" borderId="96" xfId="0" applyFont="1" applyFill="1" applyBorder="1" applyAlignment="1">
      <alignment vertical="center"/>
    </xf>
    <xf numFmtId="4" fontId="33" fillId="6" borderId="95" xfId="0" applyNumberFormat="1" applyFont="1" applyFill="1" applyBorder="1"/>
    <xf numFmtId="4" fontId="33" fillId="0" borderId="95" xfId="0" applyNumberFormat="1" applyFont="1" applyBorder="1"/>
    <xf numFmtId="4" fontId="4" fillId="0" borderId="95" xfId="0" applyNumberFormat="1" applyFont="1" applyBorder="1"/>
    <xf numFmtId="4" fontId="5" fillId="6" borderId="95" xfId="0" applyNumberFormat="1" applyFont="1" applyFill="1" applyBorder="1" applyAlignment="1">
      <alignment vertical="center"/>
    </xf>
    <xf numFmtId="0" fontId="1" fillId="6" borderId="96" xfId="0" applyFont="1" applyFill="1" applyBorder="1" applyAlignment="1">
      <alignment vertical="center" wrapText="1"/>
    </xf>
    <xf numFmtId="0" fontId="0" fillId="6" borderId="96" xfId="0" applyFill="1" applyBorder="1" applyAlignment="1">
      <alignment vertical="center" wrapText="1"/>
    </xf>
    <xf numFmtId="0" fontId="1" fillId="6" borderId="95" xfId="0" applyFont="1" applyFill="1" applyBorder="1" applyAlignment="1">
      <alignment vertical="center"/>
    </xf>
    <xf numFmtId="0" fontId="5" fillId="6" borderId="95" xfId="0" applyFont="1" applyFill="1" applyBorder="1" applyAlignment="1">
      <alignment vertical="center"/>
    </xf>
    <xf numFmtId="0" fontId="20" fillId="6" borderId="95" xfId="0" applyFont="1" applyFill="1" applyBorder="1" applyAlignment="1">
      <alignment vertical="center"/>
    </xf>
    <xf numFmtId="4" fontId="1" fillId="0" borderId="91" xfId="0" applyNumberFormat="1" applyFont="1" applyBorder="1" applyAlignment="1">
      <alignment vertical="center"/>
    </xf>
    <xf numFmtId="4" fontId="1" fillId="6" borderId="91" xfId="0" applyNumberFormat="1" applyFont="1" applyFill="1" applyBorder="1" applyAlignment="1">
      <alignment vertical="center"/>
    </xf>
    <xf numFmtId="0" fontId="0" fillId="6" borderId="96" xfId="0" applyFill="1" applyBorder="1" applyAlignment="1">
      <alignment vertical="center"/>
    </xf>
    <xf numFmtId="4" fontId="1" fillId="0" borderId="95" xfId="0" applyNumberFormat="1" applyFont="1" applyBorder="1" applyAlignment="1">
      <alignment vertical="center"/>
    </xf>
    <xf numFmtId="0" fontId="0" fillId="6" borderId="95" xfId="0" applyFill="1" applyBorder="1" applyAlignment="1">
      <alignment vertical="center"/>
    </xf>
    <xf numFmtId="4" fontId="1" fillId="6" borderId="95" xfId="0" applyNumberFormat="1" applyFont="1" applyFill="1" applyBorder="1" applyAlignment="1">
      <alignment shrinkToFit="1"/>
    </xf>
    <xf numFmtId="0" fontId="1" fillId="0" borderId="73" xfId="0" applyFont="1" applyBorder="1" applyAlignment="1">
      <alignment vertical="center"/>
    </xf>
    <xf numFmtId="4" fontId="1" fillId="0" borderId="73" xfId="0" applyNumberFormat="1" applyFont="1" applyBorder="1" applyAlignment="1">
      <alignment shrinkToFit="1"/>
    </xf>
    <xf numFmtId="4" fontId="0" fillId="0" borderId="98" xfId="0" applyNumberFormat="1" applyBorder="1" applyAlignment="1">
      <alignment vertical="center"/>
    </xf>
    <xf numFmtId="4" fontId="0" fillId="0" borderId="64" xfId="0" applyNumberFormat="1" applyBorder="1"/>
    <xf numFmtId="4" fontId="5" fillId="0" borderId="73" xfId="0" applyNumberFormat="1" applyFont="1" applyBorder="1" applyAlignment="1">
      <alignment shrinkToFit="1"/>
    </xf>
    <xf numFmtId="0" fontId="20" fillId="6" borderId="95" xfId="0" applyFont="1" applyFill="1" applyBorder="1" applyAlignment="1">
      <alignment horizontal="right" vertical="center"/>
    </xf>
    <xf numFmtId="0" fontId="1" fillId="6" borderId="95" xfId="0" applyFont="1" applyFill="1" applyBorder="1"/>
    <xf numFmtId="0" fontId="1" fillId="6" borderId="96" xfId="0" applyFont="1" applyFill="1" applyBorder="1" applyAlignment="1">
      <alignment wrapText="1"/>
    </xf>
    <xf numFmtId="0" fontId="5" fillId="6" borderId="95" xfId="0" applyFont="1" applyFill="1" applyBorder="1" applyAlignment="1">
      <alignment horizontal="right" vertical="center"/>
    </xf>
    <xf numFmtId="4" fontId="0" fillId="6" borderId="95" xfId="0" applyNumberFormat="1" applyFill="1" applyBorder="1" applyAlignment="1">
      <alignment vertical="center"/>
    </xf>
    <xf numFmtId="0" fontId="1" fillId="6" borderId="105" xfId="0" applyFont="1" applyFill="1" applyBorder="1" applyAlignment="1">
      <alignment vertical="center"/>
    </xf>
    <xf numFmtId="0" fontId="1" fillId="6" borderId="106" xfId="0" applyFont="1" applyFill="1" applyBorder="1" applyAlignment="1">
      <alignment vertical="center" wrapText="1"/>
    </xf>
    <xf numFmtId="4" fontId="0" fillId="6" borderId="105" xfId="0" applyNumberFormat="1" applyFill="1" applyBorder="1" applyAlignment="1">
      <alignment vertical="center"/>
    </xf>
    <xf numFmtId="0" fontId="1" fillId="6" borderId="107" xfId="0" applyFont="1" applyFill="1" applyBorder="1" applyAlignment="1">
      <alignment vertical="center"/>
    </xf>
    <xf numFmtId="0" fontId="1" fillId="6" borderId="108" xfId="0" applyFont="1" applyFill="1" applyBorder="1" applyAlignment="1">
      <alignment vertical="center"/>
    </xf>
    <xf numFmtId="4" fontId="1" fillId="6" borderId="105" xfId="0" applyNumberFormat="1" applyFont="1" applyFill="1" applyBorder="1" applyAlignment="1">
      <alignment vertical="center"/>
    </xf>
    <xf numFmtId="4" fontId="0" fillId="0" borderId="73" xfId="0" applyNumberFormat="1" applyBorder="1" applyAlignment="1">
      <alignment vertical="center"/>
    </xf>
    <xf numFmtId="0" fontId="5" fillId="6" borderId="107" xfId="0" applyFont="1" applyFill="1" applyBorder="1"/>
    <xf numFmtId="4" fontId="0" fillId="6" borderId="101" xfId="0" applyNumberFormat="1" applyFill="1" applyBorder="1" applyAlignment="1">
      <alignment vertical="center"/>
    </xf>
    <xf numFmtId="4" fontId="0" fillId="0" borderId="109" xfId="0" applyNumberFormat="1" applyBorder="1" applyAlignment="1">
      <alignment vertical="center"/>
    </xf>
    <xf numFmtId="4" fontId="1" fillId="0" borderId="76" xfId="0" applyNumberFormat="1" applyFont="1" applyBorder="1"/>
    <xf numFmtId="0" fontId="5" fillId="6" borderId="77" xfId="0" applyFont="1" applyFill="1" applyBorder="1"/>
    <xf numFmtId="0" fontId="6" fillId="6" borderId="88" xfId="0" applyFont="1" applyFill="1" applyBorder="1"/>
    <xf numFmtId="4" fontId="7" fillId="6" borderId="69" xfId="0" applyNumberFormat="1" applyFont="1" applyFill="1" applyBorder="1"/>
    <xf numFmtId="4" fontId="7" fillId="0" borderId="101" xfId="0" applyNumberFormat="1" applyFont="1" applyBorder="1"/>
    <xf numFmtId="4" fontId="9" fillId="0" borderId="101" xfId="0" applyNumberFormat="1" applyFont="1" applyBorder="1"/>
    <xf numFmtId="0" fontId="5" fillId="6" borderId="91" xfId="0" applyFont="1" applyFill="1" applyBorder="1" applyAlignment="1">
      <alignment vertical="center"/>
    </xf>
    <xf numFmtId="0" fontId="5" fillId="6" borderId="92" xfId="0" applyFont="1" applyFill="1" applyBorder="1" applyAlignment="1">
      <alignment vertical="center" wrapText="1"/>
    </xf>
    <xf numFmtId="4" fontId="5" fillId="6" borderId="103" xfId="0" applyNumberFormat="1" applyFont="1" applyFill="1" applyBorder="1" applyAlignment="1">
      <alignment vertical="center"/>
    </xf>
    <xf numFmtId="4" fontId="5" fillId="0" borderId="98" xfId="0" applyNumberFormat="1" applyFont="1" applyBorder="1" applyAlignment="1">
      <alignment vertical="center"/>
    </xf>
    <xf numFmtId="4" fontId="0" fillId="0" borderId="74" xfId="0" applyNumberFormat="1" applyBorder="1"/>
    <xf numFmtId="0" fontId="5" fillId="6" borderId="107" xfId="0" applyFont="1" applyFill="1" applyBorder="1" applyAlignment="1">
      <alignment vertical="center"/>
    </xf>
    <xf numFmtId="0" fontId="4" fillId="6" borderId="73" xfId="0" applyFont="1" applyFill="1" applyBorder="1" applyAlignment="1">
      <alignment vertical="center"/>
    </xf>
    <xf numFmtId="4" fontId="4" fillId="6" borderId="98" xfId="0" applyNumberFormat="1" applyFont="1" applyFill="1" applyBorder="1" applyAlignment="1">
      <alignment vertical="center"/>
    </xf>
    <xf numFmtId="0" fontId="4" fillId="6" borderId="110" xfId="0" applyFont="1" applyFill="1" applyBorder="1"/>
    <xf numFmtId="4" fontId="4" fillId="6" borderId="73" xfId="0" applyNumberFormat="1" applyFont="1" applyFill="1" applyBorder="1" applyAlignment="1">
      <alignment vertical="center"/>
    </xf>
    <xf numFmtId="0" fontId="4" fillId="6" borderId="73" xfId="0" applyFont="1" applyFill="1" applyBorder="1"/>
    <xf numFmtId="0" fontId="5" fillId="6" borderId="105" xfId="0" applyFont="1" applyFill="1" applyBorder="1" applyAlignment="1">
      <alignment vertical="center"/>
    </xf>
    <xf numFmtId="0" fontId="4" fillId="6" borderId="111" xfId="0" applyFont="1" applyFill="1" applyBorder="1"/>
    <xf numFmtId="0" fontId="5" fillId="6" borderId="98" xfId="0" applyFont="1" applyFill="1" applyBorder="1" applyAlignment="1">
      <alignment vertical="center"/>
    </xf>
    <xf numFmtId="4" fontId="4" fillId="6" borderId="69" xfId="0" applyNumberFormat="1" applyFont="1" applyFill="1" applyBorder="1" applyAlignment="1">
      <alignment vertical="center"/>
    </xf>
    <xf numFmtId="0" fontId="5" fillId="6" borderId="69" xfId="0" applyFont="1" applyFill="1" applyBorder="1" applyAlignment="1">
      <alignment vertical="center"/>
    </xf>
    <xf numFmtId="4" fontId="4" fillId="6" borderId="109" xfId="0" applyNumberFormat="1" applyFont="1" applyFill="1" applyBorder="1" applyAlignment="1">
      <alignment vertical="center"/>
    </xf>
    <xf numFmtId="0" fontId="5" fillId="0" borderId="109" xfId="0" applyFont="1" applyBorder="1"/>
    <xf numFmtId="0" fontId="6" fillId="6" borderId="112" xfId="0" applyFont="1" applyFill="1" applyBorder="1"/>
    <xf numFmtId="4" fontId="7" fillId="6" borderId="88" xfId="0" applyNumberFormat="1" applyFont="1" applyFill="1" applyBorder="1"/>
    <xf numFmtId="4" fontId="7" fillId="0" borderId="88" xfId="0" applyNumberFormat="1" applyFont="1" applyBorder="1"/>
    <xf numFmtId="4" fontId="9" fillId="0" borderId="88" xfId="0" applyNumberFormat="1" applyFont="1" applyBorder="1"/>
    <xf numFmtId="0" fontId="5" fillId="6" borderId="91" xfId="0" applyFont="1" applyFill="1" applyBorder="1"/>
    <xf numFmtId="0" fontId="5" fillId="6" borderId="113" xfId="0" applyFont="1" applyFill="1" applyBorder="1"/>
    <xf numFmtId="4" fontId="5" fillId="6" borderId="103" xfId="0" applyNumberFormat="1" applyFont="1" applyFill="1" applyBorder="1"/>
    <xf numFmtId="4" fontId="5" fillId="0" borderId="103" xfId="0" applyNumberFormat="1" applyFont="1" applyBorder="1"/>
    <xf numFmtId="4" fontId="0" fillId="0" borderId="103" xfId="0" applyNumberFormat="1" applyBorder="1"/>
    <xf numFmtId="0" fontId="5" fillId="6" borderId="91" xfId="0" applyFont="1" applyFill="1" applyBorder="1" applyAlignment="1">
      <alignment horizontal="right"/>
    </xf>
    <xf numFmtId="0" fontId="0" fillId="6" borderId="92" xfId="0" applyFill="1" applyBorder="1"/>
    <xf numFmtId="4" fontId="0" fillId="6" borderId="91" xfId="0" applyNumberFormat="1" applyFill="1" applyBorder="1"/>
    <xf numFmtId="4" fontId="0" fillId="0" borderId="91" xfId="0" applyNumberFormat="1" applyBorder="1"/>
    <xf numFmtId="0" fontId="5" fillId="6" borderId="107" xfId="0" applyFont="1" applyFill="1" applyBorder="1" applyAlignment="1">
      <alignment horizontal="right" vertical="center"/>
    </xf>
    <xf numFmtId="4" fontId="0" fillId="6" borderId="105" xfId="0" applyNumberFormat="1" applyFill="1" applyBorder="1" applyAlignment="1">
      <alignment horizontal="right" vertical="center"/>
    </xf>
    <xf numFmtId="4" fontId="0" fillId="6" borderId="73" xfId="0" applyNumberFormat="1" applyFill="1" applyBorder="1" applyAlignment="1">
      <alignment horizontal="right" vertical="center"/>
    </xf>
    <xf numFmtId="4" fontId="0" fillId="6" borderId="114" xfId="0" applyNumberFormat="1" applyFill="1" applyBorder="1" applyAlignment="1">
      <alignment horizontal="right" vertical="center"/>
    </xf>
    <xf numFmtId="0" fontId="0" fillId="6" borderId="108" xfId="0" applyFill="1" applyBorder="1" applyAlignment="1">
      <alignment vertical="center"/>
    </xf>
    <xf numFmtId="4" fontId="0" fillId="6" borderId="73" xfId="0" applyNumberFormat="1" applyFill="1" applyBorder="1" applyAlignment="1">
      <alignment vertical="center"/>
    </xf>
    <xf numFmtId="0" fontId="5" fillId="0" borderId="73" xfId="0" applyFont="1" applyBorder="1" applyAlignment="1">
      <alignment vertical="center"/>
    </xf>
    <xf numFmtId="0" fontId="8" fillId="6" borderId="95" xfId="0" applyFont="1" applyFill="1" applyBorder="1" applyAlignment="1">
      <alignment horizontal="right" vertical="center"/>
    </xf>
    <xf numFmtId="0" fontId="0" fillId="6" borderId="95" xfId="0" applyFill="1" applyBorder="1" applyAlignment="1">
      <alignment horizontal="right" vertical="center"/>
    </xf>
    <xf numFmtId="4" fontId="5" fillId="0" borderId="95" xfId="3" applyNumberFormat="1" applyFont="1" applyFill="1" applyBorder="1" applyAlignment="1" applyProtection="1">
      <alignment vertical="center"/>
    </xf>
    <xf numFmtId="4" fontId="1" fillId="0" borderId="95" xfId="3" applyNumberFormat="1" applyFont="1" applyFill="1" applyBorder="1" applyAlignment="1" applyProtection="1">
      <alignment vertical="center"/>
    </xf>
    <xf numFmtId="0" fontId="0" fillId="6" borderId="73" xfId="0" applyFill="1" applyBorder="1" applyAlignment="1">
      <alignment vertical="center"/>
    </xf>
    <xf numFmtId="4" fontId="5" fillId="6" borderId="95" xfId="3" applyNumberFormat="1" applyFont="1" applyFill="1" applyBorder="1" applyAlignment="1" applyProtection="1">
      <alignment vertical="center"/>
    </xf>
    <xf numFmtId="0" fontId="4" fillId="6" borderId="96" xfId="0" applyFont="1" applyFill="1" applyBorder="1" applyAlignment="1">
      <alignment vertical="center"/>
    </xf>
    <xf numFmtId="0" fontId="1" fillId="6" borderId="115" xfId="0" applyFont="1" applyFill="1" applyBorder="1" applyAlignment="1">
      <alignment vertical="center" wrapText="1"/>
    </xf>
    <xf numFmtId="4" fontId="0" fillId="6" borderId="110" xfId="0" applyNumberFormat="1" applyFill="1" applyBorder="1" applyAlignment="1">
      <alignment vertical="center"/>
    </xf>
    <xf numFmtId="0" fontId="5" fillId="6" borderId="73" xfId="0" applyFont="1" applyFill="1" applyBorder="1" applyAlignment="1">
      <alignment vertical="center"/>
    </xf>
    <xf numFmtId="0" fontId="1" fillId="6" borderId="116" xfId="0" applyFont="1" applyFill="1" applyBorder="1" applyAlignment="1">
      <alignment vertical="center"/>
    </xf>
    <xf numFmtId="0" fontId="5" fillId="6" borderId="117" xfId="0" applyFont="1" applyFill="1" applyBorder="1" applyAlignment="1">
      <alignment vertical="center"/>
    </xf>
    <xf numFmtId="0" fontId="1" fillId="6" borderId="118" xfId="0" applyFont="1" applyFill="1" applyBorder="1" applyAlignment="1">
      <alignment vertical="center"/>
    </xf>
    <xf numFmtId="0" fontId="15" fillId="6" borderId="77" xfId="0" applyFont="1" applyFill="1" applyBorder="1"/>
    <xf numFmtId="0" fontId="15" fillId="6" borderId="119" xfId="0" applyFont="1" applyFill="1" applyBorder="1"/>
    <xf numFmtId="4" fontId="15" fillId="6" borderId="88" xfId="0" applyNumberFormat="1" applyFont="1" applyFill="1" applyBorder="1" applyAlignment="1">
      <alignment vertical="center" shrinkToFit="1"/>
    </xf>
    <xf numFmtId="4" fontId="15" fillId="0" borderId="88" xfId="0" applyNumberFormat="1" applyFont="1" applyBorder="1" applyAlignment="1">
      <alignment vertical="center" shrinkToFit="1"/>
    </xf>
    <xf numFmtId="4" fontId="1" fillId="0" borderId="88" xfId="0" applyNumberFormat="1" applyFont="1" applyBorder="1" applyAlignment="1">
      <alignment vertical="center" shrinkToFit="1"/>
    </xf>
    <xf numFmtId="4" fontId="6" fillId="0" borderId="77" xfId="0" applyNumberFormat="1" applyFont="1" applyBorder="1" applyAlignment="1">
      <alignment shrinkToFit="1"/>
    </xf>
    <xf numFmtId="0" fontId="5" fillId="6" borderId="69" xfId="0" applyFont="1" applyFill="1" applyBorder="1"/>
    <xf numFmtId="0" fontId="6" fillId="6" borderId="65" xfId="0" applyFont="1" applyFill="1" applyBorder="1"/>
    <xf numFmtId="4" fontId="0" fillId="6" borderId="117" xfId="0" applyNumberFormat="1" applyFill="1" applyBorder="1" applyAlignment="1">
      <alignment vertical="center"/>
    </xf>
    <xf numFmtId="4" fontId="0" fillId="0" borderId="117" xfId="0" applyNumberFormat="1" applyBorder="1" applyAlignment="1">
      <alignment vertical="center"/>
    </xf>
    <xf numFmtId="0" fontId="5" fillId="0" borderId="78" xfId="0" applyFont="1" applyBorder="1"/>
    <xf numFmtId="0" fontId="6" fillId="6" borderId="87" xfId="0" applyFont="1" applyFill="1" applyBorder="1"/>
    <xf numFmtId="4" fontId="7" fillId="6" borderId="84" xfId="0" applyNumberFormat="1" applyFont="1" applyFill="1" applyBorder="1" applyAlignment="1">
      <alignment shrinkToFit="1"/>
    </xf>
    <xf numFmtId="4" fontId="9" fillId="0" borderId="84" xfId="0" applyNumberFormat="1" applyFont="1" applyBorder="1" applyAlignment="1">
      <alignment shrinkToFit="1"/>
    </xf>
    <xf numFmtId="0" fontId="5" fillId="6" borderId="120" xfId="0" applyFont="1" applyFill="1" applyBorder="1" applyAlignment="1">
      <alignment horizontal="left" vertical="center" wrapText="1"/>
    </xf>
    <xf numFmtId="0" fontId="5" fillId="6" borderId="92" xfId="0" applyFont="1" applyFill="1" applyBorder="1" applyAlignment="1">
      <alignment horizontal="left" vertical="center" wrapText="1"/>
    </xf>
    <xf numFmtId="0" fontId="0" fillId="6" borderId="105" xfId="0" applyFill="1" applyBorder="1" applyAlignment="1">
      <alignment vertical="center"/>
    </xf>
    <xf numFmtId="0" fontId="0" fillId="6" borderId="105" xfId="0" applyFill="1" applyBorder="1" applyAlignment="1">
      <alignment vertical="center" wrapText="1"/>
    </xf>
    <xf numFmtId="4" fontId="0" fillId="6" borderId="107" xfId="0" applyNumberFormat="1" applyFill="1" applyBorder="1" applyAlignment="1">
      <alignment vertical="center"/>
    </xf>
    <xf numFmtId="0" fontId="1" fillId="6" borderId="69" xfId="0" applyFont="1" applyFill="1" applyBorder="1" applyAlignment="1">
      <alignment vertical="center"/>
    </xf>
    <xf numFmtId="0" fontId="1" fillId="6" borderId="65" xfId="0" applyFont="1" applyFill="1" applyBorder="1" applyAlignment="1">
      <alignment vertical="center"/>
    </xf>
    <xf numFmtId="4" fontId="0" fillId="6" borderId="121" xfId="0" applyNumberFormat="1" applyFill="1" applyBorder="1" applyAlignment="1">
      <alignment vertical="center"/>
    </xf>
    <xf numFmtId="4" fontId="0" fillId="0" borderId="99" xfId="0" applyNumberFormat="1" applyBorder="1" applyAlignment="1">
      <alignment vertical="center"/>
    </xf>
    <xf numFmtId="0" fontId="1" fillId="0" borderId="90" xfId="0" applyFont="1" applyBorder="1"/>
    <xf numFmtId="0" fontId="21" fillId="6" borderId="77" xfId="0" applyFont="1" applyFill="1" applyBorder="1"/>
    <xf numFmtId="0" fontId="14" fillId="6" borderId="87" xfId="0" applyFont="1" applyFill="1" applyBorder="1"/>
    <xf numFmtId="4" fontId="15" fillId="6" borderId="117" xfId="0" applyNumberFormat="1" applyFont="1" applyFill="1" applyBorder="1" applyAlignment="1">
      <alignment shrinkToFit="1"/>
    </xf>
    <xf numFmtId="4" fontId="15" fillId="0" borderId="77" xfId="0" applyNumberFormat="1" applyFont="1" applyBorder="1" applyAlignment="1">
      <alignment shrinkToFit="1"/>
    </xf>
    <xf numFmtId="4" fontId="1" fillId="0" borderId="77" xfId="0" applyNumberFormat="1" applyFont="1" applyBorder="1" applyAlignment="1">
      <alignment shrinkToFit="1"/>
    </xf>
    <xf numFmtId="4" fontId="15" fillId="0" borderId="84" xfId="0" applyNumberFormat="1" applyFont="1" applyBorder="1" applyAlignment="1">
      <alignment shrinkToFit="1"/>
    </xf>
    <xf numFmtId="0" fontId="1" fillId="6" borderId="77" xfId="0" applyFont="1" applyFill="1" applyBorder="1"/>
    <xf numFmtId="0" fontId="15" fillId="6" borderId="87" xfId="0" applyFont="1" applyFill="1" applyBorder="1"/>
    <xf numFmtId="4" fontId="0" fillId="6" borderId="77" xfId="0" applyNumberFormat="1" applyFill="1" applyBorder="1" applyAlignment="1">
      <alignment vertical="center"/>
    </xf>
    <xf numFmtId="4" fontId="0" fillId="0" borderId="77" xfId="0" applyNumberFormat="1" applyBorder="1" applyAlignment="1">
      <alignment vertical="center"/>
    </xf>
    <xf numFmtId="0" fontId="18" fillId="6" borderId="77" xfId="0" applyFont="1" applyFill="1" applyBorder="1"/>
    <xf numFmtId="4" fontId="7" fillId="6" borderId="77" xfId="0" applyNumberFormat="1" applyFont="1" applyFill="1" applyBorder="1"/>
    <xf numFmtId="4" fontId="7" fillId="0" borderId="77" xfId="0" applyNumberFormat="1" applyFont="1" applyBorder="1"/>
    <xf numFmtId="4" fontId="9" fillId="0" borderId="77" xfId="0" applyNumberFormat="1" applyFont="1" applyBorder="1"/>
    <xf numFmtId="0" fontId="6" fillId="6" borderId="77" xfId="0" applyFont="1" applyFill="1" applyBorder="1" applyAlignment="1">
      <alignment vertical="center"/>
    </xf>
    <xf numFmtId="0" fontId="6" fillId="6" borderId="87" xfId="0" applyFont="1" applyFill="1" applyBorder="1" applyAlignment="1">
      <alignment vertical="center"/>
    </xf>
    <xf numFmtId="4" fontId="6" fillId="6" borderId="77" xfId="0" applyNumberFormat="1" applyFont="1" applyFill="1" applyBorder="1" applyAlignment="1">
      <alignment vertical="center"/>
    </xf>
    <xf numFmtId="4" fontId="6" fillId="0" borderId="77" xfId="0" applyNumberFormat="1" applyFont="1" applyBorder="1" applyAlignment="1">
      <alignment vertical="center"/>
    </xf>
    <xf numFmtId="4" fontId="1" fillId="0" borderId="77" xfId="0" applyNumberFormat="1" applyFont="1" applyBorder="1" applyAlignment="1">
      <alignment vertical="center"/>
    </xf>
    <xf numFmtId="4" fontId="6" fillId="0" borderId="84" xfId="0" applyNumberFormat="1" applyFont="1" applyBorder="1" applyAlignment="1">
      <alignment shrinkToFit="1"/>
    </xf>
    <xf numFmtId="0" fontId="5" fillId="6" borderId="104" xfId="0" applyFont="1" applyFill="1" applyBorder="1" applyAlignment="1">
      <alignment vertical="center"/>
    </xf>
    <xf numFmtId="0" fontId="5" fillId="6" borderId="120" xfId="0" applyFont="1" applyFill="1" applyBorder="1" applyAlignment="1">
      <alignment vertical="center"/>
    </xf>
    <xf numFmtId="4" fontId="5" fillId="6" borderId="70" xfId="0" applyNumberFormat="1" applyFont="1" applyFill="1" applyBorder="1" applyAlignment="1">
      <alignment vertical="center"/>
    </xf>
    <xf numFmtId="4" fontId="5" fillId="0" borderId="70" xfId="0" applyNumberFormat="1" applyFont="1" applyBorder="1" applyAlignment="1">
      <alignment vertical="center"/>
    </xf>
    <xf numFmtId="4" fontId="0" fillId="0" borderId="70" xfId="0" applyNumberFormat="1" applyBorder="1" applyAlignment="1">
      <alignment vertical="center"/>
    </xf>
    <xf numFmtId="0" fontId="23" fillId="6" borderId="95" xfId="0" applyFont="1" applyFill="1" applyBorder="1" applyAlignment="1">
      <alignment vertical="center"/>
    </xf>
    <xf numFmtId="4" fontId="0" fillId="0" borderId="105" xfId="0" applyNumberFormat="1" applyBorder="1" applyAlignment="1">
      <alignment vertical="center"/>
    </xf>
    <xf numFmtId="0" fontId="5" fillId="6" borderId="92" xfId="0" applyFont="1" applyFill="1" applyBorder="1" applyAlignment="1">
      <alignment vertical="center"/>
    </xf>
    <xf numFmtId="4" fontId="5" fillId="6" borderId="105" xfId="0" applyNumberFormat="1" applyFont="1" applyFill="1" applyBorder="1" applyAlignment="1">
      <alignment vertical="center"/>
    </xf>
    <xf numFmtId="4" fontId="0" fillId="6" borderId="69" xfId="0" applyNumberFormat="1" applyFill="1" applyBorder="1" applyAlignment="1">
      <alignment vertical="center"/>
    </xf>
    <xf numFmtId="4" fontId="0" fillId="0" borderId="69" xfId="0" applyNumberFormat="1" applyBorder="1" applyAlignment="1">
      <alignment vertical="center"/>
    </xf>
    <xf numFmtId="0" fontId="6" fillId="6" borderId="77" xfId="0" applyFont="1" applyFill="1" applyBorder="1"/>
    <xf numFmtId="4" fontId="6" fillId="6" borderId="67" xfId="0" applyNumberFormat="1" applyFont="1" applyFill="1" applyBorder="1" applyAlignment="1">
      <alignment vertical="center"/>
    </xf>
    <xf numFmtId="4" fontId="6" fillId="0" borderId="67" xfId="0" applyNumberFormat="1" applyFont="1" applyBorder="1" applyAlignment="1">
      <alignment vertical="center"/>
    </xf>
    <xf numFmtId="4" fontId="0" fillId="0" borderId="67" xfId="0" applyNumberFormat="1" applyBorder="1" applyAlignment="1">
      <alignment vertical="center"/>
    </xf>
    <xf numFmtId="4" fontId="5" fillId="6" borderId="104" xfId="0" applyNumberFormat="1" applyFont="1" applyFill="1" applyBorder="1" applyAlignment="1">
      <alignment vertical="center"/>
    </xf>
    <xf numFmtId="0" fontId="0" fillId="6" borderId="92" xfId="0" applyFill="1" applyBorder="1" applyAlignment="1">
      <alignment vertical="center"/>
    </xf>
    <xf numFmtId="0" fontId="1" fillId="6" borderId="92" xfId="0" applyFont="1" applyFill="1" applyBorder="1" applyAlignment="1">
      <alignment vertical="center"/>
    </xf>
    <xf numFmtId="0" fontId="1" fillId="6" borderId="92" xfId="0" applyFont="1" applyFill="1" applyBorder="1" applyAlignment="1">
      <alignment vertical="center" wrapText="1"/>
    </xf>
    <xf numFmtId="0" fontId="23" fillId="0" borderId="73" xfId="0" applyFont="1" applyBorder="1" applyAlignment="1">
      <alignment vertical="center"/>
    </xf>
    <xf numFmtId="0" fontId="0" fillId="0" borderId="116" xfId="0" applyBorder="1" applyAlignment="1">
      <alignment vertical="center"/>
    </xf>
    <xf numFmtId="0" fontId="23" fillId="6" borderId="107" xfId="0" applyFont="1" applyFill="1" applyBorder="1" applyAlignment="1">
      <alignment vertical="center"/>
    </xf>
    <xf numFmtId="0" fontId="45" fillId="6" borderId="107" xfId="0" applyFont="1" applyFill="1" applyBorder="1" applyAlignment="1">
      <alignment vertical="center"/>
    </xf>
    <xf numFmtId="0" fontId="23" fillId="6" borderId="91" xfId="0" applyFont="1" applyFill="1" applyBorder="1" applyAlignment="1">
      <alignment vertical="center"/>
    </xf>
    <xf numFmtId="0" fontId="1" fillId="6" borderId="119" xfId="0" applyFont="1" applyFill="1" applyBorder="1" applyAlignment="1">
      <alignment vertical="center"/>
    </xf>
    <xf numFmtId="4" fontId="6" fillId="6" borderId="77" xfId="0" applyNumberFormat="1" applyFont="1" applyFill="1" applyBorder="1"/>
    <xf numFmtId="4" fontId="6" fillId="0" borderId="77" xfId="0" applyNumberFormat="1" applyFont="1" applyBorder="1"/>
    <xf numFmtId="4" fontId="0" fillId="0" borderId="77" xfId="0" applyNumberFormat="1" applyBorder="1"/>
    <xf numFmtId="0" fontId="23" fillId="6" borderId="69" xfId="0" applyFont="1" applyFill="1" applyBorder="1" applyAlignment="1">
      <alignment vertical="center"/>
    </xf>
    <xf numFmtId="0" fontId="1" fillId="6" borderId="100" xfId="0" applyFont="1" applyFill="1" applyBorder="1" applyAlignment="1">
      <alignment vertical="center"/>
    </xf>
    <xf numFmtId="4" fontId="6" fillId="6" borderId="84" xfId="0" applyNumberFormat="1" applyFont="1" applyFill="1" applyBorder="1"/>
    <xf numFmtId="4" fontId="6" fillId="0" borderId="84" xfId="0" applyNumberFormat="1" applyFont="1" applyBorder="1"/>
    <xf numFmtId="4" fontId="0" fillId="0" borderId="84" xfId="0" applyNumberFormat="1" applyBorder="1"/>
    <xf numFmtId="4" fontId="0" fillId="0" borderId="103" xfId="0" applyNumberFormat="1" applyBorder="1" applyAlignment="1">
      <alignment vertical="center"/>
    </xf>
    <xf numFmtId="4" fontId="5" fillId="0" borderId="105" xfId="0" applyNumberFormat="1" applyFont="1" applyBorder="1" applyAlignment="1">
      <alignment vertical="center"/>
    </xf>
    <xf numFmtId="0" fontId="0" fillId="6" borderId="92" xfId="0" applyFill="1" applyBorder="1" applyAlignment="1">
      <alignment horizontal="left" vertical="center"/>
    </xf>
    <xf numFmtId="0" fontId="0" fillId="6" borderId="96" xfId="0" applyFill="1" applyBorder="1" applyAlignment="1">
      <alignment horizontal="left" vertical="center"/>
    </xf>
    <xf numFmtId="0" fontId="20" fillId="6" borderId="96" xfId="0" applyFont="1" applyFill="1" applyBorder="1" applyAlignment="1">
      <alignment vertical="center"/>
    </xf>
    <xf numFmtId="0" fontId="45" fillId="6" borderId="95" xfId="0" applyFont="1" applyFill="1" applyBorder="1" applyAlignment="1">
      <alignment vertical="center"/>
    </xf>
    <xf numFmtId="0" fontId="23" fillId="0" borderId="95" xfId="0" applyFont="1" applyBorder="1" applyAlignment="1">
      <alignment vertical="center"/>
    </xf>
    <xf numFmtId="0" fontId="0" fillId="0" borderId="96" xfId="0" applyBorder="1" applyAlignment="1">
      <alignment horizontal="left" vertical="center"/>
    </xf>
    <xf numFmtId="0" fontId="0" fillId="0" borderId="95" xfId="0" applyBorder="1" applyAlignment="1">
      <alignment vertical="center"/>
    </xf>
    <xf numFmtId="0" fontId="0" fillId="0" borderId="96" xfId="0" applyBorder="1" applyAlignment="1">
      <alignment vertical="center"/>
    </xf>
    <xf numFmtId="0" fontId="23" fillId="0" borderId="91" xfId="0" applyFont="1" applyBorder="1" applyAlignment="1">
      <alignment vertical="center"/>
    </xf>
    <xf numFmtId="4" fontId="5" fillId="0" borderId="107" xfId="0" applyNumberFormat="1" applyFont="1" applyBorder="1" applyAlignment="1">
      <alignment vertical="center"/>
    </xf>
    <xf numFmtId="4" fontId="0" fillId="0" borderId="107" xfId="0" applyNumberFormat="1" applyBorder="1" applyAlignment="1">
      <alignment vertical="center"/>
    </xf>
    <xf numFmtId="0" fontId="23" fillId="0" borderId="107" xfId="0" applyFont="1" applyBorder="1" applyAlignment="1">
      <alignment vertical="center"/>
    </xf>
    <xf numFmtId="0" fontId="1" fillId="0" borderId="65" xfId="0" applyFont="1" applyBorder="1" applyAlignment="1">
      <alignment vertical="center"/>
    </xf>
    <xf numFmtId="0" fontId="1" fillId="0" borderId="105" xfId="0" applyFont="1" applyBorder="1" applyAlignment="1">
      <alignment vertical="center"/>
    </xf>
    <xf numFmtId="0" fontId="23" fillId="0" borderId="109" xfId="0" applyFont="1" applyBorder="1" applyAlignment="1">
      <alignment vertical="center"/>
    </xf>
    <xf numFmtId="0" fontId="1" fillId="0" borderId="118" xfId="0" applyFont="1" applyBorder="1" applyAlignment="1">
      <alignment vertical="center"/>
    </xf>
    <xf numFmtId="4" fontId="0" fillId="0" borderId="121" xfId="0" applyNumberFormat="1" applyBorder="1" applyAlignment="1">
      <alignment vertical="center"/>
    </xf>
    <xf numFmtId="4" fontId="0" fillId="0" borderId="109" xfId="0" applyNumberFormat="1" applyBorder="1" applyAlignment="1">
      <alignment vertical="center" shrinkToFit="1"/>
    </xf>
    <xf numFmtId="4" fontId="0" fillId="0" borderId="122" xfId="0" applyNumberFormat="1" applyBorder="1" applyAlignment="1">
      <alignment vertical="center" shrinkToFit="1"/>
    </xf>
    <xf numFmtId="4" fontId="0" fillId="0" borderId="123" xfId="0" applyNumberFormat="1" applyBorder="1"/>
    <xf numFmtId="0" fontId="18" fillId="0" borderId="117" xfId="0" applyFont="1" applyBorder="1"/>
    <xf numFmtId="0" fontId="15" fillId="0" borderId="119" xfId="0" applyFont="1" applyBorder="1"/>
    <xf numFmtId="4" fontId="7" fillId="0" borderId="69" xfId="0" applyNumberFormat="1" applyFont="1" applyBorder="1"/>
    <xf numFmtId="4" fontId="15" fillId="0" borderId="69" xfId="0" applyNumberFormat="1" applyFont="1" applyBorder="1"/>
    <xf numFmtId="4" fontId="1" fillId="0" borderId="69" xfId="0" applyNumberFormat="1" applyFont="1" applyBorder="1"/>
    <xf numFmtId="4" fontId="7" fillId="0" borderId="117" xfId="0" applyNumberFormat="1" applyFont="1" applyBorder="1" applyAlignment="1">
      <alignment shrinkToFit="1"/>
    </xf>
    <xf numFmtId="4" fontId="15" fillId="0" borderId="117" xfId="0" applyNumberFormat="1" applyFont="1" applyBorder="1" applyAlignment="1">
      <alignment vertical="center" shrinkToFit="1"/>
    </xf>
    <xf numFmtId="0" fontId="5" fillId="0" borderId="84" xfId="0" applyFont="1" applyBorder="1" applyAlignment="1">
      <alignment vertical="center"/>
    </xf>
    <xf numFmtId="0" fontId="6" fillId="0" borderId="124" xfId="0" applyFont="1" applyBorder="1" applyAlignment="1">
      <alignment vertical="center"/>
    </xf>
    <xf numFmtId="4" fontId="6" fillId="0" borderId="88" xfId="0" applyNumberFormat="1" applyFont="1" applyBorder="1" applyAlignment="1">
      <alignment vertical="center"/>
    </xf>
    <xf numFmtId="4" fontId="1" fillId="0" borderId="88" xfId="0" applyNumberFormat="1" applyFont="1" applyBorder="1" applyAlignment="1">
      <alignment vertical="center"/>
    </xf>
    <xf numFmtId="0" fontId="5" fillId="0" borderId="72" xfId="0" applyFont="1" applyBorder="1" applyAlignment="1">
      <alignment vertical="center"/>
    </xf>
    <xf numFmtId="0" fontId="5" fillId="0" borderId="125" xfId="0" applyFont="1" applyBorder="1" applyAlignment="1">
      <alignment vertical="center"/>
    </xf>
    <xf numFmtId="4" fontId="5" fillId="0" borderId="72" xfId="0" applyNumberFormat="1" applyFont="1" applyBorder="1" applyAlignment="1">
      <alignment vertical="center"/>
    </xf>
    <xf numFmtId="4" fontId="1" fillId="0" borderId="98" xfId="0" applyNumberFormat="1" applyFont="1" applyBorder="1" applyAlignment="1">
      <alignment vertical="center"/>
    </xf>
    <xf numFmtId="0" fontId="1" fillId="0" borderId="116" xfId="0" applyFont="1" applyBorder="1" applyAlignment="1">
      <alignment vertical="center"/>
    </xf>
    <xf numFmtId="0" fontId="5" fillId="0" borderId="116" xfId="0" applyFont="1" applyBorder="1" applyAlignment="1">
      <alignment vertical="center"/>
    </xf>
    <xf numFmtId="4" fontId="5" fillId="0" borderId="73" xfId="0" applyNumberFormat="1" applyFont="1" applyBorder="1" applyAlignment="1">
      <alignment vertical="center"/>
    </xf>
    <xf numFmtId="4" fontId="1" fillId="0" borderId="73" xfId="0" applyNumberFormat="1" applyFont="1" applyBorder="1" applyAlignment="1">
      <alignment vertical="center"/>
    </xf>
    <xf numFmtId="0" fontId="1" fillId="0" borderId="126" xfId="0" applyFont="1" applyBorder="1" applyAlignment="1">
      <alignment vertical="center"/>
    </xf>
    <xf numFmtId="4" fontId="0" fillId="0" borderId="110" xfId="0" applyNumberFormat="1" applyBorder="1" applyAlignment="1">
      <alignment vertical="center"/>
    </xf>
    <xf numFmtId="0" fontId="6" fillId="0" borderId="88" xfId="0" applyFont="1" applyBorder="1"/>
    <xf numFmtId="0" fontId="6" fillId="0" borderId="127" xfId="0" applyFont="1" applyBorder="1"/>
    <xf numFmtId="4" fontId="1" fillId="0" borderId="72" xfId="0" applyNumberFormat="1" applyFont="1" applyBorder="1" applyAlignment="1">
      <alignment vertical="center"/>
    </xf>
    <xf numFmtId="0" fontId="0" fillId="0" borderId="73" xfId="0" applyBorder="1" applyAlignment="1">
      <alignment vertical="center"/>
    </xf>
    <xf numFmtId="0" fontId="23" fillId="0" borderId="128" xfId="0" applyFont="1" applyBorder="1" applyAlignment="1">
      <alignment vertical="center"/>
    </xf>
    <xf numFmtId="0" fontId="0" fillId="0" borderId="109" xfId="0" applyBorder="1" applyAlignment="1">
      <alignment vertical="center"/>
    </xf>
    <xf numFmtId="0" fontId="6" fillId="0" borderId="77" xfId="0" applyFont="1" applyBorder="1"/>
    <xf numFmtId="0" fontId="6" fillId="0" borderId="129" xfId="0" applyFont="1" applyBorder="1"/>
    <xf numFmtId="4" fontId="6" fillId="0" borderId="88" xfId="0" applyNumberFormat="1" applyFont="1" applyBorder="1"/>
    <xf numFmtId="4" fontId="1" fillId="0" borderId="77" xfId="0" applyNumberFormat="1" applyFont="1" applyBorder="1"/>
    <xf numFmtId="0" fontId="5" fillId="0" borderId="70" xfId="0" applyFont="1" applyBorder="1" applyAlignment="1">
      <alignment vertical="center"/>
    </xf>
    <xf numFmtId="0" fontId="5" fillId="0" borderId="130" xfId="0" applyFont="1" applyBorder="1" applyAlignment="1">
      <alignment vertical="center"/>
    </xf>
    <xf numFmtId="4" fontId="1" fillId="0" borderId="70" xfId="0" applyNumberFormat="1" applyFont="1" applyBorder="1" applyAlignment="1">
      <alignment vertical="center"/>
    </xf>
    <xf numFmtId="0" fontId="0" fillId="6" borderId="116" xfId="0" applyFill="1" applyBorder="1" applyAlignment="1">
      <alignment vertical="center"/>
    </xf>
    <xf numFmtId="4" fontId="5" fillId="6" borderId="131" xfId="0" applyNumberFormat="1" applyFont="1" applyFill="1" applyBorder="1" applyAlignment="1">
      <alignment vertical="center"/>
    </xf>
    <xf numFmtId="0" fontId="23" fillId="6" borderId="73" xfId="0" applyFont="1" applyFill="1" applyBorder="1" applyAlignment="1">
      <alignment vertical="center"/>
    </xf>
    <xf numFmtId="4" fontId="0" fillId="6" borderId="131" xfId="0" applyNumberFormat="1" applyFill="1" applyBorder="1" applyAlignment="1">
      <alignment vertical="center"/>
    </xf>
    <xf numFmtId="0" fontId="5" fillId="6" borderId="116" xfId="0" applyFont="1" applyFill="1" applyBorder="1" applyAlignment="1">
      <alignment vertical="center"/>
    </xf>
    <xf numFmtId="4" fontId="5" fillId="6" borderId="73" xfId="0" applyNumberFormat="1" applyFont="1" applyFill="1" applyBorder="1" applyAlignment="1">
      <alignment vertical="center"/>
    </xf>
    <xf numFmtId="0" fontId="6" fillId="6" borderId="67" xfId="0" applyFont="1" applyFill="1" applyBorder="1"/>
    <xf numFmtId="0" fontId="6" fillId="6" borderId="129" xfId="0" applyFont="1" applyFill="1" applyBorder="1"/>
    <xf numFmtId="4" fontId="6" fillId="6" borderId="88" xfId="0" applyNumberFormat="1" applyFont="1" applyFill="1" applyBorder="1" applyAlignment="1">
      <alignment vertical="center"/>
    </xf>
    <xf numFmtId="0" fontId="5" fillId="6" borderId="98" xfId="0" applyFont="1" applyFill="1" applyBorder="1"/>
    <xf numFmtId="0" fontId="5" fillId="6" borderId="132" xfId="0" applyFont="1" applyFill="1" applyBorder="1"/>
    <xf numFmtId="4" fontId="5" fillId="6" borderId="98" xfId="0" applyNumberFormat="1" applyFont="1" applyFill="1" applyBorder="1" applyAlignment="1">
      <alignment vertical="center"/>
    </xf>
    <xf numFmtId="4" fontId="5" fillId="0" borderId="132" xfId="0" applyNumberFormat="1" applyFont="1" applyBorder="1" applyAlignment="1">
      <alignment shrinkToFit="1"/>
    </xf>
    <xf numFmtId="4" fontId="5" fillId="0" borderId="133" xfId="0" applyNumberFormat="1" applyFont="1" applyBorder="1"/>
    <xf numFmtId="0" fontId="0" fillId="0" borderId="116" xfId="0" applyBorder="1" applyAlignment="1">
      <alignment vertical="center" wrapText="1"/>
    </xf>
    <xf numFmtId="0" fontId="23" fillId="0" borderId="88" xfId="0" applyFont="1" applyBorder="1" applyAlignment="1">
      <alignment vertical="center"/>
    </xf>
    <xf numFmtId="0" fontId="6" fillId="0" borderId="127" xfId="0" applyFont="1" applyBorder="1" applyAlignment="1">
      <alignment horizontal="left" vertical="center"/>
    </xf>
    <xf numFmtId="4" fontId="0" fillId="0" borderId="88" xfId="0" applyNumberFormat="1" applyBorder="1" applyAlignment="1">
      <alignment vertical="center"/>
    </xf>
    <xf numFmtId="4" fontId="5" fillId="0" borderId="110" xfId="0" applyNumberFormat="1" applyFont="1" applyBorder="1" applyAlignment="1">
      <alignment vertical="center"/>
    </xf>
    <xf numFmtId="0" fontId="23" fillId="6" borderId="109" xfId="0" applyFont="1" applyFill="1" applyBorder="1" applyAlignment="1">
      <alignment vertical="center"/>
    </xf>
    <xf numFmtId="0" fontId="1" fillId="6" borderId="126" xfId="0" applyFont="1" applyFill="1" applyBorder="1" applyAlignment="1">
      <alignment vertical="center"/>
    </xf>
    <xf numFmtId="4" fontId="0" fillId="6" borderId="109" xfId="0" applyNumberFormat="1" applyFill="1" applyBorder="1" applyAlignment="1">
      <alignment vertical="center"/>
    </xf>
    <xf numFmtId="0" fontId="23" fillId="6" borderId="88" xfId="0" applyFont="1" applyFill="1" applyBorder="1" applyAlignment="1">
      <alignment vertical="center"/>
    </xf>
    <xf numFmtId="0" fontId="6" fillId="6" borderId="127" xfId="0" applyFont="1" applyFill="1" applyBorder="1" applyAlignment="1">
      <alignment horizontal="left" vertical="center"/>
    </xf>
    <xf numFmtId="4" fontId="10" fillId="0" borderId="88" xfId="0" applyNumberFormat="1" applyFont="1" applyBorder="1" applyAlignment="1">
      <alignment vertical="center"/>
    </xf>
    <xf numFmtId="0" fontId="5" fillId="6" borderId="72" xfId="0" applyFont="1" applyFill="1" applyBorder="1" applyAlignment="1">
      <alignment vertical="center"/>
    </xf>
    <xf numFmtId="0" fontId="5" fillId="6" borderId="125" xfId="0" applyFont="1" applyFill="1" applyBorder="1" applyAlignment="1">
      <alignment vertical="center"/>
    </xf>
    <xf numFmtId="4" fontId="5" fillId="6" borderId="72" xfId="0" applyNumberFormat="1" applyFont="1" applyFill="1" applyBorder="1" applyAlignment="1">
      <alignment vertical="center"/>
    </xf>
    <xf numFmtId="0" fontId="1" fillId="0" borderId="134" xfId="0" applyFont="1" applyBorder="1"/>
    <xf numFmtId="0" fontId="6" fillId="0" borderId="127" xfId="0" applyFont="1" applyBorder="1" applyAlignment="1">
      <alignment vertical="center"/>
    </xf>
    <xf numFmtId="0" fontId="1" fillId="0" borderId="66" xfId="0" applyFont="1" applyBorder="1"/>
    <xf numFmtId="0" fontId="23" fillId="0" borderId="135" xfId="0" applyFont="1" applyBorder="1" applyAlignment="1">
      <alignment vertical="center"/>
    </xf>
    <xf numFmtId="0" fontId="1" fillId="0" borderId="98" xfId="0" applyFont="1" applyBorder="1" applyAlignment="1">
      <alignment vertical="center"/>
    </xf>
    <xf numFmtId="0" fontId="5" fillId="0" borderId="105" xfId="0" applyFont="1" applyBorder="1" applyAlignment="1">
      <alignment vertical="center"/>
    </xf>
    <xf numFmtId="4" fontId="5" fillId="0" borderId="69" xfId="0" applyNumberFormat="1" applyFont="1" applyBorder="1" applyAlignment="1">
      <alignment vertical="center"/>
    </xf>
    <xf numFmtId="0" fontId="1" fillId="0" borderId="136" xfId="0" applyFont="1" applyBorder="1"/>
    <xf numFmtId="0" fontId="23" fillId="0" borderId="105" xfId="0" applyFont="1" applyBorder="1" applyAlignment="1">
      <alignment vertical="center"/>
    </xf>
    <xf numFmtId="0" fontId="5" fillId="0" borderId="69" xfId="0" applyFont="1" applyBorder="1" applyAlignment="1">
      <alignment vertical="center"/>
    </xf>
    <xf numFmtId="0" fontId="5" fillId="0" borderId="114" xfId="0" applyFont="1" applyBorder="1" applyAlignment="1">
      <alignment vertical="center"/>
    </xf>
    <xf numFmtId="4" fontId="5" fillId="0" borderId="114" xfId="0" applyNumberFormat="1" applyFont="1" applyBorder="1" applyAlignment="1">
      <alignment vertical="center"/>
    </xf>
    <xf numFmtId="0" fontId="5" fillId="0" borderId="69" xfId="0" applyFont="1" applyBorder="1" applyAlignment="1">
      <alignment horizontal="right" vertical="center"/>
    </xf>
    <xf numFmtId="0" fontId="5" fillId="0" borderId="110" xfId="0" applyFont="1" applyBorder="1" applyAlignment="1">
      <alignment vertical="center"/>
    </xf>
    <xf numFmtId="0" fontId="23" fillId="0" borderId="110" xfId="0" applyFont="1" applyBorder="1" applyAlignment="1">
      <alignment vertical="center"/>
    </xf>
    <xf numFmtId="0" fontId="5" fillId="0" borderId="73" xfId="0" applyFont="1" applyBorder="1" applyAlignment="1">
      <alignment horizontal="right" vertical="center"/>
    </xf>
    <xf numFmtId="0" fontId="5" fillId="0" borderId="65" xfId="0" applyFont="1" applyBorder="1" applyAlignment="1">
      <alignment vertical="center"/>
    </xf>
    <xf numFmtId="0" fontId="23" fillId="0" borderId="69" xfId="0" applyFont="1" applyBorder="1" applyAlignment="1">
      <alignment vertical="center"/>
    </xf>
    <xf numFmtId="0" fontId="1" fillId="0" borderId="109" xfId="0" applyFont="1" applyBorder="1" applyAlignment="1">
      <alignment vertical="center"/>
    </xf>
    <xf numFmtId="4" fontId="1" fillId="0" borderId="88" xfId="0" applyNumberFormat="1" applyFont="1" applyBorder="1"/>
    <xf numFmtId="0" fontId="5" fillId="0" borderId="72" xfId="0" applyFont="1" applyBorder="1"/>
    <xf numFmtId="0" fontId="5" fillId="0" borderId="125" xfId="0" applyFont="1" applyBorder="1"/>
    <xf numFmtId="4" fontId="5" fillId="0" borderId="72" xfId="0" applyNumberFormat="1" applyFont="1" applyBorder="1"/>
    <xf numFmtId="4" fontId="0" fillId="0" borderId="72" xfId="0" applyNumberFormat="1" applyBorder="1"/>
    <xf numFmtId="0" fontId="0" fillId="0" borderId="116" xfId="0" applyBorder="1"/>
    <xf numFmtId="4" fontId="0" fillId="0" borderId="73" xfId="0" applyNumberFormat="1" applyBorder="1"/>
    <xf numFmtId="4" fontId="5" fillId="0" borderId="73" xfId="0" applyNumberFormat="1" applyFont="1" applyBorder="1"/>
    <xf numFmtId="0" fontId="1" fillId="0" borderId="116" xfId="0" applyFont="1" applyBorder="1" applyAlignment="1">
      <alignment vertical="center" wrapText="1"/>
    </xf>
    <xf numFmtId="0" fontId="23" fillId="0" borderId="73" xfId="0" applyFont="1" applyBorder="1" applyAlignment="1">
      <alignment horizontal="left" vertical="center"/>
    </xf>
    <xf numFmtId="4" fontId="0" fillId="0" borderId="137" xfId="0" applyNumberFormat="1" applyBorder="1"/>
    <xf numFmtId="0" fontId="5" fillId="0" borderId="98" xfId="0" applyFont="1" applyBorder="1" applyAlignment="1">
      <alignment vertical="center"/>
    </xf>
    <xf numFmtId="0" fontId="5" fillId="0" borderId="132" xfId="0" applyFont="1" applyBorder="1" applyAlignment="1">
      <alignment vertical="center"/>
    </xf>
    <xf numFmtId="4" fontId="5" fillId="0" borderId="98" xfId="0" applyNumberFormat="1" applyFont="1" applyBorder="1"/>
    <xf numFmtId="4" fontId="1" fillId="0" borderId="98" xfId="0" applyNumberFormat="1" applyFont="1" applyBorder="1"/>
    <xf numFmtId="4" fontId="5" fillId="0" borderId="138" xfId="0" applyNumberFormat="1" applyFont="1" applyBorder="1" applyAlignment="1">
      <alignment vertical="center" shrinkToFit="1"/>
    </xf>
    <xf numFmtId="4" fontId="1" fillId="0" borderId="73" xfId="0" applyNumberFormat="1" applyFont="1" applyBorder="1"/>
    <xf numFmtId="4" fontId="0" fillId="0" borderId="90" xfId="0" applyNumberFormat="1" applyBorder="1"/>
    <xf numFmtId="0" fontId="6" fillId="0" borderId="67" xfId="0" applyFont="1" applyBorder="1"/>
    <xf numFmtId="0" fontId="5" fillId="0" borderId="115" xfId="0" applyFont="1" applyBorder="1" applyAlignment="1">
      <alignment vertical="center"/>
    </xf>
    <xf numFmtId="4" fontId="5" fillId="0" borderId="90" xfId="0" applyNumberFormat="1" applyFont="1" applyBorder="1"/>
    <xf numFmtId="0" fontId="1" fillId="0" borderId="115" xfId="0" applyFont="1" applyBorder="1" applyAlignment="1">
      <alignment vertical="center"/>
    </xf>
    <xf numFmtId="4" fontId="0" fillId="0" borderId="139" xfId="0" applyNumberFormat="1" applyBorder="1"/>
    <xf numFmtId="0" fontId="23" fillId="0" borderId="98" xfId="0" applyFont="1" applyBorder="1" applyAlignment="1" applyProtection="1">
      <alignment vertical="center"/>
      <protection locked="0"/>
    </xf>
    <xf numFmtId="0" fontId="0" fillId="0" borderId="98" xfId="0" applyBorder="1" applyAlignment="1" applyProtection="1">
      <alignment vertical="center"/>
      <protection locked="0"/>
    </xf>
    <xf numFmtId="0" fontId="23" fillId="0" borderId="140" xfId="0" applyFont="1" applyBorder="1" applyAlignment="1" applyProtection="1">
      <alignment vertical="center"/>
      <protection locked="0"/>
    </xf>
    <xf numFmtId="0" fontId="0" fillId="0" borderId="141" xfId="0" applyBorder="1" applyAlignment="1" applyProtection="1">
      <alignment vertical="center"/>
      <protection locked="0"/>
    </xf>
    <xf numFmtId="4" fontId="0" fillId="0" borderId="140" xfId="0" applyNumberFormat="1" applyBorder="1" applyAlignment="1">
      <alignment vertical="center"/>
    </xf>
    <xf numFmtId="0" fontId="1" fillId="0" borderId="109" xfId="0" applyFont="1" applyBorder="1"/>
    <xf numFmtId="0" fontId="5" fillId="0" borderId="88" xfId="0" applyFont="1" applyBorder="1" applyAlignment="1">
      <alignment vertical="center"/>
    </xf>
    <xf numFmtId="0" fontId="15" fillId="0" borderId="127" xfId="0" applyFont="1" applyBorder="1" applyAlignment="1">
      <alignment vertical="center"/>
    </xf>
    <xf numFmtId="4" fontId="7" fillId="0" borderId="88" xfId="0" applyNumberFormat="1" applyFont="1" applyBorder="1" applyAlignment="1">
      <alignment vertical="center"/>
    </xf>
    <xf numFmtId="4" fontId="15" fillId="0" borderId="88" xfId="0" applyNumberFormat="1" applyFont="1" applyBorder="1" applyAlignment="1">
      <alignment vertical="center"/>
    </xf>
    <xf numFmtId="4" fontId="18" fillId="0" borderId="88" xfId="0" applyNumberFormat="1" applyFont="1" applyBorder="1" applyAlignment="1">
      <alignment vertical="center"/>
    </xf>
    <xf numFmtId="4" fontId="15" fillId="0" borderId="67" xfId="0" applyNumberFormat="1" applyFont="1" applyBorder="1" applyAlignment="1">
      <alignment vertical="center" shrinkToFit="1"/>
    </xf>
    <xf numFmtId="0" fontId="8" fillId="0" borderId="91" xfId="0" applyFont="1" applyBorder="1" applyAlignment="1">
      <alignment horizontal="right" vertical="center"/>
    </xf>
    <xf numFmtId="0" fontId="5" fillId="0" borderId="92" xfId="0" applyFont="1" applyBorder="1" applyAlignment="1">
      <alignment vertical="center" wrapText="1"/>
    </xf>
    <xf numFmtId="0" fontId="6" fillId="0" borderId="117" xfId="0" applyFont="1" applyBorder="1"/>
    <xf numFmtId="0" fontId="6" fillId="0" borderId="65" xfId="0" applyFont="1" applyBorder="1"/>
    <xf numFmtId="2" fontId="6" fillId="0" borderId="75" xfId="0" applyNumberFormat="1" applyFont="1" applyBorder="1"/>
    <xf numFmtId="4" fontId="10" fillId="0" borderId="0" xfId="0" applyNumberFormat="1" applyFont="1"/>
    <xf numFmtId="4" fontId="7" fillId="0" borderId="77" xfId="0" applyNumberFormat="1" applyFont="1" applyBorder="1" applyAlignment="1">
      <alignment vertical="center"/>
    </xf>
    <xf numFmtId="4" fontId="15" fillId="0" borderId="77" xfId="0" applyNumberFormat="1" applyFont="1" applyBorder="1" applyAlignment="1">
      <alignment vertical="center"/>
    </xf>
    <xf numFmtId="0" fontId="5" fillId="0" borderId="99" xfId="0" applyFont="1" applyBorder="1"/>
    <xf numFmtId="0" fontId="5" fillId="0" borderId="142" xfId="0" applyFont="1" applyBorder="1" applyAlignment="1">
      <alignment vertical="center" wrapText="1"/>
    </xf>
    <xf numFmtId="0" fontId="5" fillId="0" borderId="75" xfId="0" applyFont="1" applyBorder="1"/>
    <xf numFmtId="0" fontId="6" fillId="0" borderId="77" xfId="0" applyFont="1" applyBorder="1" applyAlignment="1">
      <alignment vertical="center"/>
    </xf>
    <xf numFmtId="0" fontId="15" fillId="0" borderId="119" xfId="0" applyFont="1" applyBorder="1" applyAlignment="1">
      <alignment vertical="center"/>
    </xf>
    <xf numFmtId="4" fontId="7" fillId="0" borderId="143" xfId="0" applyNumberFormat="1" applyFont="1" applyBorder="1" applyAlignment="1">
      <alignment vertical="center"/>
    </xf>
    <xf numFmtId="4" fontId="15" fillId="0" borderId="143" xfId="0" applyNumberFormat="1" applyFont="1" applyBorder="1" applyAlignment="1">
      <alignment vertical="center"/>
    </xf>
    <xf numFmtId="4" fontId="1" fillId="0" borderId="143" xfId="0" applyNumberFormat="1" applyFont="1" applyBorder="1" applyAlignment="1">
      <alignment vertical="center"/>
    </xf>
    <xf numFmtId="0" fontId="5" fillId="0" borderId="95" xfId="0" applyFont="1" applyBorder="1"/>
    <xf numFmtId="0" fontId="1" fillId="0" borderId="96" xfId="0" applyFont="1" applyBorder="1"/>
    <xf numFmtId="0" fontId="5" fillId="0" borderId="105" xfId="0" applyFont="1" applyBorder="1"/>
    <xf numFmtId="0" fontId="1" fillId="0" borderId="106" xfId="0" applyFont="1" applyBorder="1"/>
    <xf numFmtId="4" fontId="0" fillId="0" borderId="75" xfId="0" applyNumberFormat="1" applyBorder="1"/>
    <xf numFmtId="4" fontId="15" fillId="0" borderId="88" xfId="0" applyNumberFormat="1" applyFont="1" applyBorder="1"/>
    <xf numFmtId="0" fontId="5" fillId="0" borderId="117" xfId="0" applyFont="1" applyBorder="1" applyAlignment="1">
      <alignment vertical="center"/>
    </xf>
    <xf numFmtId="0" fontId="5" fillId="0" borderId="108" xfId="0" applyFont="1" applyBorder="1" applyAlignment="1">
      <alignment vertical="center"/>
    </xf>
    <xf numFmtId="0" fontId="15" fillId="0" borderId="88" xfId="0" applyFont="1" applyBorder="1"/>
    <xf numFmtId="4" fontId="18" fillId="0" borderId="88" xfId="0" applyNumberFormat="1" applyFont="1" applyBorder="1"/>
    <xf numFmtId="0" fontId="5" fillId="0" borderId="131" xfId="0" applyFont="1" applyBorder="1" applyAlignment="1">
      <alignment vertical="center"/>
    </xf>
    <xf numFmtId="0" fontId="5" fillId="0" borderId="64" xfId="0" applyFont="1" applyBorder="1" applyAlignment="1">
      <alignment vertical="center"/>
    </xf>
    <xf numFmtId="0" fontId="5" fillId="0" borderId="109" xfId="0" applyFont="1" applyBorder="1" applyAlignment="1">
      <alignment vertical="center"/>
    </xf>
    <xf numFmtId="4" fontId="5" fillId="0" borderId="117" xfId="0" applyNumberFormat="1" applyFont="1" applyBorder="1" applyAlignment="1">
      <alignment vertical="center"/>
    </xf>
    <xf numFmtId="2" fontId="5" fillId="0" borderId="89" xfId="0" applyNumberFormat="1" applyFont="1" applyBorder="1"/>
    <xf numFmtId="0" fontId="15" fillId="0" borderId="127" xfId="0" applyFont="1" applyBorder="1" applyAlignment="1">
      <alignment wrapText="1"/>
    </xf>
    <xf numFmtId="4" fontId="46" fillId="0" borderId="88" xfId="0" applyNumberFormat="1" applyFont="1" applyBorder="1"/>
    <xf numFmtId="0" fontId="6" fillId="0" borderId="127" xfId="0" applyFont="1" applyBorder="1" applyAlignment="1">
      <alignment wrapText="1"/>
    </xf>
    <xf numFmtId="4" fontId="0" fillId="0" borderId="88" xfId="0" applyNumberFormat="1" applyBorder="1"/>
    <xf numFmtId="0" fontId="5" fillId="0" borderId="132" xfId="0" applyFont="1" applyBorder="1" applyAlignment="1">
      <alignment vertical="center" wrapText="1"/>
    </xf>
    <xf numFmtId="4" fontId="0" fillId="0" borderId="72" xfId="0" applyNumberFormat="1" applyBorder="1" applyAlignment="1">
      <alignment vertical="center"/>
    </xf>
    <xf numFmtId="0" fontId="4" fillId="0" borderId="116" xfId="0" applyFont="1" applyBorder="1" applyAlignment="1">
      <alignment vertical="center" wrapText="1"/>
    </xf>
    <xf numFmtId="4" fontId="4" fillId="0" borderId="73" xfId="0" applyNumberFormat="1" applyFont="1" applyBorder="1" applyAlignment="1">
      <alignment vertical="center"/>
    </xf>
    <xf numFmtId="4" fontId="4" fillId="0" borderId="98" xfId="0" applyNumberFormat="1" applyFont="1" applyBorder="1" applyAlignment="1">
      <alignment vertical="center"/>
    </xf>
    <xf numFmtId="0" fontId="31" fillId="0" borderId="116" xfId="0" applyFont="1" applyBorder="1" applyAlignment="1">
      <alignment vertical="center" wrapText="1"/>
    </xf>
    <xf numFmtId="4" fontId="33" fillId="0" borderId="73" xfId="0" applyNumberFormat="1" applyFont="1" applyBorder="1" applyAlignment="1">
      <alignment vertical="center"/>
    </xf>
    <xf numFmtId="0" fontId="5" fillId="0" borderId="116" xfId="0" applyFont="1" applyBorder="1" applyAlignment="1">
      <alignment vertical="center" wrapText="1"/>
    </xf>
    <xf numFmtId="4" fontId="33" fillId="0" borderId="98" xfId="0" applyNumberFormat="1" applyFont="1" applyBorder="1" applyAlignment="1">
      <alignment vertical="center"/>
    </xf>
    <xf numFmtId="0" fontId="5" fillId="0" borderId="65" xfId="0" applyFont="1" applyBorder="1" applyAlignment="1">
      <alignment vertical="center" wrapText="1"/>
    </xf>
    <xf numFmtId="4" fontId="33" fillId="0" borderId="69" xfId="0" applyNumberFormat="1" applyFont="1" applyBorder="1" applyAlignment="1">
      <alignment vertical="center"/>
    </xf>
    <xf numFmtId="4" fontId="47" fillId="0" borderId="88" xfId="0" applyNumberFormat="1" applyFont="1" applyBorder="1"/>
    <xf numFmtId="49" fontId="5" fillId="0" borderId="98" xfId="0" applyNumberFormat="1" applyFont="1" applyBorder="1" applyAlignment="1">
      <alignment horizontal="right" vertical="center"/>
    </xf>
    <xf numFmtId="2" fontId="5" fillId="0" borderId="132" xfId="0" applyNumberFormat="1" applyFont="1" applyBorder="1" applyAlignment="1">
      <alignment vertical="center" wrapText="1"/>
    </xf>
    <xf numFmtId="49" fontId="1" fillId="0" borderId="73" xfId="0" applyNumberFormat="1" applyFont="1" applyBorder="1" applyAlignment="1">
      <alignment horizontal="right" vertical="center"/>
    </xf>
    <xf numFmtId="2" fontId="1" fillId="0" borderId="116" xfId="0" applyNumberFormat="1" applyFont="1" applyBorder="1" applyAlignment="1">
      <alignment vertical="center" wrapText="1"/>
    </xf>
    <xf numFmtId="49" fontId="5" fillId="0" borderId="73" xfId="0" applyNumberFormat="1" applyFont="1" applyBorder="1" applyAlignment="1">
      <alignment horizontal="right" vertical="center"/>
    </xf>
    <xf numFmtId="2" fontId="5" fillId="0" borderId="116" xfId="0" applyNumberFormat="1" applyFont="1" applyBorder="1" applyAlignment="1">
      <alignment vertical="center" wrapText="1"/>
    </xf>
    <xf numFmtId="2" fontId="20" fillId="0" borderId="116" xfId="0" applyNumberFormat="1" applyFont="1" applyBorder="1" applyAlignment="1">
      <alignment vertical="center" wrapText="1"/>
    </xf>
    <xf numFmtId="49" fontId="1" fillId="0" borderId="69" xfId="0" applyNumberFormat="1" applyFont="1" applyBorder="1" applyAlignment="1">
      <alignment horizontal="right" vertical="center"/>
    </xf>
    <xf numFmtId="2" fontId="1" fillId="0" borderId="65" xfId="0" applyNumberFormat="1" applyFont="1" applyBorder="1" applyAlignment="1">
      <alignment vertical="center" wrapText="1"/>
    </xf>
    <xf numFmtId="4" fontId="4" fillId="0" borderId="69" xfId="0" applyNumberFormat="1" applyFont="1" applyBorder="1" applyAlignment="1">
      <alignment vertical="center"/>
    </xf>
    <xf numFmtId="4" fontId="47" fillId="0" borderId="88" xfId="0" applyNumberFormat="1" applyFont="1" applyBorder="1" applyAlignment="1">
      <alignment vertical="center" shrinkToFit="1"/>
    </xf>
    <xf numFmtId="4" fontId="6" fillId="0" borderId="88" xfId="0" applyNumberFormat="1" applyFont="1" applyBorder="1" applyAlignment="1">
      <alignment vertical="center" shrinkToFit="1"/>
    </xf>
    <xf numFmtId="4" fontId="10" fillId="0" borderId="88" xfId="0" applyNumberFormat="1" applyFont="1" applyBorder="1" applyAlignment="1">
      <alignment vertical="center" shrinkToFit="1"/>
    </xf>
    <xf numFmtId="4" fontId="33" fillId="0" borderId="98" xfId="0" applyNumberFormat="1" applyFont="1" applyBorder="1" applyAlignment="1">
      <alignment vertical="center" shrinkToFit="1"/>
    </xf>
    <xf numFmtId="0" fontId="1" fillId="0" borderId="126" xfId="0" applyFont="1" applyBorder="1" applyAlignment="1">
      <alignment vertical="center" wrapText="1"/>
    </xf>
    <xf numFmtId="0" fontId="1" fillId="0" borderId="75" xfId="0" applyFont="1" applyBorder="1"/>
    <xf numFmtId="4" fontId="48" fillId="0" borderId="67" xfId="0" applyNumberFormat="1" applyFont="1" applyBorder="1" applyAlignment="1">
      <alignment vertical="center"/>
    </xf>
    <xf numFmtId="4" fontId="15" fillId="0" borderId="67" xfId="0" applyNumberFormat="1" applyFont="1" applyBorder="1" applyAlignment="1">
      <alignment vertical="center"/>
    </xf>
    <xf numFmtId="4" fontId="18" fillId="0" borderId="67" xfId="0" applyNumberFormat="1" applyFont="1" applyBorder="1" applyAlignment="1">
      <alignment vertical="center"/>
    </xf>
    <xf numFmtId="4" fontId="33" fillId="0" borderId="144" xfId="0" applyNumberFormat="1" applyFont="1" applyBorder="1" applyAlignment="1">
      <alignment vertical="center"/>
    </xf>
    <xf numFmtId="4" fontId="4" fillId="0" borderId="91" xfId="0" applyNumberFormat="1" applyFont="1" applyBorder="1" applyAlignment="1">
      <alignment horizontal="right" vertical="center" wrapText="1"/>
    </xf>
    <xf numFmtId="49" fontId="0" fillId="0" borderId="91" xfId="0" applyNumberFormat="1" applyBorder="1" applyAlignment="1">
      <alignment horizontal="right" vertical="center" wrapText="1"/>
    </xf>
    <xf numFmtId="0" fontId="1" fillId="0" borderId="119" xfId="0" applyFont="1" applyBorder="1" applyAlignment="1">
      <alignment vertical="center" wrapText="1"/>
    </xf>
    <xf numFmtId="4" fontId="4" fillId="0" borderId="101" xfId="0" applyNumberFormat="1" applyFont="1" applyBorder="1" applyAlignment="1">
      <alignment vertical="center"/>
    </xf>
    <xf numFmtId="4" fontId="48" fillId="0" borderId="88" xfId="0" applyNumberFormat="1" applyFont="1" applyBorder="1"/>
    <xf numFmtId="0" fontId="5" fillId="0" borderId="70" xfId="0" applyFont="1" applyBorder="1" applyAlignment="1">
      <alignment horizontal="right" vertical="center"/>
    </xf>
    <xf numFmtId="4" fontId="33" fillId="0" borderId="145" xfId="0" applyNumberFormat="1" applyFont="1" applyBorder="1" applyAlignment="1">
      <alignment vertical="center"/>
    </xf>
    <xf numFmtId="4" fontId="33" fillId="0" borderId="146" xfId="0" applyNumberFormat="1" applyFont="1" applyBorder="1" applyAlignment="1">
      <alignment vertical="center"/>
    </xf>
    <xf numFmtId="0" fontId="20" fillId="0" borderId="96" xfId="0" applyFont="1" applyBorder="1" applyAlignment="1">
      <alignment vertical="center" wrapText="1"/>
    </xf>
    <xf numFmtId="4" fontId="4" fillId="0" borderId="144" xfId="0" applyNumberFormat="1" applyFont="1" applyBorder="1" applyAlignment="1">
      <alignment vertical="center"/>
    </xf>
    <xf numFmtId="0" fontId="32" fillId="0" borderId="96" xfId="0" applyFont="1" applyBorder="1" applyAlignment="1">
      <alignment vertical="center" wrapText="1"/>
    </xf>
    <xf numFmtId="4" fontId="0" fillId="0" borderId="144" xfId="0" applyNumberFormat="1" applyBorder="1" applyAlignment="1">
      <alignment vertical="center"/>
    </xf>
    <xf numFmtId="4" fontId="5" fillId="0" borderId="144" xfId="0" applyNumberFormat="1" applyFont="1" applyBorder="1" applyAlignment="1">
      <alignment vertical="center"/>
    </xf>
    <xf numFmtId="0" fontId="5" fillId="0" borderId="100" xfId="0" applyFont="1" applyBorder="1"/>
    <xf numFmtId="4" fontId="0" fillId="0" borderId="147" xfId="0" applyNumberFormat="1" applyBorder="1" applyAlignment="1">
      <alignment vertical="center"/>
    </xf>
    <xf numFmtId="4" fontId="0" fillId="0" borderId="89" xfId="0" applyNumberFormat="1" applyBorder="1" applyAlignment="1">
      <alignment vertical="center"/>
    </xf>
    <xf numFmtId="4" fontId="15" fillId="0" borderId="117" xfId="0" applyNumberFormat="1" applyFont="1" applyBorder="1" applyAlignment="1">
      <alignment shrinkToFit="1"/>
    </xf>
    <xf numFmtId="4" fontId="1" fillId="0" borderId="117" xfId="0" applyNumberFormat="1" applyFont="1" applyBorder="1" applyAlignment="1">
      <alignment shrinkToFit="1"/>
    </xf>
    <xf numFmtId="0" fontId="5" fillId="0" borderId="69" xfId="0" applyFont="1" applyBorder="1"/>
    <xf numFmtId="0" fontId="5" fillId="0" borderId="65" xfId="0" applyFont="1" applyBorder="1"/>
    <xf numFmtId="0" fontId="20" fillId="0" borderId="92" xfId="0" applyFont="1" applyBorder="1" applyAlignment="1">
      <alignment vertical="center" wrapText="1"/>
    </xf>
    <xf numFmtId="0" fontId="6" fillId="0" borderId="91" xfId="0" applyFont="1" applyBorder="1"/>
    <xf numFmtId="4" fontId="5" fillId="6" borderId="69" xfId="0" applyNumberFormat="1" applyFont="1" applyFill="1" applyBorder="1" applyAlignment="1">
      <alignment vertical="center"/>
    </xf>
    <xf numFmtId="4" fontId="0" fillId="0" borderId="77" xfId="0" applyNumberFormat="1" applyBorder="1" applyAlignment="1">
      <alignment shrinkToFit="1"/>
    </xf>
    <xf numFmtId="4" fontId="10" fillId="0" borderId="77" xfId="0" applyNumberFormat="1" applyFont="1" applyBorder="1"/>
    <xf numFmtId="0" fontId="5" fillId="0" borderId="107" xfId="0" applyFont="1" applyBorder="1" applyAlignment="1">
      <alignment vertical="center"/>
    </xf>
    <xf numFmtId="4" fontId="5" fillId="0" borderId="148" xfId="0" applyNumberFormat="1" applyFont="1" applyBorder="1" applyAlignment="1">
      <alignment vertical="center"/>
    </xf>
    <xf numFmtId="0" fontId="1" fillId="0" borderId="108" xfId="0" applyFont="1" applyBorder="1" applyAlignment="1">
      <alignment vertical="center" wrapText="1"/>
    </xf>
    <xf numFmtId="0" fontId="5" fillId="0" borderId="101" xfId="0" applyFont="1" applyBorder="1" applyAlignment="1">
      <alignment vertical="center"/>
    </xf>
    <xf numFmtId="4" fontId="1" fillId="0" borderId="123" xfId="0" applyNumberFormat="1" applyFont="1" applyBorder="1"/>
    <xf numFmtId="0" fontId="15" fillId="0" borderId="118" xfId="0" applyFont="1" applyBorder="1" applyAlignment="1">
      <alignment vertical="center"/>
    </xf>
    <xf numFmtId="4" fontId="7" fillId="0" borderId="101" xfId="0" applyNumberFormat="1" applyFont="1" applyBorder="1" applyAlignment="1">
      <alignment vertical="center"/>
    </xf>
    <xf numFmtId="4" fontId="15" fillId="0" borderId="101" xfId="0" applyNumberFormat="1" applyFont="1" applyBorder="1" applyAlignment="1">
      <alignment vertical="center"/>
    </xf>
    <xf numFmtId="4" fontId="18" fillId="0" borderId="101" xfId="0" applyNumberFormat="1" applyFont="1" applyBorder="1" applyAlignment="1">
      <alignment vertical="center"/>
    </xf>
    <xf numFmtId="4" fontId="5" fillId="0" borderId="91" xfId="0" applyNumberFormat="1" applyFont="1" applyBorder="1" applyAlignment="1">
      <alignment horizontal="right" vertical="center"/>
    </xf>
    <xf numFmtId="4" fontId="0" fillId="0" borderId="91" xfId="0" applyNumberFormat="1" applyBorder="1" applyAlignment="1">
      <alignment horizontal="right" vertical="center"/>
    </xf>
    <xf numFmtId="4" fontId="0" fillId="0" borderId="148" xfId="0" applyNumberFormat="1" applyBorder="1" applyAlignment="1">
      <alignment vertical="center"/>
    </xf>
    <xf numFmtId="0" fontId="20" fillId="0" borderId="106" xfId="0" applyFont="1" applyBorder="1" applyAlignment="1">
      <alignment vertical="center" wrapText="1"/>
    </xf>
    <xf numFmtId="4" fontId="0" fillId="0" borderId="148" xfId="0" applyNumberFormat="1" applyBorder="1"/>
    <xf numFmtId="0" fontId="1" fillId="0" borderId="119" xfId="0" applyFont="1" applyBorder="1" applyAlignment="1">
      <alignment vertical="center"/>
    </xf>
    <xf numFmtId="0" fontId="5" fillId="0" borderId="149" xfId="0" applyFont="1" applyBorder="1" applyAlignment="1">
      <alignment vertical="center"/>
    </xf>
    <xf numFmtId="0" fontId="1" fillId="0" borderId="117" xfId="0" applyFont="1" applyBorder="1" applyAlignment="1">
      <alignment vertical="center"/>
    </xf>
    <xf numFmtId="0" fontId="1" fillId="0" borderId="102" xfId="0" applyFont="1" applyBorder="1"/>
    <xf numFmtId="4" fontId="7" fillId="0" borderId="117" xfId="0" applyNumberFormat="1" applyFont="1" applyBorder="1" applyAlignment="1">
      <alignment vertical="center"/>
    </xf>
    <xf numFmtId="4" fontId="1" fillId="0" borderId="117" xfId="0" applyNumberFormat="1" applyFont="1" applyBorder="1" applyAlignment="1">
      <alignment vertical="center"/>
    </xf>
    <xf numFmtId="0" fontId="1" fillId="0" borderId="143" xfId="0" applyFont="1" applyBorder="1" applyAlignment="1">
      <alignment vertical="center"/>
    </xf>
    <xf numFmtId="0" fontId="6" fillId="0" borderId="150" xfId="0" applyFont="1" applyBorder="1"/>
    <xf numFmtId="4" fontId="6" fillId="0" borderId="143" xfId="0" applyNumberFormat="1" applyFont="1" applyBorder="1" applyAlignment="1">
      <alignment vertical="center"/>
    </xf>
    <xf numFmtId="4" fontId="10" fillId="0" borderId="143" xfId="0" applyNumberFormat="1" applyFont="1" applyBorder="1" applyAlignment="1">
      <alignment vertical="center"/>
    </xf>
    <xf numFmtId="0" fontId="20" fillId="0" borderId="72" xfId="0" applyFont="1" applyBorder="1" applyAlignment="1" applyProtection="1">
      <alignment horizontal="right" vertical="center"/>
      <protection locked="0"/>
    </xf>
    <xf numFmtId="0" fontId="0" fillId="0" borderId="125" xfId="0" applyBorder="1" applyAlignment="1" applyProtection="1">
      <alignment vertical="center"/>
      <protection locked="0"/>
    </xf>
    <xf numFmtId="0" fontId="5" fillId="0" borderId="75" xfId="0" applyFont="1" applyBorder="1" applyAlignment="1">
      <alignment vertical="center"/>
    </xf>
    <xf numFmtId="0" fontId="5" fillId="0" borderId="126" xfId="0" applyFont="1" applyBorder="1" applyAlignment="1">
      <alignment vertical="center"/>
    </xf>
    <xf numFmtId="0" fontId="1" fillId="0" borderId="110" xfId="0" applyFont="1" applyBorder="1"/>
    <xf numFmtId="0" fontId="15" fillId="0" borderId="77" xfId="0" applyFont="1" applyBorder="1" applyAlignment="1">
      <alignment horizontal="center" vertical="center"/>
    </xf>
    <xf numFmtId="0" fontId="5" fillId="0" borderId="143" xfId="0" applyFont="1" applyBorder="1" applyAlignment="1">
      <alignment horizontal="right" vertical="center"/>
    </xf>
    <xf numFmtId="49" fontId="5" fillId="0" borderId="120" xfId="0" applyNumberFormat="1" applyFont="1" applyBorder="1" applyAlignment="1">
      <alignment vertical="center" wrapText="1"/>
    </xf>
    <xf numFmtId="0" fontId="31" fillId="0" borderId="96" xfId="0" applyFont="1" applyBorder="1" applyAlignment="1">
      <alignment vertical="center" wrapText="1"/>
    </xf>
    <xf numFmtId="4" fontId="31" fillId="0" borderId="95" xfId="0" applyNumberFormat="1" applyFont="1" applyBorder="1" applyAlignment="1">
      <alignment vertical="center"/>
    </xf>
    <xf numFmtId="4" fontId="37" fillId="0" borderId="95" xfId="0" applyNumberFormat="1" applyFont="1" applyBorder="1" applyAlignment="1">
      <alignment vertical="center"/>
    </xf>
    <xf numFmtId="4" fontId="31" fillId="0" borderId="73" xfId="0" applyNumberFormat="1" applyFont="1" applyBorder="1" applyAlignment="1">
      <alignment vertical="center" shrinkToFit="1"/>
    </xf>
    <xf numFmtId="4" fontId="31" fillId="0" borderId="80" xfId="0" applyNumberFormat="1" applyFont="1" applyBorder="1" applyAlignment="1">
      <alignment vertical="center" shrinkToFit="1"/>
    </xf>
    <xf numFmtId="4" fontId="31" fillId="0" borderId="97" xfId="0" applyNumberFormat="1" applyFont="1" applyBorder="1" applyAlignment="1">
      <alignment vertical="center"/>
    </xf>
    <xf numFmtId="0" fontId="37" fillId="0" borderId="96" xfId="0" applyFont="1" applyBorder="1" applyAlignment="1">
      <alignment vertical="center"/>
    </xf>
    <xf numFmtId="4" fontId="37" fillId="0" borderId="73" xfId="0" applyNumberFormat="1" applyFont="1" applyBorder="1" applyAlignment="1">
      <alignment vertical="center" shrinkToFit="1"/>
    </xf>
    <xf numFmtId="4" fontId="37" fillId="0" borderId="80" xfId="0" applyNumberFormat="1" applyFont="1" applyBorder="1" applyAlignment="1">
      <alignment vertical="center" shrinkToFit="1"/>
    </xf>
    <xf numFmtId="4" fontId="37" fillId="0" borderId="97" xfId="0" applyNumberFormat="1" applyFont="1" applyBorder="1" applyAlignment="1">
      <alignment vertical="center"/>
    </xf>
    <xf numFmtId="49" fontId="0" fillId="6" borderId="96" xfId="0" applyNumberFormat="1" applyFill="1" applyBorder="1" applyAlignment="1">
      <alignment vertical="center" wrapText="1"/>
    </xf>
    <xf numFmtId="4" fontId="0" fillId="0" borderId="95" xfId="0" applyNumberFormat="1" applyBorder="1" applyAlignment="1">
      <alignment horizontal="right" vertical="center"/>
    </xf>
    <xf numFmtId="0" fontId="49" fillId="0" borderId="0" xfId="0" applyFont="1"/>
    <xf numFmtId="49" fontId="37" fillId="6" borderId="96" xfId="0" applyNumberFormat="1" applyFont="1" applyFill="1" applyBorder="1" applyAlignment="1">
      <alignment vertical="center" wrapText="1"/>
    </xf>
    <xf numFmtId="4" fontId="37" fillId="6" borderId="95" xfId="0" applyNumberFormat="1" applyFont="1" applyFill="1" applyBorder="1" applyAlignment="1">
      <alignment horizontal="right" vertical="center"/>
    </xf>
    <xf numFmtId="4" fontId="24" fillId="0" borderId="0" xfId="0" applyNumberFormat="1" applyFont="1"/>
    <xf numFmtId="0" fontId="37" fillId="6" borderId="92" xfId="0" applyFont="1" applyFill="1" applyBorder="1" applyAlignment="1">
      <alignment vertical="center" wrapText="1"/>
    </xf>
    <xf numFmtId="4" fontId="37" fillId="6" borderId="95" xfId="0" applyNumberFormat="1" applyFont="1" applyFill="1" applyBorder="1" applyAlignment="1">
      <alignment vertical="center"/>
    </xf>
    <xf numFmtId="0" fontId="31" fillId="6" borderId="92" xfId="0" applyFont="1" applyFill="1" applyBorder="1" applyAlignment="1">
      <alignment vertical="center"/>
    </xf>
    <xf numFmtId="4" fontId="31" fillId="6" borderId="95" xfId="0" applyNumberFormat="1" applyFont="1" applyFill="1" applyBorder="1" applyAlignment="1">
      <alignment vertical="center"/>
    </xf>
    <xf numFmtId="0" fontId="37" fillId="6" borderId="96" xfId="0" applyFont="1" applyFill="1" applyBorder="1" applyAlignment="1">
      <alignment vertical="center"/>
    </xf>
    <xf numFmtId="4" fontId="37" fillId="6" borderId="91" xfId="0" applyNumberFormat="1" applyFont="1" applyFill="1" applyBorder="1" applyAlignment="1">
      <alignment vertical="center"/>
    </xf>
    <xf numFmtId="49" fontId="0" fillId="6" borderId="92" xfId="0" applyNumberFormat="1" applyFill="1" applyBorder="1" applyAlignment="1">
      <alignment vertical="center"/>
    </xf>
    <xf numFmtId="4" fontId="0" fillId="0" borderId="95" xfId="0" applyNumberFormat="1" applyBorder="1"/>
    <xf numFmtId="0" fontId="37" fillId="6" borderId="96" xfId="0" applyFont="1" applyFill="1" applyBorder="1" applyAlignment="1">
      <alignment vertical="center" wrapText="1"/>
    </xf>
    <xf numFmtId="4" fontId="37" fillId="6" borderId="95" xfId="0" applyNumberFormat="1" applyFont="1" applyFill="1" applyBorder="1"/>
    <xf numFmtId="4" fontId="37" fillId="0" borderId="91" xfId="0" applyNumberFormat="1" applyFont="1" applyBorder="1"/>
    <xf numFmtId="0" fontId="31" fillId="0" borderId="95" xfId="0" applyFont="1" applyBorder="1" applyAlignment="1">
      <alignment horizontal="right" vertical="center"/>
    </xf>
    <xf numFmtId="0" fontId="31" fillId="6" borderId="96" xfId="0" applyFont="1" applyFill="1" applyBorder="1" applyAlignment="1">
      <alignment vertical="center" wrapText="1"/>
    </xf>
    <xf numFmtId="4" fontId="31" fillId="6" borderId="91" xfId="0" applyNumberFormat="1" applyFont="1" applyFill="1" applyBorder="1"/>
    <xf numFmtId="4" fontId="31" fillId="0" borderId="95" xfId="0" applyNumberFormat="1" applyFont="1" applyBorder="1"/>
    <xf numFmtId="4" fontId="0" fillId="6" borderId="95" xfId="0" applyNumberFormat="1" applyFill="1" applyBorder="1"/>
    <xf numFmtId="0" fontId="31" fillId="6" borderId="96" xfId="0" applyFont="1" applyFill="1" applyBorder="1" applyAlignment="1">
      <alignment vertical="center"/>
    </xf>
    <xf numFmtId="0" fontId="37" fillId="6" borderId="92" xfId="0" applyFont="1" applyFill="1" applyBorder="1" applyAlignment="1">
      <alignment vertical="center"/>
    </xf>
    <xf numFmtId="0" fontId="37" fillId="0" borderId="95" xfId="0" applyFont="1" applyBorder="1" applyAlignment="1">
      <alignment horizontal="right" vertical="center"/>
    </xf>
    <xf numFmtId="49" fontId="31" fillId="6" borderId="92" xfId="0" applyNumberFormat="1" applyFont="1" applyFill="1" applyBorder="1" applyAlignment="1">
      <alignment vertical="center" wrapText="1"/>
    </xf>
    <xf numFmtId="49" fontId="0" fillId="6" borderId="92" xfId="0" applyNumberFormat="1" applyFill="1" applyBorder="1" applyAlignment="1">
      <alignment vertical="center" wrapText="1"/>
    </xf>
    <xf numFmtId="4" fontId="0" fillId="6" borderId="95" xfId="0" applyNumberFormat="1" applyFill="1" applyBorder="1" applyAlignment="1">
      <alignment horizontal="right" vertical="center"/>
    </xf>
    <xf numFmtId="0" fontId="0" fillId="6" borderId="96" xfId="4" applyFont="1" applyFill="1" applyBorder="1" applyAlignment="1">
      <alignment vertical="center" wrapText="1"/>
    </xf>
    <xf numFmtId="0" fontId="0" fillId="6" borderId="92" xfId="4" applyFont="1" applyFill="1" applyBorder="1" applyAlignment="1">
      <alignment vertical="center" wrapText="1"/>
    </xf>
    <xf numFmtId="0" fontId="37" fillId="6" borderId="96" xfId="4" applyFont="1" applyFill="1" applyBorder="1" applyAlignment="1">
      <alignment vertical="center" wrapText="1"/>
    </xf>
    <xf numFmtId="49" fontId="0" fillId="6" borderId="96" xfId="4" applyNumberFormat="1" applyFont="1" applyFill="1" applyBorder="1" applyAlignment="1">
      <alignment vertical="center" wrapText="1"/>
    </xf>
    <xf numFmtId="0" fontId="0" fillId="6" borderId="96" xfId="4" applyFont="1" applyFill="1" applyBorder="1" applyAlignment="1">
      <alignment vertical="center"/>
    </xf>
    <xf numFmtId="0" fontId="37" fillId="0" borderId="91" xfId="0" applyFont="1" applyBorder="1" applyAlignment="1">
      <alignment horizontal="right" vertical="center"/>
    </xf>
    <xf numFmtId="0" fontId="37" fillId="6" borderId="96" xfId="4" applyFont="1" applyFill="1" applyBorder="1" applyAlignment="1">
      <alignment vertical="center"/>
    </xf>
    <xf numFmtId="4" fontId="37" fillId="0" borderId="91" xfId="0" applyNumberFormat="1" applyFont="1" applyBorder="1" applyAlignment="1">
      <alignment vertical="center"/>
    </xf>
    <xf numFmtId="2" fontId="0" fillId="6" borderId="96" xfId="0" applyNumberFormat="1" applyFill="1" applyBorder="1" applyAlignment="1">
      <alignment vertical="center" wrapText="1"/>
    </xf>
    <xf numFmtId="0" fontId="0" fillId="6" borderId="96" xfId="5" applyFont="1" applyFill="1" applyBorder="1" applyAlignment="1">
      <alignment vertical="center" wrapText="1"/>
    </xf>
    <xf numFmtId="49" fontId="5" fillId="0" borderId="92" xfId="4" applyNumberFormat="1" applyFont="1" applyBorder="1" applyAlignment="1">
      <alignment vertical="center" wrapText="1"/>
    </xf>
    <xf numFmtId="49" fontId="0" fillId="6" borderId="92" xfId="4" applyNumberFormat="1" applyFont="1" applyFill="1" applyBorder="1" applyAlignment="1">
      <alignment vertical="center" wrapText="1"/>
    </xf>
    <xf numFmtId="0" fontId="37" fillId="6" borderId="92" xfId="4" applyFont="1" applyFill="1" applyBorder="1" applyAlignment="1">
      <alignment vertical="center" wrapText="1"/>
    </xf>
    <xf numFmtId="4" fontId="0" fillId="0" borderId="114" xfId="0" applyNumberFormat="1" applyBorder="1" applyAlignment="1">
      <alignment vertical="center"/>
    </xf>
    <xf numFmtId="0" fontId="5" fillId="6" borderId="92" xfId="4" applyFont="1" applyFill="1" applyBorder="1" applyAlignment="1">
      <alignment vertical="center" wrapText="1"/>
    </xf>
    <xf numFmtId="0" fontId="5" fillId="0" borderId="105" xfId="0" applyFont="1" applyBorder="1" applyAlignment="1">
      <alignment horizontal="right" vertical="center"/>
    </xf>
    <xf numFmtId="0" fontId="0" fillId="6" borderId="132" xfId="4" applyFont="1" applyFill="1" applyBorder="1" applyAlignment="1">
      <alignment vertical="center" wrapText="1"/>
    </xf>
    <xf numFmtId="0" fontId="5" fillId="0" borderId="114" xfId="0" applyFont="1" applyBorder="1" applyAlignment="1">
      <alignment horizontal="right" vertical="center"/>
    </xf>
    <xf numFmtId="0" fontId="0" fillId="6" borderId="151" xfId="4" applyFont="1" applyFill="1" applyBorder="1" applyAlignment="1">
      <alignment vertical="top" wrapText="1"/>
    </xf>
    <xf numFmtId="4" fontId="0" fillId="6" borderId="114" xfId="0" applyNumberFormat="1" applyFill="1" applyBorder="1" applyAlignment="1">
      <alignment vertical="center"/>
    </xf>
    <xf numFmtId="49" fontId="0" fillId="6" borderId="92" xfId="5" applyNumberFormat="1" applyFont="1" applyFill="1" applyBorder="1" applyAlignment="1">
      <alignment vertical="center" wrapText="1"/>
    </xf>
    <xf numFmtId="49" fontId="5" fillId="6" borderId="92" xfId="5" applyNumberFormat="1" applyFont="1" applyFill="1" applyBorder="1" applyAlignment="1">
      <alignment vertical="center" wrapText="1"/>
    </xf>
    <xf numFmtId="0" fontId="5" fillId="6" borderId="92" xfId="5" applyFont="1" applyFill="1" applyBorder="1" applyAlignment="1">
      <alignment vertical="center" wrapText="1"/>
    </xf>
    <xf numFmtId="0" fontId="0" fillId="0" borderId="107" xfId="0" applyBorder="1" applyAlignment="1">
      <alignment horizontal="right" vertical="center" wrapText="1"/>
    </xf>
    <xf numFmtId="4" fontId="0" fillId="6" borderId="95" xfId="0" applyNumberFormat="1" applyFill="1" applyBorder="1" applyAlignment="1">
      <alignment vertical="center" wrapText="1"/>
    </xf>
    <xf numFmtId="0" fontId="0" fillId="0" borderId="107" xfId="0" applyBorder="1" applyAlignment="1">
      <alignment horizontal="right" vertical="center"/>
    </xf>
    <xf numFmtId="49" fontId="0" fillId="6" borderId="92" xfId="4" applyNumberFormat="1" applyFont="1" applyFill="1" applyBorder="1" applyAlignment="1">
      <alignment vertical="center"/>
    </xf>
    <xf numFmtId="0" fontId="0" fillId="6" borderId="65" xfId="0" applyFill="1" applyBorder="1" applyAlignment="1">
      <alignment vertical="center"/>
    </xf>
    <xf numFmtId="0" fontId="0" fillId="0" borderId="105" xfId="0" applyBorder="1" applyAlignment="1">
      <alignment horizontal="right" vertical="center"/>
    </xf>
    <xf numFmtId="0" fontId="0" fillId="6" borderId="106" xfId="0" applyFill="1" applyBorder="1" applyAlignment="1">
      <alignment vertical="center"/>
    </xf>
    <xf numFmtId="0" fontId="4" fillId="0" borderId="75" xfId="0" applyFont="1" applyBorder="1" applyAlignment="1">
      <alignment horizontal="right" vertical="center"/>
    </xf>
    <xf numFmtId="0" fontId="4" fillId="6" borderId="152" xfId="0" applyFont="1" applyFill="1" applyBorder="1" applyAlignment="1">
      <alignment vertical="center"/>
    </xf>
    <xf numFmtId="4" fontId="0" fillId="6" borderId="75" xfId="0" applyNumberFormat="1" applyFill="1" applyBorder="1" applyAlignment="1">
      <alignment vertical="center"/>
    </xf>
    <xf numFmtId="4" fontId="0" fillId="0" borderId="75" xfId="0" applyNumberFormat="1" applyBorder="1" applyAlignment="1">
      <alignment vertical="center"/>
    </xf>
    <xf numFmtId="0" fontId="0" fillId="0" borderId="75" xfId="0" applyBorder="1"/>
    <xf numFmtId="4" fontId="4" fillId="0" borderId="0" xfId="0" applyNumberFormat="1" applyFont="1" applyAlignment="1">
      <alignment vertical="center"/>
    </xf>
    <xf numFmtId="0" fontId="33" fillId="0" borderId="90" xfId="0" applyFont="1" applyBorder="1" applyAlignment="1">
      <alignment vertical="center"/>
    </xf>
    <xf numFmtId="0" fontId="15" fillId="0" borderId="129" xfId="0" applyFont="1" applyBorder="1"/>
    <xf numFmtId="0" fontId="8" fillId="0" borderId="91" xfId="0" applyFont="1" applyBorder="1" applyAlignment="1">
      <alignment horizontal="right" vertical="center" wrapText="1"/>
    </xf>
    <xf numFmtId="0" fontId="0" fillId="0" borderId="96" xfId="0" applyBorder="1" applyAlignment="1">
      <alignment vertical="center" wrapText="1"/>
    </xf>
    <xf numFmtId="0" fontId="20" fillId="0" borderId="91" xfId="0" applyFont="1" applyBorder="1" applyAlignment="1">
      <alignment horizontal="right" vertical="center"/>
    </xf>
    <xf numFmtId="0" fontId="5" fillId="0" borderId="92" xfId="0" applyFont="1" applyBorder="1" applyAlignment="1">
      <alignment vertical="top" wrapText="1"/>
    </xf>
    <xf numFmtId="4" fontId="5" fillId="0" borderId="95" xfId="0" applyNumberFormat="1" applyFont="1" applyBorder="1"/>
    <xf numFmtId="0" fontId="1" fillId="0" borderId="107" xfId="0" applyFont="1" applyBorder="1" applyAlignment="1">
      <alignment vertical="center"/>
    </xf>
    <xf numFmtId="0" fontId="1" fillId="0" borderId="108" xfId="0" applyFont="1" applyBorder="1" applyAlignment="1">
      <alignment vertical="center"/>
    </xf>
    <xf numFmtId="0" fontId="20" fillId="0" borderId="73" xfId="0" applyFont="1" applyBorder="1" applyAlignment="1">
      <alignment horizontal="right" vertical="center"/>
    </xf>
    <xf numFmtId="0" fontId="1" fillId="0" borderId="115" xfId="0" applyFont="1" applyBorder="1" applyAlignment="1">
      <alignment vertical="center" wrapText="1"/>
    </xf>
    <xf numFmtId="0" fontId="1" fillId="0" borderId="69" xfId="0" applyFont="1" applyBorder="1" applyAlignment="1">
      <alignment vertical="center"/>
    </xf>
    <xf numFmtId="0" fontId="21" fillId="0" borderId="115" xfId="0" applyFont="1" applyBorder="1" applyAlignment="1">
      <alignment vertical="center" wrapText="1"/>
    </xf>
    <xf numFmtId="0" fontId="21" fillId="0" borderId="88" xfId="0" applyFont="1" applyBorder="1" applyAlignment="1">
      <alignment vertical="center" wrapText="1"/>
    </xf>
    <xf numFmtId="4" fontId="15" fillId="0" borderId="77" xfId="0" applyNumberFormat="1" applyFont="1" applyBorder="1" applyAlignment="1">
      <alignment vertical="center" shrinkToFit="1"/>
    </xf>
    <xf numFmtId="4" fontId="15" fillId="0" borderId="89" xfId="0" applyNumberFormat="1" applyFont="1" applyBorder="1" applyAlignment="1">
      <alignment vertical="center" shrinkToFit="1"/>
    </xf>
    <xf numFmtId="0" fontId="21" fillId="0" borderId="0" xfId="0" applyFont="1" applyAlignment="1">
      <alignment vertical="center" wrapText="1"/>
    </xf>
    <xf numFmtId="0" fontId="14" fillId="0" borderId="0" xfId="0" applyFont="1"/>
    <xf numFmtId="4" fontId="1" fillId="0" borderId="67" xfId="0" applyNumberFormat="1" applyFont="1" applyBorder="1"/>
    <xf numFmtId="4" fontId="1" fillId="0" borderId="101" xfId="0" applyNumberFormat="1" applyFont="1" applyBorder="1"/>
    <xf numFmtId="0" fontId="23" fillId="0" borderId="114" xfId="0" applyFont="1" applyBorder="1" applyAlignment="1">
      <alignment vertical="center"/>
    </xf>
    <xf numFmtId="0" fontId="1" fillId="0" borderId="132" xfId="0" applyFont="1" applyBorder="1" applyAlignment="1">
      <alignment vertical="center"/>
    </xf>
    <xf numFmtId="0" fontId="0" fillId="6" borderId="92" xfId="0" applyFill="1" applyBorder="1" applyAlignment="1">
      <alignment vertical="center" wrapText="1"/>
    </xf>
    <xf numFmtId="4" fontId="42" fillId="0" borderId="80" xfId="0" applyNumberFormat="1" applyFont="1" applyBorder="1" applyAlignment="1">
      <alignment vertical="center"/>
    </xf>
    <xf numFmtId="4" fontId="14" fillId="0" borderId="85" xfId="0" applyNumberFormat="1" applyFont="1" applyBorder="1" applyAlignment="1">
      <alignment shrinkToFit="1"/>
    </xf>
    <xf numFmtId="4" fontId="14" fillId="0" borderId="86" xfId="0" applyNumberFormat="1" applyFont="1" applyBorder="1"/>
    <xf numFmtId="4" fontId="13" fillId="0" borderId="86" xfId="0" applyNumberFormat="1" applyFont="1" applyBorder="1"/>
    <xf numFmtId="0" fontId="0" fillId="6" borderId="107" xfId="0" applyFill="1" applyBorder="1" applyAlignment="1">
      <alignment vertical="center"/>
    </xf>
    <xf numFmtId="4" fontId="1" fillId="6" borderId="91" xfId="3" applyNumberFormat="1" applyFont="1" applyFill="1" applyBorder="1" applyAlignment="1" applyProtection="1">
      <alignment vertical="center"/>
    </xf>
    <xf numFmtId="0" fontId="5" fillId="6" borderId="101" xfId="0" applyFont="1" applyFill="1" applyBorder="1"/>
    <xf numFmtId="0" fontId="6" fillId="6" borderId="118" xfId="0" applyFont="1" applyFill="1" applyBorder="1"/>
    <xf numFmtId="0" fontId="5" fillId="0" borderId="85" xfId="0" applyFont="1" applyBorder="1"/>
    <xf numFmtId="0" fontId="5" fillId="6" borderId="117" xfId="0" applyFont="1" applyFill="1" applyBorder="1"/>
    <xf numFmtId="0" fontId="6" fillId="6" borderId="119" xfId="0" applyFont="1" applyFill="1" applyBorder="1"/>
    <xf numFmtId="4" fontId="7" fillId="6" borderId="101" xfId="0" applyNumberFormat="1" applyFont="1" applyFill="1" applyBorder="1" applyAlignment="1">
      <alignment shrinkToFit="1"/>
    </xf>
    <xf numFmtId="4" fontId="7" fillId="0" borderId="101" xfId="0" applyNumberFormat="1" applyFont="1" applyBorder="1" applyAlignment="1">
      <alignment shrinkToFit="1"/>
    </xf>
    <xf numFmtId="4" fontId="1" fillId="0" borderId="101" xfId="0" applyNumberFormat="1" applyFont="1" applyBorder="1" applyAlignment="1">
      <alignment shrinkToFit="1"/>
    </xf>
    <xf numFmtId="4" fontId="0" fillId="8" borderId="91" xfId="0" applyNumberFormat="1" applyFill="1" applyBorder="1" applyAlignment="1">
      <alignment vertical="center"/>
    </xf>
    <xf numFmtId="4" fontId="0" fillId="8" borderId="153" xfId="0" applyNumberFormat="1" applyFill="1" applyBorder="1" applyAlignment="1">
      <alignment vertical="center"/>
    </xf>
    <xf numFmtId="4" fontId="0" fillId="8" borderId="98" xfId="0" applyNumberFormat="1" applyFill="1" applyBorder="1" applyAlignment="1">
      <alignment vertical="center"/>
    </xf>
    <xf numFmtId="0" fontId="5" fillId="0" borderId="153" xfId="0" applyFont="1" applyBorder="1" applyAlignment="1">
      <alignment vertical="center"/>
    </xf>
    <xf numFmtId="0" fontId="5" fillId="0" borderId="154" xfId="0" applyFont="1" applyBorder="1" applyAlignment="1">
      <alignment vertical="center"/>
    </xf>
    <xf numFmtId="4" fontId="5" fillId="0" borderId="155" xfId="0" applyNumberFormat="1" applyFont="1" applyBorder="1" applyAlignment="1">
      <alignment vertical="center"/>
    </xf>
    <xf numFmtId="4" fontId="0" fillId="0" borderId="155" xfId="0" applyNumberFormat="1" applyBorder="1" applyAlignment="1">
      <alignment vertical="center"/>
    </xf>
    <xf numFmtId="4" fontId="5" fillId="0" borderId="156" xfId="0" applyNumberFormat="1" applyFont="1" applyBorder="1" applyAlignment="1">
      <alignment vertical="center" shrinkToFit="1"/>
    </xf>
    <xf numFmtId="4" fontId="5" fillId="0" borderId="157" xfId="0" applyNumberFormat="1" applyFont="1" applyBorder="1" applyAlignment="1">
      <alignment vertical="center" shrinkToFit="1"/>
    </xf>
    <xf numFmtId="4" fontId="5" fillId="0" borderId="158" xfId="0" applyNumberFormat="1" applyFont="1" applyBorder="1" applyAlignment="1">
      <alignment vertical="center"/>
    </xf>
    <xf numFmtId="0" fontId="1" fillId="0" borderId="159" xfId="0" applyFont="1" applyBorder="1" applyAlignment="1">
      <alignment vertical="center"/>
    </xf>
    <xf numFmtId="0" fontId="6" fillId="0" borderId="160" xfId="0" applyFont="1" applyBorder="1"/>
    <xf numFmtId="4" fontId="6" fillId="0" borderId="159" xfId="0" applyNumberFormat="1" applyFont="1" applyBorder="1" applyAlignment="1">
      <alignment vertical="center"/>
    </xf>
    <xf numFmtId="4" fontId="10" fillId="0" borderId="159" xfId="0" applyNumberFormat="1" applyFont="1" applyBorder="1" applyAlignment="1">
      <alignment vertical="center"/>
    </xf>
    <xf numFmtId="4" fontId="6" fillId="0" borderId="161" xfId="0" applyNumberFormat="1" applyFont="1" applyBorder="1" applyAlignment="1">
      <alignment shrinkToFit="1"/>
    </xf>
    <xf numFmtId="4" fontId="6" fillId="0" borderId="162" xfId="0" applyNumberFormat="1" applyFont="1" applyBorder="1" applyAlignment="1">
      <alignment shrinkToFit="1"/>
    </xf>
    <xf numFmtId="4" fontId="14" fillId="0" borderId="101" xfId="0" applyNumberFormat="1" applyFont="1" applyBorder="1" applyAlignment="1">
      <alignment vertical="center" shrinkToFit="1"/>
    </xf>
    <xf numFmtId="4" fontId="14" fillId="0" borderId="101" xfId="0" applyNumberFormat="1" applyFont="1" applyBorder="1" applyAlignment="1">
      <alignment vertical="center"/>
    </xf>
    <xf numFmtId="4" fontId="13" fillId="0" borderId="101" xfId="0" applyNumberFormat="1" applyFont="1" applyBorder="1" applyAlignment="1">
      <alignment vertical="center"/>
    </xf>
    <xf numFmtId="4" fontId="14" fillId="0" borderId="77" xfId="0" applyNumberFormat="1" applyFont="1" applyBorder="1" applyAlignment="1">
      <alignment vertical="center" shrinkToFit="1"/>
    </xf>
    <xf numFmtId="4" fontId="14" fillId="0" borderId="89" xfId="0" applyNumberFormat="1" applyFont="1" applyBorder="1" applyAlignment="1">
      <alignment vertical="center" shrinkToFit="1"/>
    </xf>
  </cellXfs>
  <cellStyles count="7">
    <cellStyle name="Čárka" xfId="1" builtinId="3"/>
    <cellStyle name="Čárka 2" xfId="2"/>
    <cellStyle name="Excel_BuiltIn_Poznámka 1" xfId="3"/>
    <cellStyle name="Normální" xfId="0" builtinId="0"/>
    <cellStyle name="normální 2" xfId="4"/>
    <cellStyle name="Normální 2 2 2" xfId="5"/>
    <cellStyle name="Normální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ku\Users\stankova2598\AppData\Local\Microsoft\Windows\INetCache\Content.Outlook\P53HJRV8\ORJ14_P&#345;ehled%20projekt&#367;%202014-2020_n&#225;vrh%202020_nov&#25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daje dle STAVU"/>
      <sheetName val="Výdaje podle odvětví"/>
      <sheetName val="Příjmy podle odvětví"/>
      <sheetName val="ZÁLOHOVÉ PROJEKTY"/>
      <sheetName val="rozhodnutí"/>
      <sheetName val="rekapitulace"/>
      <sheetName val="Projekty P.O."/>
      <sheetName val="Udržitelnost podle odvětví"/>
      <sheetName val="List1"/>
      <sheetName val="neinvestiční projekty"/>
      <sheetName val="usnesení"/>
    </sheetNames>
    <sheetDataSet>
      <sheetData sheetId="0" refreshError="1"/>
      <sheetData sheetId="1"/>
      <sheetData sheetId="2" refreshError="1"/>
      <sheetData sheetId="3"/>
      <sheetData sheetId="4">
        <row r="31">
          <cell r="N31">
            <v>25.54</v>
          </cell>
        </row>
      </sheetData>
      <sheetData sheetId="5" refreshError="1"/>
      <sheetData sheetId="6" refreshError="1"/>
      <sheetData sheetId="7" refreshError="1"/>
      <sheetData sheetId="8" refreshError="1"/>
      <sheetData sheetId="9" refreshError="1"/>
      <sheetData sheetId="10" refreshError="1"/>
    </sheetDataSet>
  </externalBook>
</externalLink>
</file>

<file path=xl/persons/person.xml><?xml version="1.0" encoding="utf-8"?>
<personList xmlns="http://schemas.microsoft.com/office/spreadsheetml/2018/threadedcomments" xmlns:x="http://schemas.openxmlformats.org/spreadsheetml/2006/main">
  <person displayName=" " id="{9B1B853C-0300-A8DE-AA49-E19FFB923988}"/>
  <person displayName="Jana Holíková" id="{17712874-6EA8-3767-D757-459F0A02958A}"/>
</personList>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Arial"/>
        <a:cs typeface="Arial"/>
      </a:majorFont>
      <a:minorFont>
        <a:latin typeface="Calibri"/>
        <a:ea typeface="Arial"/>
        <a:cs typeface="Arial"/>
      </a:minorFont>
    </a:fontScheme>
    <a:fmtScheme name="Kancelář">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628" personId="{9B1B853C-0300-A8DE-AA49-E19FFB923988}" id="{00C10003-004F-4DA2-87C3-00F300B70037}" done="0">
    <text xml:space="preserve">Jana Holíková:
0381 019 6171:
50xx  43.827.695
5424     247.607
5167     507.759,10
5173     122.275
5192-5     0
------------------------
cel     44.952.943,10
</text>
  </threadedComment>
  <threadedComment ref="D767" personId="{9B1B853C-0300-A8DE-AA49-E19FFB923988}" id="{00E7006D-00C3-4A7B-A73E-002900BE00EB}" done="0">
    <text xml:space="preserve">Gabriela Vlčková:
+391 tis. dotace
</text>
  </threadedComment>
  <threadedComment ref="D812" personId="{9B1B853C-0300-A8DE-AA49-E19FFB923988}" id="{008600AB-001C-43DD-9C8E-001200FC00B1}" done="0">
    <text xml:space="preserve">Gabriela Vlčková:
+10.450 mimoř. Př.
</text>
  </threadedComment>
</ThreadedComments>
</file>

<file path=xl/threadedComments/threadedComment2.xml><?xml version="1.0" encoding="utf-8"?>
<ThreadedComments xmlns="http://schemas.microsoft.com/office/spreadsheetml/2018/threadedcomments" xmlns:x="http://schemas.openxmlformats.org/spreadsheetml/2006/main">
  <threadedComment ref="D106" personId="{17712874-6EA8-3767-D757-459F0A02958A}" id="{0032000A-0053-48FA-A10A-0062003300BF}" done="0">
    <text xml:space="preserve">24045/03 +50.700
</text>
  </threadedComment>
  <threadedComment ref="D112" personId="{17712874-6EA8-3767-D757-459F0A02958A}" id="{0038006E-009B-424C-8AA2-009800FD000A}" done="0">
    <text xml:space="preserve">24045/03 +1.600.000
</text>
  </threadedComment>
  <threadedComment ref="D113" personId="{17712874-6EA8-3767-D757-459F0A02958A}" id="{000C00BC-00E3-495A-B4FE-007500970059}" done="0">
    <text xml:space="preserve">24015/02 
+13.779,02 (0309)
+87.878,61 (0305)
+201.127,47 (0307)
</text>
  </threadedComment>
  <threadedComment ref="D114" personId="{17712874-6EA8-3767-D757-459F0A02958A}" id="{00AA0042-0048-49EB-9E18-009D00CE00DF}" done="0">
    <text xml:space="preserve">24015/02 +236.709,36
</text>
  </threadedComment>
  <threadedComment ref="D115" personId="{17712874-6EA8-3767-D757-459F0A02958A}" id="{000200A8-0022-4EF8-8EEC-001800A4007B}" done="0">
    <text xml:space="preserve">24015/02 +159.713,55
</text>
  </threadedComment>
  <threadedComment ref="D116" personId="{17712874-6EA8-3767-D757-459F0A02958A}" id="{003400A4-001D-4FDB-8FA2-00AF00400020}" done="0">
    <text xml:space="preserve">24015/02 +391.374,39
</text>
  </threadedComment>
  <threadedComment ref="D117" personId="{17712874-6EA8-3767-D757-459F0A02958A}" id="{00DC001B-00C5-4FFD-87CD-0009001A00B4}" done="0">
    <text xml:space="preserve">24026.03 +3.226.272,84
</text>
  </threadedComment>
  <threadedComment ref="D119" personId="{17712874-6EA8-3767-D757-459F0A02958A}" id="{007C0028-00DB-4501-BD46-009800B80093}" done="0">
    <text xml:space="preserve">24045/03 +25.251
</text>
  </threadedComment>
  <threadedComment ref="D120" personId="{17712874-6EA8-3767-D757-459F0A02958A}" id="{0083007A-009A-4F63-A6EC-00F20041007F}" done="0">
    <text xml:space="preserve">24045/03 org 1180
+74.693,50  § 3111
+40.293      § 3113
</text>
  </threadedComment>
  <threadedComment ref="D121" personId="{17712874-6EA8-3767-D757-459F0A02958A}" id="{00FB00EA-0094-4947-953F-00F0002900DA}" done="0">
    <text xml:space="preserve">24045/03 +900.000
</text>
  </threadedComment>
  <threadedComment ref="D122" personId="{17712874-6EA8-3767-D757-459F0A02958A}" id="{004B0087-0025-46B8-B6C4-000A00F300AE}" done="0">
    <text xml:space="preserve">24022/02  0321
+ 1.835,40  253 1441
+16.518,60 911 1445
</text>
  </threadedComment>
  <threadedComment ref="D123" personId="{17712874-6EA8-3767-D757-459F0A02958A}" id="{007A005B-00F2-4FFB-801D-00CA002000DE}" done="0">
    <text xml:space="preserve">24039/03 
+ 5.068,40 úz 253 1441
+45.615,60 úz 911 1445
</text>
  </threadedComment>
  <threadedComment ref="D124" personId="{17712874-6EA8-3767-D757-459F0A02958A}" id="{00C3001A-006C-44E8-9DA5-00F2004E0033}" done="0">
    <text xml:space="preserve">24040/03 
+ 4.089 úz 253 1441
+36.801 úz 911 1445
</text>
  </threadedComment>
  <threadedComment ref="D126" personId="{17712874-6EA8-3767-D757-459F0A02958A}" id="{004D00D8-0062-489F-A19E-0078000A0095}" done="0">
    <text xml:space="preserve">24014/02 
-50.000 (741)
+50.000 (528)
24023/02 
-50.000 (741)
+50.000 (416)
</text>
  </threadedComment>
  <threadedComment ref="D127" personId="{17712874-6EA8-3767-D757-459F0A02958A}" id="{00E60059-0080-4A08-8E10-00F900E20055}" done="0">
    <text xml:space="preserve">24052/04 +112.397
24074/06 +186.860
</text>
  </threadedComment>
  <threadedComment ref="D133" personId="{17712874-6EA8-3767-D757-459F0A02958A}" id="{00490016-0020-4E15-B7BA-00C5002300A0}" done="0">
    <text xml:space="preserve">24045/03 +180.000
</text>
  </threadedComment>
  <threadedComment ref="D135" personId="{17712874-6EA8-3767-D757-459F0A02958A}" id="{0009001A-00FA-4074-9DC3-00E00008006E}" done="0">
    <text xml:space="preserve">24005/01 +250.000
</text>
  </threadedComment>
  <threadedComment ref="D137" personId="{17712874-6EA8-3767-D757-459F0A02958A}" id="{004A00F1-00BE-4FF5-98A4-00E600920005}" done="0">
    <text xml:space="preserve">24044/03 -3.000.000
</text>
  </threadedComment>
  <threadedComment ref="D138" personId="{17712874-6EA8-3767-D757-459F0A02958A}" id="{000B008E-00B1-496B-B74F-005800EA00A0}" done="0">
    <text xml:space="preserve">24044/03 +3.000.000
</text>
  </threadedComment>
  <threadedComment ref="D139" personId="{17712874-6EA8-3767-D757-459F0A02958A}" id="{00E20032-00BD-4074-92A7-00A7005300D4}" done="0">
    <text xml:space="preserve">24045/03 +1.000
</text>
  </threadedComment>
  <threadedComment ref="D149" personId="{17712874-6EA8-3767-D757-459F0A02958A}" id="{00120042-0053-4A0D-A27E-0039001200C5}" done="0">
    <text xml:space="preserve">24045/03 +250.000
</text>
  </threadedComment>
  <threadedComment ref="D152" personId="{17712874-6EA8-3767-D757-459F0A02958A}" id="{00870025-00A7-46E6-AF2F-00B6002800E6}" done="0">
    <text xml:space="preserve">24045/03 -250.000 chata Jič
</text>
  </threadedComment>
  <threadedComment ref="D162" personId="{17712874-6EA8-3767-D757-459F0A02958A}" id="{00020008-00BE-402E-9114-002F007D0092}" done="0">
    <text xml:space="preserve">24065/05 -500.000 EP 
</text>
  </threadedComment>
  <threadedComment ref="D163" personId="{17712874-6EA8-3767-D757-459F0A02958A}" id="{00310068-001E-406C-AF71-00EC00AF0011}" done="0">
    <text xml:space="preserve">24073/06 +16.164.266,27 
</text>
  </threadedComment>
  <threadedComment ref="D179" personId="{17712874-6EA8-3767-D757-459F0A02958A}" id="{00DB0050-00AD-47F5-93C2-006A00A10031}" done="0">
    <text xml:space="preserve">24005/01 -522.932
</text>
  </threadedComment>
  <threadedComment ref="D180" personId="{17712874-6EA8-3767-D757-459F0A02958A}" id="{003F0043-00DB-4FAD-894C-00B6000600D5}" done="0">
    <text xml:space="preserve">24062/05-400.000
</text>
  </threadedComment>
  <threadedComment ref="D181" personId="{17712874-6EA8-3767-D757-459F0A02958A}" id="{0042008A-0045-4130-BE53-003C00720059}" done="0">
    <text xml:space="preserve">24072/05 -1.002.336,01
</text>
  </threadedComment>
  <threadedComment ref="D187" personId="{17712874-6EA8-3767-D757-459F0A02958A}" id="{00C50092-002F-4294-B4BA-00C7007600F4}" done="0">
    <text xml:space="preserve">24018/02 +124.612,64
24050/04 +-124.612,64
</text>
  </threadedComment>
  <threadedComment ref="D188" personId="{17712874-6EA8-3767-D757-459F0A02958A}" id="{007F00A1-0053-42AA-A230-000300FD00D1}" done="0">
    <text xml:space="preserve">24065/05 +724.000
</text>
  </threadedComment>
  <threadedComment ref="D191" personId="{17712874-6EA8-3767-D757-459F0A02958A}" id="{008B0046-007E-4732-B157-003B00570059}" done="0">
    <text xml:space="preserve">24018/02 +625.431,35
</text>
  </threadedComment>
  <threadedComment ref="D193" personId="{17712874-6EA8-3767-D757-459F0A02958A}" id="{00BC0063-009D-4AC8-B690-0013008300F1}" done="0">
    <text xml:space="preserve">24066/05 
+   261.245,45 úz17084 1491
+4.441.172,63 úz17085 1495
</text>
  </threadedComment>
  <threadedComment ref="D194" personId="{17712874-6EA8-3767-D757-459F0A02958A}" id="{002B006D-00B0-455A-AD84-001D002B0013}" done="0">
    <text xml:space="preserve">24072/05 
+   61.704,81 úz17085 1495
</text>
  </threadedComment>
  <threadedComment ref="D195" personId="{17712874-6EA8-3767-D757-459F0A02958A}" id="{001D00D6-0092-44C4-A413-00F1007000AD}" done="0">
    <text xml:space="preserve">24062/05 +400.000
</text>
  </threadedComment>
  <threadedComment ref="D202" personId="{17712874-6EA8-3767-D757-459F0A02958A}" id="{008100A7-006B-4C90-9637-0024001200E9}" done="0">
    <text xml:space="preserve">24041/03 -+ 354.926
z ORJ 541 na 029
</text>
  </threadedComment>
  <threadedComment ref="D207" personId="{17712874-6EA8-3767-D757-459F0A02958A}" id="{006A0072-0006-4F57-885A-00A300BA00EE}" done="0">
    <text xml:space="preserve">24001/01 +4.743.000
</text>
  </threadedComment>
  <threadedComment ref="D208" personId="{17712874-6EA8-3767-D757-459F0A02958A}" id="{00ED00B7-007F-4740-8932-001200900031}" done="0">
    <text xml:space="preserve">24056/04 +80.000
</text>
  </threadedComment>
  <threadedComment ref="D209" personId="{17712874-6EA8-3767-D757-459F0A02958A}" id="{002500D1-001A-413B-AFF4-004400A900EF}" done="0">
    <text xml:space="preserve">24055/04 +210.200
</text>
  </threadedComment>
  <threadedComment ref="D210" personId="{17712874-6EA8-3767-D757-459F0A02958A}" id="{004E003E-00E8-4260-B08C-004100F5002C}" done="0">
    <text xml:space="preserve">24030/03 
+ 3.419,60  úz253 1441
+30.776,40 úz911 1445
</text>
  </threadedComment>
  <threadedComment ref="D211" personId="{17712874-6EA8-3767-D757-459F0A02958A}" id="{00190065-0077-40E8-84C9-000400E100A3}" done="0">
    <text xml:space="preserve">24027/03 
+ 4.890  úz253 1441
+44.010 úz911 1445
</text>
  </threadedComment>
  <threadedComment ref="D212" personId="{17712874-6EA8-3767-D757-459F0A02958A}" id="{00E50034-005D-4BF6-8167-00A500770007}" done="0">
    <text xml:space="preserve">24027/03 
+ 7.519  úz253 1441
+67.671 úz911 1445
</text>
  </threadedComment>
  <threadedComment ref="D213" personId="{17712874-6EA8-3767-D757-459F0A02958A}" id="{00BF0066-006A-4092-AC2B-009900780006}" done="0">
    <text xml:space="preserve">24029/03 
+ 6.180  úz253 1441
+55.620 úz911 1445
</text>
  </threadedComment>
  <threadedComment ref="D215" personId="{17712874-6EA8-3767-D757-459F0A02958A}" id="{0033000E-00BA-4590-A38E-007C00A7005F}" done="0">
    <text xml:space="preserve">24031/03 +4.573.000
24570/05
oprava úz na 914
</text>
  </threadedComment>
  <threadedComment ref="D223" personId="{17712874-6EA8-3767-D757-459F0A02958A}" id="{0091009D-0092-4A8A-8426-002D0013009C}" done="0">
    <text xml:space="preserve">24066/05 
+  336.616,61 úz17518 1491
+5.722.482,44 úz17519 1495
</text>
  </threadedComment>
  <threadedComment ref="D224" personId="{17712874-6EA8-3767-D757-459F0A02958A}" id="{00A600E5-000C-4AA0-AE7D-00D800430009}" done="0">
    <text xml:space="preserve">24072/05 
+  881.497,39 úz17519 1495
</text>
  </threadedComment>
  <threadedComment ref="D225" personId="{17712874-6EA8-3767-D757-459F0A02958A}" id="{004700D5-004E-4DE8-81E0-00E7007E0084}" done="0">
    <text xml:space="preserve">24035/03 + 5.514.060
</text>
  </threadedComment>
  <threadedComment ref="D227" personId="{17712874-6EA8-3767-D757-459F0A02958A}" id="{00A800B8-0016-450C-90AE-0007005100F5}" done="0">
    <text xml:space="preserve">24057/04 +300.000
</text>
  </threadedComment>
  <threadedComment ref="D235" personId="{17712874-6EA8-3767-D757-459F0A02958A}" id="{00820044-00C9-4578-A95F-002C00E60029}" done="0">
    <text xml:space="preserve">24073 -+16.164.266,27
</text>
  </threadedComment>
  <threadedComment ref="D249" personId="{17712874-6EA8-3767-D757-459F0A02958A}" id="{00AC0052-0066-4228-9171-0081001C000C}" done="0">
    <text xml:space="preserve">24009/01 -200.000
</text>
  </threadedComment>
  <threadedComment ref="D251" personId="{17712874-6EA8-3767-D757-459F0A02958A}" id="{007D0014-0098-4088-8BAE-00C2003A00E4}" done="0">
    <text xml:space="preserve">24009/01 -1.500.000
</text>
  </threadedComment>
  <threadedComment ref="D262" personId="{17712874-6EA8-3767-D757-459F0A02958A}" id="{005A009D-00BB-4F31-A182-0003001B00E9}" done="0">
    <text xml:space="preserve">24508/01 -42.086
</text>
  </threadedComment>
  <threadedComment ref="D263" personId="{17712874-6EA8-3767-D757-459F0A02958A}" id="{009F009C-0051-4693-AB05-000D00C900A1}" done="0">
    <text xml:space="preserve">24508/01 +42.086
</text>
  </threadedComment>
  <threadedComment ref="D268" personId="{17712874-6EA8-3767-D757-459F0A02958A}" id="{00680041-009E-4184-9531-004C001D006D}" done="0">
    <text xml:space="preserve">24076/06 -353.320
</text>
  </threadedComment>
  <threadedComment ref="D273" personId="{17712874-6EA8-3767-D757-459F0A02958A}" id="{008500DE-0049-429C-9B14-0035000400D8}" done="0">
    <text xml:space="preserve">24060/05 +1.100.000
lávka Novosady
</text>
  </threadedComment>
  <threadedComment ref="D279" personId="{17712874-6EA8-3767-D757-459F0A02958A}" id="{003E00F0-0018-479C-965B-007B00E10064}" done="0">
    <text xml:space="preserve">24010/01 +100.000
24580/06 +76.452,36
</text>
  </threadedComment>
  <threadedComment ref="D282" personId="{17712874-6EA8-3767-D757-459F0A02958A}" id="{00BD0014-00F4-4B4F-B339-005800FE00E2}" done="0">
    <text xml:space="preserve">24580/06 -76.452,36
</text>
  </threadedComment>
  <threadedComment ref="D283" personId="{17712874-6EA8-3767-D757-459F0A02958A}" id="{00D700FE-0094-4FFF-9EBF-005200600011}" done="0">
    <text xml:space="preserve">24019/02 +266.805
</text>
  </threadedComment>
  <threadedComment ref="D285" personId="{17712874-6EA8-3767-D757-459F0A02958A}" id="{00E000B9-0016-417C-AAC7-003800330098}" done="0">
    <text xml:space="preserve">24582/06 +-16.044,60
z 5169 na 5139
</text>
  </threadedComment>
  <threadedComment ref="D290" personId="{17712874-6EA8-3767-D757-459F0A02958A}" id="{002F00D1-0067-424D-B9C7-0076003400F7}" done="0">
    <text xml:space="preserve">24581/06 -5.000
</text>
  </threadedComment>
  <threadedComment ref="D291" personId="{17712874-6EA8-3767-D757-459F0A02958A}" id="{002F0071-00B8-4D1D-962E-00A400290065}" done="0">
    <text xml:space="preserve">24581/06 +5.000
</text>
  </threadedComment>
  <threadedComment ref="D295" personId="{17712874-6EA8-3767-D757-459F0A02958A}" id="{00F000EF-00C2-4558-9FEC-00C400C40019}" done="0">
    <text xml:space="preserve">24569/05 -10.000
</text>
  </threadedComment>
  <threadedComment ref="D296" personId="{17712874-6EA8-3767-D757-459F0A02958A}" id="{00340052-00DD-4E3D-A95E-0024002700F5}" done="0">
    <text xml:space="preserve">24569/05 +10.000
</text>
  </threadedComment>
  <threadedComment ref="D299" personId="{17712874-6EA8-3767-D757-459F0A02958A}" id="{0094008E-0099-412F-A346-00C800C80012}" done="0">
    <text xml:space="preserve">24513/01 -1230
</text>
  </threadedComment>
  <threadedComment ref="D300" personId="{17712874-6EA8-3767-D757-459F0A02958A}" id="{0003000F-00BA-41EA-9868-0049003200C3}" done="0">
    <text xml:space="preserve">24513/01 +1.230
</text>
  </threadedComment>
  <threadedComment ref="D301" personId="{17712874-6EA8-3767-D757-459F0A02958A}" id="{008C00C6-000B-4A96-8164-001B00D4007E}" done="0">
    <text xml:space="preserve">24578/06 +29.142
</text>
  </threadedComment>
  <threadedComment ref="D302" personId="{17712874-6EA8-3767-D757-459F0A02958A}" id="{00DA00A4-004F-4AC8-BC43-00FD00EA0032}" done="0">
    <text xml:space="preserve">24512/01 +-600.000
z 6121 na 6122
24578/06 -29.142
</text>
  </threadedComment>
  <threadedComment ref="D308" personId="{17712874-6EA8-3767-D757-459F0A02958A}" id="{00C900DC-00C7-4D06-9B5C-0039006C0018}" done="0">
    <text xml:space="preserve">24078/06 -39.446
</text>
  </threadedComment>
  <threadedComment ref="D310" personId="{17712874-6EA8-3767-D757-459F0A02958A}" id="{005E00E7-00B9-40DF-8BAC-00A9002500F9}" done="0">
    <text xml:space="preserve">24054/04 -287.641,20
24082/06 -33.226,60
</text>
  </threadedComment>
  <threadedComment ref="D312" personId="{17712874-6EA8-3767-D757-459F0A02958A}" id="{004000AF-00FB-4F0D-8617-00340002008D}" done="0">
    <text xml:space="preserve">24057/04 +287.641,20
24078/06 +39.446
</text>
  </threadedComment>
  <threadedComment ref="D319" personId="{17712874-6EA8-3767-D757-459F0A02958A}" id="{00140087-0054-4CFC-8BF8-00B000AD00E5}" done="0">
    <text xml:space="preserve">24074/06 +144.474 poj.událost-oploc Hükc.v.
</text>
  </threadedComment>
  <threadedComment ref="D323" personId="{17712874-6EA8-3767-D757-459F0A02958A}" id="{00800090-0038-4087-A0D1-005C00C000C1}" done="0">
    <text xml:space="preserve">24511/01 -102.752,67
24550/04 -51.376,34
24074/06 +42.386 poj.u
</text>
  </threadedComment>
  <threadedComment ref="D325" personId="{17712874-6EA8-3767-D757-459F0A02958A}" id="{007F009A-004B-4AF2-8EF5-00640039005D}" done="0">
    <text xml:space="preserve">24063/05 +75.138
</text>
  </threadedComment>
  <threadedComment ref="D327" personId="{17712874-6EA8-3767-D757-459F0A02958A}" id="{00AF009B-0052-45CA-B52F-00A300CF004D}" done="0">
    <text xml:space="preserve">24063/05 -84.000
</text>
  </threadedComment>
  <threadedComment ref="D328" personId="{17712874-6EA8-3767-D757-459F0A02958A}" id="{00600010-00E4-469F-A7DF-005D004B00FF}" done="0">
    <text xml:space="preserve">24511/01 +102.752,67
24550/04 + 51.376,34
</text>
  </threadedComment>
  <threadedComment ref="D330" personId="{17712874-6EA8-3767-D757-459F0A02958A}" id="{000100AD-00B7-48A4-81FD-0027006C00A5}" done="0">
    <text xml:space="preserve">24020/02 +70.301
</text>
  </threadedComment>
  <threadedComment ref="D331" personId="{17712874-6EA8-3767-D757-459F0A02958A}" id="{00A90063-00D8-4C5C-AACC-003E001100F1}" done="0">
    <text xml:space="preserve">24020/02 +26.257
</text>
  </threadedComment>
  <threadedComment ref="D353" personId="{17712874-6EA8-3767-D757-459F0A02958A}" id="{00580021-009F-4558-AEFF-0004000600A7}" done="0">
    <text xml:space="preserve">24009/01 +200.000
24541/03 +40.000
</text>
  </threadedComment>
  <threadedComment ref="D354" personId="{17712874-6EA8-3767-D757-459F0A02958A}" id="{000700EA-0064-4462-826F-0054007E00EA}" done="0">
    <text xml:space="preserve">24009/01 +1.500.000
24541/03 -40.000
</text>
  </threadedComment>
  <threadedComment ref="D359" personId="{17712874-6EA8-3767-D757-459F0A02958A}" id="{00BA0077-00E1-49C9-B457-0034001200D1}" done="0">
    <text xml:space="preserve">24549/04 -300
</text>
  </threadedComment>
  <threadedComment ref="D364" personId="{17712874-6EA8-3767-D757-459F0A02958A}" id="{003500F7-0001-498D-8449-009E00B500F2}" done="0">
    <text xml:space="preserve">24549/04 +300
</text>
  </threadedComment>
  <threadedComment ref="D367" personId="{17712874-6EA8-3767-D757-459F0A02958A}" id="{008600B7-00C7-499B-A90A-00A600FC0007}" done="0">
    <text xml:space="preserve">24574/06 -160.000
</text>
  </threadedComment>
  <threadedComment ref="D38" personId="{17712874-6EA8-3767-D757-459F0A02958A}" id="{004100AF-00FA-4970-8EF8-0010000B0045}" done="0">
    <text xml:space="preserve">24049/04 +16.435.050
</text>
  </threadedComment>
  <threadedComment ref="D371" personId="{17712874-6EA8-3767-D757-459F0A02958A}" id="{00B60090-002D-47C4-B6F1-00B600E3000C}" done="0">
    <text xml:space="preserve">24574/06 +160.000
</text>
  </threadedComment>
  <threadedComment ref="D372" personId="{17712874-6EA8-3767-D757-459F0A02958A}" id="{003600A5-00FC-402F-8469-0004002E00E2}" done="0">
    <text xml:space="preserve">24563/05 +400.000
</text>
  </threadedComment>
  <threadedComment ref="D376" personId="{17712874-6EA8-3767-D757-459F0A02958A}" id="{00580019-004D-4413-B40F-0096004B00F8}" done="0">
    <text xml:space="preserve">24060/05 -1.100.000
24563/05 - 400.000
</text>
  </threadedComment>
  <threadedComment ref="D377" personId="{17712874-6EA8-3767-D757-459F0A02958A}" id="{0030000A-00B0-4124-A82F-000000290059}" done="0">
    <text xml:space="preserve">24038/03 +8.000.000
</text>
  </threadedComment>
  <threadedComment ref="D378" personId="{17712874-6EA8-3767-D757-459F0A02958A}" id="{00D0000E-0097-4FEE-BDD9-000600C00093}" done="0">
    <text xml:space="preserve">24080/06 -400.000
</text>
  </threadedComment>
  <threadedComment ref="D388" personId="{17712874-6EA8-3767-D757-459F0A02958A}" id="{0007002B-00E5-4F0F-BA19-0040001300C5}" done="0">
    <text xml:space="preserve">24522/02 +481.000
</text>
  </threadedComment>
  <threadedComment ref="D390" personId="{17712874-6EA8-3767-D757-459F0A02958A}" id="{0068009C-00B4-4F0F-B0C8-009A00C10031}" done="0">
    <text xml:space="preserve">24080/06 -500.000
</text>
  </threadedComment>
  <threadedComment ref="D394" personId="{17712874-6EA8-3767-D757-459F0A02958A}" id="{00E00032-003B-474D-A85F-0031009D00DD}" done="0">
    <text xml:space="preserve">24503/01 +11.390
</text>
  </threadedComment>
  <threadedComment ref="D396" personId="{17712874-6EA8-3767-D757-459F0A02958A}" id="{009500BA-0047-40CF-9225-0038003800FB}" done="0">
    <text xml:space="preserve">24543/03 +181.000
</text>
  </threadedComment>
  <threadedComment ref="D397" personId="{17712874-6EA8-3767-D757-459F0A02958A}" id="{00110070-00B5-4AE0-82CB-008A00FA005A}" done="0">
    <text xml:space="preserve">24037/03 -500.000
24568/05 -12.000
</text>
  </threadedComment>
  <threadedComment ref="D398" personId="{17712874-6EA8-3767-D757-459F0A02958A}" id="{009C00EE-00F1-49BE-B758-0055000A0077}" done="0">
    <text xml:space="preserve">24037/03 -500.000
</text>
  </threadedComment>
  <threadedComment ref="D399" personId="{17712874-6EA8-3767-D757-459F0A02958A}" id="{005500BC-00CF-415A-8BB6-009D001F008E}" done="0">
    <text xml:space="preserve">24504/01 -1.055.000
24562/05 +1.255.000
</text>
  </threadedComment>
  <threadedComment ref="D401" personId="{17712874-6EA8-3767-D757-459F0A02958A}" id="{0095006C-00F9-4D3B-9086-003F00F40008}" done="0">
    <text xml:space="preserve">24522/02 -158.000
24537/03 - 34.000
</text>
  </threadedComment>
  <threadedComment ref="D402" personId="{17712874-6EA8-3767-D757-459F0A02958A}" id="{002300E4-006E-46AC-8A70-00FE00F600F3}" done="0">
    <text xml:space="preserve">24522/02 -323.000
24568/05 +12.000
</text>
  </threadedComment>
  <threadedComment ref="D406" personId="{17712874-6EA8-3767-D757-459F0A02958A}" id="{00B900D3-0097-462B-8C34-00A900390079}" done="0">
    <text xml:space="preserve">24504/01 +540.500
24537/03 + 34.000
</text>
  </threadedComment>
  <threadedComment ref="D407" personId="{17712874-6EA8-3767-D757-459F0A02958A}" id="{00480065-0051-4440-962C-0095007100B6}" done="0">
    <text xml:space="preserve">24504/01 +514.500
</text>
  </threadedComment>
  <threadedComment ref="D409" personId="{17712874-6EA8-3767-D757-459F0A02958A}" id="{00910016-008C-4B9D-B162-002000A40045}" done="0">
    <text xml:space="preserve">24503/01 -11.390
24565/05 -30.000
</text>
  </threadedComment>
  <threadedComment ref="D410" personId="{17712874-6EA8-3767-D757-459F0A02958A}" id="{00FC0052-0049-4783-A41F-006400150083}" done="0">
    <text xml:space="preserve">24565/05 +30.000
</text>
  </threadedComment>
  <threadedComment ref="D42" personId="{17712874-6EA8-3767-D757-459F0A02958A}" id="{00480067-0007-4792-916E-003400FB0082}" done="0">
    <text xml:space="preserve">24045.03 +32.200
</text>
  </threadedComment>
  <threadedComment ref="D411" personId="{17712874-6EA8-3767-D757-459F0A02958A}" id="{00920001-00BD-434D-9A3C-005800FC0078}" done="0">
    <text xml:space="preserve">24010/01 -100.000
</text>
  </threadedComment>
  <threadedComment ref="D412" personId="{17712874-6EA8-3767-D757-459F0A02958A}" id="{00310090-002A-43AE-B7A6-001300210062}" done="0">
    <text xml:space="preserve">24543/03 -181.000
24562/05 -1.255.000
</text>
  </threadedComment>
  <threadedComment ref="D420" personId="{17712874-6EA8-3767-D757-459F0A02958A}" id="{00C000BF-00B2-453E-9AE9-006000F5003F}" done="0">
    <text xml:space="preserve">24080/06 -500.000
</text>
  </threadedComment>
  <threadedComment ref="D423" personId="{17712874-6EA8-3767-D757-459F0A02958A}" id="{00730087-00D5-42FA-942B-006E00F300AD}" done="0">
    <text xml:space="preserve">24530/03 +27.000
</text>
  </threadedComment>
  <threadedComment ref="D424" personId="{17712874-6EA8-3767-D757-459F0A02958A}" id="{00FE00B0-002D-4D9C-A189-002C00DF00D1}" done="0">
    <text xml:space="preserve">24530/03 +17.000
24534/03 +12.000
</text>
  </threadedComment>
  <threadedComment ref="D426" personId="{17712874-6EA8-3767-D757-459F0A02958A}" id="{002D002E-008E-49EE-814F-00FE00C4004F}" done="0">
    <text xml:space="preserve">24530/03 -44.000
24534/03 -12.000
</text>
  </threadedComment>
  <threadedComment ref="D431" personId="{17712874-6EA8-3767-D757-459F0A02958A}" id="{00ED0082-00AE-4E40-9640-00EF008E0083}" done="0">
    <text xml:space="preserve">34546/04 
+-27.929.601,32
dopl. úz, NáZ
</text>
  </threadedComment>
  <threadedComment ref="D432" personId="{17712874-6EA8-3767-D757-459F0A02958A}" id="{0096000F-00B3-4FC5-9763-002C00F000A1}" done="0">
    <text xml:space="preserve">24061/05 +70.000
</text>
  </threadedComment>
  <threadedComment ref="D433" personId="{17712874-6EA8-3767-D757-459F0A02958A}" id="{00B7002D-0064-4568-A314-00B4003B0092}" done="0">
    <text xml:space="preserve">24526.02 -10.000
</text>
  </threadedComment>
  <threadedComment ref="D434" personId="{17712874-6EA8-3767-D757-459F0A02958A}" id="{003D0043-00E2-4BB9-BAE8-00B4002B0028}" done="0">
    <text xml:space="preserve">24526/02 +10.000
</text>
  </threadedComment>
  <threadedComment ref="D435" personId="{17712874-6EA8-3767-D757-459F0A02958A}" id="{0083009D-0080-4AE1-BD91-00FE00330070}" done="0">
    <text xml:space="preserve">24007/01 -850.000
</text>
  </threadedComment>
  <threadedComment ref="D440" personId="{17712874-6EA8-3767-D757-459F0A02958A}" id="{000E00CB-002E-4A7C-8C45-001F00C90070}" done="0">
    <text xml:space="preserve">24501/01 +40.000
24514/01 +4.000
</text>
  </threadedComment>
  <threadedComment ref="D441" personId="{17712874-6EA8-3767-D757-459F0A02958A}" id="{000C0089-006A-4EE4-BA94-003D007F0069}" done="0">
    <text xml:space="preserve">24501/01 -40.000
24514/01 -4.000
24038/03 -5.700.000
24080/06 -1.000.000
</text>
  </threadedComment>
  <threadedComment ref="D443" personId="{17712874-6EA8-3767-D757-459F0A02958A}" id="{0090008B-0066-4E20-835C-0023003D0095}" done="0">
    <text xml:space="preserve">24036/03 
+1.000.000+100.000
</text>
  </threadedComment>
  <threadedComment ref="D445" personId="{17712874-6EA8-3767-D757-459F0A02958A}" id="{007B00FE-00DE-4A0A-85B7-0041008A0099}" done="0">
    <text xml:space="preserve">24502/01 +200.000
</text>
  </threadedComment>
  <threadedComment ref="D446" personId="{17712874-6EA8-3767-D757-459F0A02958A}" id="{00B40033-007C-4D4B-A6D0-00B0001D00A8}" done="0">
    <text xml:space="preserve">24502/01 -200.000
</text>
  </threadedComment>
  <threadedComment ref="D450" personId="{17712874-6EA8-3767-D757-459F0A02958A}" id="{006F00EC-000E-4DDA-9022-0085007000FB}" done="0">
    <text xml:space="preserve">24024/03 -400.000 part.rozp
24036/03 -1.000.000 -100.000
24586/06 -59.290
</text>
  </threadedComment>
  <threadedComment ref="D451" personId="{17712874-6EA8-3767-D757-459F0A02958A}" id="{000F00FC-0049-4F75-9C7E-00BD000F004C}" done="0">
    <text xml:space="preserve">24586/06
+ 41.503 úz 15017 1701
+ 17.787 bez úz     1701
</text>
  </threadedComment>
  <threadedComment ref="D455" personId="{17712874-6EA8-3767-D757-459F0A02958A}" id="{00C40058-0088-451C-BC39-008A003D00D3}" done="0">
    <text xml:space="preserve">24529/03 - oprava pol na 6121
</text>
  </threadedComment>
  <threadedComment ref="D456" personId="{17712874-6EA8-3767-D757-459F0A02958A}" id="{008000A4-001B-4B85-A5F1-00E8000900A5}" done="0">
    <text xml:space="preserve">24506/01 -+250.000 
z 5169 na 6122
</text>
  </threadedComment>
  <threadedComment ref="D459" personId="{17712874-6EA8-3767-D757-459F0A02958A}" id="{008400D4-004C-4B38-A7A5-00600029008B}" done="0">
    <text xml:space="preserve">24535/03 
-20.000 5171
+20.000 5169
</text>
  </threadedComment>
  <threadedComment ref="D461" personId="{17712874-6EA8-3767-D757-459F0A02958A}" id="{00AE00DF-00EC-45DB-A9DD-00F00092005B}" done="0">
    <text xml:space="preserve">24532/03 -6.000
</text>
  </threadedComment>
  <threadedComment ref="D463" personId="{17712874-6EA8-3767-D757-459F0A02958A}" id="{0096000A-00E4-49F1-BA97-008B0069002A}" done="0">
    <text xml:space="preserve">24532/03 +6.000
</text>
  </threadedComment>
  <threadedComment ref="D464" personId="{17712874-6EA8-3767-D757-459F0A02958A}" id="{009900F2-002A-480E-A94D-008600F200ED}" done="0">
    <text xml:space="preserve">24079/06 +160.000
</text>
  </threadedComment>
  <threadedComment ref="D467" personId="{17712874-6EA8-3767-D757-459F0A02958A}" id="{00F90010-00D3-4F9E-8AEB-00FF00520054}" done="0">
    <text xml:space="preserve">240518.02 +150.470
</text>
  </threadedComment>
  <threadedComment ref="D468" personId="{17712874-6EA8-3767-D757-459F0A02958A}" id="{001600EE-00A9-47EC-B551-00CA00000065}" done="0">
    <text xml:space="preserve">24505/01 -20.000
24518/02 -150.470
24080/06 +4.500.000
</text>
  </threadedComment>
  <threadedComment ref="D469" personId="{17712874-6EA8-3767-D757-459F0A02958A}" id="{004B009B-0066-475E-A779-005C007A0013}" done="0">
    <text xml:space="preserve">24505/01 +20.000
</text>
  </threadedComment>
  <threadedComment ref="D478" personId="{17712874-6EA8-3767-D757-459F0A02958A}" id="{00A00000-00AF-454C-9B17-00BD00210059}" done="0">
    <text xml:space="preserve">24061/05 -70.000
</text>
  </threadedComment>
  <threadedComment ref="D490" personId="{17712874-6EA8-3767-D757-459F0A02958A}" id="{0038009A-003C-46D3-8462-002C00FF0002}" done="0">
    <text xml:space="preserve">24037/03 -1.000.000
</text>
  </threadedComment>
  <threadedComment ref="D493" personId="{17712874-6EA8-3767-D757-459F0A02958A}" id="{0020003F-0067-4B0D-88FC-00790064003C}" done="0">
    <text xml:space="preserve">24536/03 
-550.000 5169
</text>
  </threadedComment>
  <threadedComment ref="D499" personId="{17712874-6EA8-3767-D757-459F0A02958A}" id="{005B008A-00C0-4402-952B-0025009B00E1}" done="0">
    <text xml:space="preserve">24536/03 +550.000
</text>
  </threadedComment>
  <threadedComment ref="D500" personId="{17712874-6EA8-3767-D757-459F0A02958A}" id="{00F900CD-00C2-46F7-A720-00C2004700E1}" done="0">
    <text xml:space="preserve">24080/06 -1.900.000
</text>
  </threadedComment>
  <threadedComment ref="D501" personId="{17712874-6EA8-3767-D757-459F0A02958A}" id="{007100CD-0033-4535-8873-009900F900C2}" done="0">
    <text xml:space="preserve">24079/06 -160.000
</text>
  </threadedComment>
  <threadedComment ref="D504" personId="{17712874-6EA8-3767-D757-459F0A02958A}" id="{008F00C5-00D9-42AE-B1BF-009A00460097}" done="0">
    <text xml:space="preserve">24008/01 -3.500.000
</text>
  </threadedComment>
  <threadedComment ref="D505" personId="{17712874-6EA8-3767-D757-459F0A02958A}" id="{008C00D1-0059-44AA-A090-00CF00EA0074}" done="0">
    <text xml:space="preserve">23037/03 +5.600.000
</text>
  </threadedComment>
  <threadedComment ref="D506" personId="{17712874-6EA8-3767-D757-459F0A02958A}" id="{00180091-0087-4856-80BF-00B9009300A1}" done="0">
    <text xml:space="preserve">24008/01 -500.000
</text>
  </threadedComment>
  <threadedComment ref="D507" personId="{17712874-6EA8-3767-D757-459F0A02958A}" id="{00F50027-007A-4D5E-9E8C-00AD002A0080}" done="0">
    <text xml:space="preserve">24037/03 -900.000 -200.000
24038/03 -2.300.000
</text>
  </threadedComment>
  <threadedComment ref="D515" personId="{17712874-6EA8-3767-D757-459F0A02958A}" id="{000F00FE-0060-419A-9892-009A00C100C1}" done="0">
    <text xml:space="preserve">24037/03 -2.500.000
24080/06 -200.000
</text>
  </threadedComment>
  <threadedComment ref="D517" personId="{17712874-6EA8-3767-D757-459F0A02958A}" id="{00C80081-0057-4827-B4BF-008500CD004A}" done="0">
    <text xml:space="preserve">24008/01 +3.500.000
</text>
  </threadedComment>
  <threadedComment ref="D519" personId="{17712874-6EA8-3767-D757-459F0A02958A}" id="{00420058-00F1-4CC1-BEDC-0060003A00EA}" done="0">
    <text xml:space="preserve">24008/01 +500.000
</text>
  </threadedComment>
  <threadedComment ref="D522" personId="{17712874-6EA8-3767-D757-459F0A02958A}" id="{0041006F-001F-4F80-9ECF-00F80005001B}" done="0">
    <text xml:space="preserve">24583/06 +380.000
</text>
  </threadedComment>
  <threadedComment ref="D523" personId="{17712874-6EA8-3767-D757-459F0A02958A}" id="{00B4008A-00AE-4A69-A16F-00B0000900E1}" done="0">
    <text xml:space="preserve">24583/06 +100.000
</text>
  </threadedComment>
  <threadedComment ref="D525" personId="{17712874-6EA8-3767-D757-459F0A02958A}" id="{0051006B-002A-4A67-A63C-00A90010007C}" done="0">
    <text xml:space="preserve">24583/06 -480.000
</text>
  </threadedComment>
  <threadedComment ref="D530" personId="{17712874-6EA8-3767-D757-459F0A02958A}" id="{00D70068-00EA-4ABC-862C-009200CB0064}" done="0">
    <text xml:space="preserve">24035/03 +- 5.514.060
dozn úz22504 NáZ1705
24548/04 +110.000
</text>
  </threadedComment>
  <threadedComment ref="D531" personId="{17712874-6EA8-3767-D757-459F0A02958A}" id="{006000B1-00C0-487F-A0A9-0051006000F0}" done="0">
    <text xml:space="preserve">24548/04 -110.000
</text>
  </threadedComment>
  <threadedComment ref="D535" personId="{17712874-6EA8-3767-D757-459F0A02958A}" id="{008B00E7-0066-460F-A004-00DC006100C9}" done="0">
    <text xml:space="preserve">24539/03 +- 250.000
dopl. úz42
</text>
  </threadedComment>
  <threadedComment ref="D547" personId="{17712874-6EA8-3767-D757-459F0A02958A}" id="{001E002F-0099-45BA-8E0F-002E00900076}" done="0">
    <text xml:space="preserve">24538/03 +-231.352,61 
dopl. Úz 15501 NáZ 1481,5
245051/04 
+196.649,72 úz 15501 1485
+ 34.702,89 1481
24053/04 -535.000
24056/04 +80.000 úz673
24057/04 +300.000 úz392
24554/04 +-231.352,61 zpět
</text>
  </threadedComment>
  <threadedComment ref="D549" personId="{17712874-6EA8-3767-D757-459F0A02958A}" id="{009B00F8-00AC-4DAB-9FCF-004400C10064}" done="0">
    <text xml:space="preserve">24053/04 +535.000
</text>
  </threadedComment>
  <threadedComment ref="D566" personId="{17712874-6EA8-3767-D757-459F0A02958A}" id="{00D200EC-00BC-4109-8E12-000B0049000C}" done="0">
    <text xml:space="preserve">24065/05 
+724.000 úz98348
-500.000 bez úz
</text>
  </threadedComment>
  <threadedComment ref="D583" personId="{17712874-6EA8-3767-D757-459F0A02958A}" id="{00A500B8-00EC-482F-B5F4-000500C8001D}" done="0">
    <text xml:space="preserve">24011/01 +192.228
24030/03 
 +3.419,60 úz253 1441
+30.776,40 úz911 1445
24047/04 -1.284
24048/04 -1.196
</text>
  </threadedComment>
  <threadedComment ref="D592" personId="{17712874-6EA8-3767-D757-459F0A02958A}" id="{00E50055-00B2-4F80-BCD9-008300E7007C}" done="0">
    <text xml:space="preserve">24016/02 +90.488 odpisy
24027/03 
+ 4.890 úz253 1441
+44.010 úz911 1445 
</text>
  </threadedComment>
  <threadedComment ref="D593" personId="{17712874-6EA8-3767-D757-459F0A02958A}" id="{005200BA-00FD-4D46-AE29-000500990073}" done="0">
    <text xml:space="preserve">24052/04 +72.208
</text>
  </threadedComment>
  <threadedComment ref="D596" personId="{17712874-6EA8-3767-D757-459F0A02958A}" id="{009F0022-00CB-4482-AE8F-00DE00C50046}" done="0">
    <text xml:space="preserve">24028/03
 +7.519 ÚZ253 1441
+67.671 úz911 1445
</text>
  </threadedComment>
  <threadedComment ref="D599" personId="{17712874-6EA8-3767-D757-459F0A02958A}" id="{00900068-0085-4E14-ADFB-00CC00270093}" done="0">
    <text xml:space="preserve">24029/03
 +6.180 ÚZ253 1441
+55.620 úz911 1445
24064/05 +313.948
24066/05 
+  261.245,45 úz 17084 1491
+4.441.172,63 úz 17085 1495
24077/06 -13.443,03
</text>
  </threadedComment>
  <threadedComment ref="D61" personId="{17712874-6EA8-3767-D757-459F0A02958A}" id="{001000D1-001C-419D-B4E3-00C700EB006C}" done="0">
    <text xml:space="preserve">24045/03 +3.000.000
</text>
  </threadedComment>
  <threadedComment ref="D601" personId="{17712874-6EA8-3767-D757-459F0A02958A}" id="{001B004E-00E8-42D4-B147-002E00D700B5}" done="0">
    <text xml:space="preserve">24066/05 
+  336.616,61 úz17518 1491
+5.722.482,44 úz 17519 1491
</text>
  </threadedComment>
  <threadedComment ref="D604" personId="{17712874-6EA8-3767-D757-459F0A02958A}" id="{008B00CF-008C-44F7-B8A9-006A002C00AE}" done="0">
    <text xml:space="preserve">24007/01 +850.000
</text>
  </threadedComment>
  <threadedComment ref="D608" personId="{17712874-6EA8-3767-D757-459F0A02958A}" id="{008D0058-00B5-4921-836D-004D009C00B4}" done="0">
    <text xml:space="preserve">24055/04 +210.200 úz 833
</text>
  </threadedComment>
  <threadedComment ref="D62" personId="{17712874-6EA8-3767-D757-459F0A02958A}" id="{00F1004D-004B-4E3B-BAE1-0079001F00A0}" done="0">
    <text xml:space="preserve">24045/03 +3.000.000
</text>
  </threadedComment>
  <threadedComment ref="D611" personId="{17712874-6EA8-3767-D757-459F0A02958A}" id="{00120011-003A-4264-ACFA-00EC007C0022}" done="0">
    <text xml:space="preserve">24059/05 +134.310
</text>
  </threadedComment>
  <threadedComment ref="D615" personId="{17712874-6EA8-3767-D757-459F0A02958A}" id="{00BC00E9-0012-4008-BE41-0042007C0067}" done="0">
    <text xml:space="preserve">24043/03 -1.548
</text>
  </threadedComment>
  <threadedComment ref="D63" personId="{17712874-6EA8-3767-D757-459F0A02958A}" id="{008D005C-00DD-42EC-ADC2-0084003700AE}" done="0">
    <text xml:space="preserve">24045/03 +3.000.000
</text>
  </threadedComment>
  <threadedComment ref="D625" personId="{17712874-6EA8-3767-D757-459F0A02958A}" id="{00420029-0018-4020-88FB-00CA00D500FC}" done="0">
    <text xml:space="preserve">24021/02 -25.000
</text>
  </threadedComment>
  <threadedComment ref="D626" personId="{17712874-6EA8-3767-D757-459F0A02958A}" id="{00B7000B-004A-4850-AFD1-003900150094}" done="0">
    <text xml:space="preserve">24021/02 -170.000
</text>
  </threadedComment>
  <threadedComment ref="D628" personId="{17712874-6EA8-3767-D757-459F0A02958A}" id="{000D008B-00FF-4A5F-ABF4-0015004D00C6}" done="0">
    <text xml:space="preserve">24021/02 +195.000
</text>
  </threadedComment>
  <threadedComment ref="D633" personId="{17712874-6EA8-3767-D757-459F0A02958A}" id="{00E900AF-0038-46ED-94C5-00DC00100036}" done="0">
    <text xml:space="preserve">24001.01 +4.743.000
24023/02 +- 50.000 dar NJKL
24052/04 +18.200
24083/06 +150.000 slavnost
</text>
  </threadedComment>
  <threadedComment ref="D648" personId="{17712874-6EA8-3767-D757-459F0A02958A}" id="{00260071-004A-4892-8D7C-0021007A000E}" done="0">
    <text xml:space="preserve">24002/01 -30.000 
24069/05 +30.000
</text>
  </threadedComment>
  <threadedComment ref="D651" personId="{17712874-6EA8-3767-D757-459F0A02958A}" id="{00BB0067-0029-4CF4-A346-001E00AA0060}" done="0">
    <text xml:space="preserve">24002/01 +30.000
24003/01 +10.000
24004/01 +15.000
24032/03 +70.000
24058/04 +80.000
24067/05 +10.000
24068/05 +150.000
24069/05 +36.900
24070/05 +5.000
24071/05 +40.000
24084/06 +250.000
24085/06 +147.000
</text>
  </threadedComment>
  <threadedComment ref="D676" personId="{17712874-6EA8-3767-D757-459F0A02958A}" id="{00B100E4-0015-477B-97F6-008A007C0077}" done="0">
    <text xml:space="preserve">24025.03
+320.000 +28.800
</text>
  </threadedComment>
  <threadedComment ref="D678" personId="{17712874-6EA8-3767-D757-459F0A02958A}" id="{000700FC-0083-45F9-A084-00D400C00025}" done="0">
    <text xml:space="preserve">24018/02
+563.940,99 (5011)
+135.346 (5031)
+ 50.757 (5032)
</text>
  </threadedComment>
  <threadedComment ref="D689" personId="{17712874-6EA8-3767-D757-459F0A02958A}" id="{00C800B5-00A6-4068-81D6-0035001D00FD}" done="0">
    <text xml:space="preserve">24014/02 +-50.000
</text>
  </threadedComment>
  <threadedComment ref="D698" personId="{17712874-6EA8-3767-D757-459F0A02958A}" id="{00740000-00DF-45FD-917D-007800D40050}" done="0">
    <text xml:space="preserve">24013/02 -50.000
24075/06 -4.745
</text>
  </threadedComment>
  <threadedComment ref="D703" personId="{17712874-6EA8-3767-D757-459F0A02958A}" id="{00C50088-002F-449F-9969-004B008A005B}" done="0">
    <text xml:space="preserve">24034/03 -360.000
</text>
  </threadedComment>
  <threadedComment ref="D710" personId="{17712874-6EA8-3767-D757-459F0A02958A}" id="{00DD00EF-00D3-49E0-9296-00D7005C00EF}" done="0">
    <text xml:space="preserve">24013/02 +50.000
24033/03 +59.000
24024/03 +75.000
24075/06 +4.745
</text>
  </threadedComment>
  <threadedComment ref="D712" personId="{17712874-6EA8-3767-D757-459F0A02958A}" id="{001C0021-0022-40CB-94DC-006D002500F1}" done="0">
    <text xml:space="preserve">24034/03 +285.000
</text>
  </threadedComment>
  <threadedComment ref="D716" personId="{17712874-6EA8-3767-D757-459F0A02958A}" id="{00D30068-0061-4778-9C97-0061009900F6}" done="0">
    <text xml:space="preserve">24031/03 +2.980.000 úz
24570/05 dopl.úz:
+419.000 (0390)
+181.000 (0390)
+   2.000 (0390)
+ 161.000 (2390)
+2.217.000 (2390)
-2.980.000 (0390)
</text>
  </threadedComment>
  <threadedComment ref="D717" personId="{17712874-6EA8-3767-D757-459F0A02958A}" id="{00D2004F-0033-4CE2-BBB9-00AA00B300EB}" done="0">
    <text xml:space="preserve">24031/04 +559.000 úz
24570/05 dopl úz914:
+492.000 (2391)
+36.000 (2391)
+ 31.000 (1391)
-559.000 (1391)
</text>
  </threadedComment>
  <threadedComment ref="D718" personId="{17712874-6EA8-3767-D757-459F0A02958A}" id="{00EB004D-00AA-46FA-8489-00BA0027008F}" done="0">
    <text xml:space="preserve">24031/04 +1.034.000
24570/05 dopl.úz914
+978.000 (2393)
+ 56.000 (1393)
-1.037.000 (1393)
</text>
  </threadedComment>
  <threadedComment ref="D719" personId="{17712874-6EA8-3767-D757-459F0A02958A}" id="{00D300B6-0065-45DC-9C16-004400BA00CF}" done="0">
    <text xml:space="preserve">24507/01 -+2.400.000
změna org
</text>
  </threadedComment>
  <threadedComment ref="D723" personId="{17712874-6EA8-3767-D757-459F0A02958A}" id="{0063004A-002F-4978-B980-00C7001700FE}" done="0">
    <text xml:space="preserve">24081/06 +50.000
</text>
  </threadedComment>
  <threadedComment ref="D726" personId="{17712874-6EA8-3767-D757-459F0A02958A}" id="{00B70097-003D-4327-937C-00EE00F400E3}" done="0">
    <text xml:space="preserve">24081/06 -50.000
</text>
  </threadedComment>
  <threadedComment ref="D730" personId="{17712874-6EA8-3767-D757-459F0A02958A}" id="{00CB004A-0073-4DFC-AEEF-002600520064}" done="0">
    <text xml:space="preserve">24006/01 +3.337.434
</text>
  </threadedComment>
  <threadedComment ref="D751" personId="{17712874-6EA8-3767-D757-459F0A02958A}" id="{00F300DD-001C-4FF4-8640-0065008F002D}" done="0">
    <text xml:space="preserve">24571/06 +88.036
</text>
  </threadedComment>
  <threadedComment ref="D755" personId="{17712874-6EA8-3767-D757-459F0A02958A}" id="{00B6000F-00B3-48D3-814B-006900A40033}" done="0">
    <text xml:space="preserve">24533/03 -25.482,15
24564/05 -7.793
24571/06 -88.036
</text>
  </threadedComment>
  <threadedComment ref="D756" personId="{17712874-6EA8-3767-D757-459F0A02958A}" id="{009F0086-0013-473B-BB25-007C00FD00A8}" done="0">
    <text xml:space="preserve">24533/03 +25.482,15
24564/05 +7.793
</text>
  </threadedComment>
  <threadedComment ref="D759" personId="{17712874-6EA8-3767-D757-459F0A02958A}" id="{004E002C-0049-4D20-9219-00FE00AD0065}" done="0">
    <text xml:space="preserve">24533/03 -7.633
24570/06 -2.800
</text>
  </threadedComment>
  <threadedComment ref="D760" personId="{17712874-6EA8-3767-D757-459F0A02958A}" id="{00E100BF-0035-41AE-80FB-0058009200D8}" done="0">
    <text xml:space="preserve">24533/03 +7.633
24571/06 +2.800
</text>
  </threadedComment>
  <threadedComment ref="D80" personId="{17712874-6EA8-3767-D757-459F0A02958A}" id="{00840063-009D-4CDC-83F4-008D002900D9}" done="0">
    <text xml:space="preserve">24012/01 +192.228 (309)
24046/04
+1.009.024,72 (0501)
+ 835.189,98 (0504)
24048/04 -1.196
</text>
  </threadedComment>
  <threadedComment ref="D798" personId="{17712874-6EA8-3767-D757-459F0A02958A}" id="{00580075-00DA-46F2-8633-005400DF009A}" done="0">
    <text xml:space="preserve">24533/03 +210.000
</text>
  </threadedComment>
  <threadedComment ref="D822" personId="{17712874-6EA8-3767-D757-459F0A02958A}" id="{009400F6-00E6-4BBC-9869-00B900730087}" done="0">
    <text xml:space="preserve">24533/03 -210.000
</text>
  </threadedComment>
  <threadedComment ref="D857" personId="{17712874-6EA8-3767-D757-459F0A02958A}" id="{005C0007-0020-4383-8DD8-0061004E0078}" done="0">
    <text xml:space="preserve">24042/03 -45.000
</text>
  </threadedComment>
  <threadedComment ref="D860" personId="{17712874-6EA8-3767-D757-459F0A02958A}" id="{00CC00AA-006B-4932-8C6E-000800950049}" done="0">
    <text xml:space="preserve">24042/03 +45.000
</text>
  </threadedComment>
  <threadedComment ref="D871" personId="{17712874-6EA8-3767-D757-459F0A02958A}" id="{00600095-0017-4DD9-B457-00A200FE004A}" done="0">
    <text xml:space="preserve">24049/04 +16.435.050
</text>
  </threadedComment>
  <threadedComment ref="D874" personId="{17712874-6EA8-3767-D757-459F0A02958A}" id="{00AC00DB-00FE-4D34-9F1C-0008004E008A}" done="0">
    <text xml:space="preserve">24039/03  0322
+ 5.068,40  253 1441
+45.615,60  911 1445
</text>
  </threadedComment>
  <threadedComment ref="D875" personId="{17712874-6EA8-3767-D757-459F0A02958A}" id="{00A6002B-00DA-4A5D-9889-00D2003C004C}" done="0">
    <text xml:space="preserve">24040/03  0323
+ 4.089  253 1441
+36.801  911 1445
</text>
  </threadedComment>
  <threadedComment ref="D876" personId="{17712874-6EA8-3767-D757-459F0A02958A}" id="{00EA006D-0077-419F-B363-00CC0034006F}" done="0">
    <text xml:space="preserve">24022/02  0321
+ 1.835,40  253 1441
+16.518,60 911 1445
</text>
  </threadedComment>
  <threadedComment ref="D878" personId="{17712874-6EA8-3767-D757-459F0A02958A}" id="{00B100AF-00BC-4726-9FD3-0027000F0075}" done="0">
    <text xml:space="preserve">24003/01 -10.000
24004/01 -15.000
24005/01 -272.932
24006/01 -3.337.434
24011/01 -192.228
24012/01 +192.228
24015/02 +319.987,99
24016/02 -90.488
24017/02 +289.333
24019/02 -266.805
24020/02 -96.558
24024/03 +400.000
24025.03 -348.800
24026.03 +3.226.272,84
24032/03 -70.000
24033/03 -59.000
24035/03 +5.514.060
24043/03 +1.548
24045/03 +5.904.137,50
24046/04 +1.844.214,70
24047/04 +1.284
24051/04 -231.352,61
24052/04 +21.989
24058/04 -80.000
24059/05 -134.310
24063/05 +8.862
24064/05 -313.948
24067/05 -10.000
24068/05 -150.000
24069/05
-36.900 -30.000
24070/05 -5.000
24071/05 -40.000
24072/05 
-1.002.336,01 +943.202,20
24073/06 +16.164.266,27
24077/06 +13.443,03
24083/06 -150.000
24084/06 -250.000
24085/06 -147.000
24587/06 -75.000
</text>
  </threadedComment>
  <threadedComment ref="D879" personId="{17712874-6EA8-3767-D757-459F0A02958A}" id="{000200EB-00D3-42B6-B3FA-00F800B7000A}" done="0">
    <text xml:space="preserve">24587/06 +75.000
</text>
  </threadedComment>
  <threadedComment ref="D91" personId="{17712874-6EA8-3767-D757-459F0A02958A}" id="{00070013-00FD-4A98-8481-00D200BE0010}" done="0">
    <text xml:space="preserve">24017/02 +289.333
</text>
  </threadedComment>
  <threadedComment ref="D92" personId="{17712874-6EA8-3767-D757-459F0A02958A}" id="{00CC00BB-0015-4B57-ACF3-00A800E00031}" done="0">
    <text xml:space="preserve">24017/02 +289.333
</text>
  </threadedComment>
</ThreadedComments>
</file>

<file path=xl/threadedComments/threadedComment4.xml><?xml version="1.0" encoding="utf-8"?>
<ThreadedComments xmlns="http://schemas.microsoft.com/office/spreadsheetml/2018/threadedcomments" xmlns:x="http://schemas.openxmlformats.org/spreadsheetml/2006/main">
  <threadedComment ref="D108" personId="{17712874-6EA8-3767-D757-459F0A02958A}" id="{00410014-0056-4494-8A02-0097005C0014}" done="0">
    <text xml:space="preserve">24045/03 +50.700
</text>
  </threadedComment>
  <threadedComment ref="E12" personId="{17712874-6EA8-3767-D757-459F0A02958A}" id="{00AB0005-00AB-499F-AD69-000A00B900F1}" done="0">
    <text xml:space="preserve">040 ř.4220
nebo
list dle 040
</text>
  </threadedComment>
  <threadedComment ref="D115" personId="{17712874-6EA8-3767-D757-459F0A02958A}" id="{003C0006-00B3-4FF4-90FD-004B006E0038}" done="0">
    <text xml:space="preserve">24045/03 +1.600.000
</text>
  </threadedComment>
  <threadedComment ref="D116" personId="{17712874-6EA8-3767-D757-459F0A02958A}" id="{007E00E6-0067-466A-B0F9-00F9006F0010}" done="0">
    <text xml:space="preserve">24015/02 
+13.779,02 (0309)
+87.878,61 (0305)
+201.127,47 (0307)
</text>
  </threadedComment>
  <threadedComment ref="D117" personId="{17712874-6EA8-3767-D757-459F0A02958A}" id="{00C40098-0092-45D3-8561-007E007D00C3}" done="0">
    <text xml:space="preserve">24015/02 +236.709,36
</text>
  </threadedComment>
  <threadedComment ref="D118" personId="{17712874-6EA8-3767-D757-459F0A02958A}" id="{00850096-0068-434D-A1BB-006300A2004C}" done="0">
    <text xml:space="preserve">24015/02 +159.713,55
</text>
  </threadedComment>
  <threadedComment ref="D119" personId="{17712874-6EA8-3767-D757-459F0A02958A}" id="{00A60007-00AF-4F95-97D0-00A900E200D7}" done="0">
    <text xml:space="preserve">24015/02 +391.374,39
</text>
  </threadedComment>
  <threadedComment ref="D120" personId="{17712874-6EA8-3767-D757-459F0A02958A}" id="{002A0006-00BC-4167-A0D9-00D60000001E}" done="0">
    <text xml:space="preserve">24026.03 +3.226.272,84
</text>
  </threadedComment>
  <threadedComment ref="D121" personId="{17712874-6EA8-3767-D757-459F0A02958A}" id="{006300D1-001A-4717-9B74-008100840039}" done="0">
    <text xml:space="preserve">24045/03 +25.251
</text>
  </threadedComment>
  <threadedComment ref="D122" personId="{17712874-6EA8-3767-D757-459F0A02958A}" id="{0074008F-00E5-479D-A37F-004E003400BC}" done="0">
    <text xml:space="preserve">24045/03 org 1180
+74.693,50  § 3111
+40.293      § 3113
24115/08 +1.119.873,05
24145/10 +35.000
</text>
  </threadedComment>
  <threadedComment ref="D123" personId="{17712874-6EA8-3767-D757-459F0A02958A}" id="{00060002-0046-4DE8-A5C3-003F003800C7}" done="0">
    <text xml:space="preserve">24045/03 +900.000
</text>
  </threadedComment>
  <threadedComment ref="D124" personId="{17712874-6EA8-3767-D757-459F0A02958A}" id="{00CF00D7-0095-4595-A6CA-008F00D90046}" done="0">
    <text xml:space="preserve">24022/02  0321
+ 1.835,40  253 1441
+16.518,60 911 1445
</text>
  </threadedComment>
  <threadedComment ref="D125" personId="{17712874-6EA8-3767-D757-459F0A02958A}" id="{002F0094-00AD-4272-8431-00DC0058001A}" done="0">
    <text xml:space="preserve">24039/03 
+ 5.068,40 úz 253 1441
+45.615,60 úz 911 1445
</text>
  </threadedComment>
  <threadedComment ref="D126" personId="{17712874-6EA8-3767-D757-459F0A02958A}" id="{008E00F3-00C8-4CC7-9733-003900E200E2}" done="0">
    <text xml:space="preserve">24040/03 
+ 4.089 úz 253 1441
+36.801 úz 911 1445
</text>
  </threadedComment>
  <threadedComment ref="D128" personId="{17712874-6EA8-3767-D757-459F0A02958A}" id="{00BE00EF-00ED-4578-8C86-00EB00320001}" done="0">
    <text xml:space="preserve">24014/02 
-50.000 (741)
+50.000 (528)
24023/02 
-50.000 (741)
+50.000 (416)
</text>
  </threadedComment>
  <threadedComment ref="D129" personId="{17712874-6EA8-3767-D757-459F0A02958A}" id="{002E002B-0042-4314-9C8B-006B007E00C6}" done="0">
    <text xml:space="preserve">24052/04 +112.397
24074/06 +186.860
24143/10 +315.085
24175/12 +93.877
</text>
  </threadedComment>
  <threadedComment ref="D137" personId="{17712874-6EA8-3767-D757-459F0A02958A}" id="{0096003C-00F3-44B4-BEF8-005F0007009A}" done="0">
    <text xml:space="preserve">24045/03 +180.000
</text>
  </threadedComment>
  <threadedComment ref="D139" personId="{17712874-6EA8-3767-D757-459F0A02958A}" id="{003E002B-0008-4C3D-8D43-0015007500D5}" done="0">
    <text xml:space="preserve">24005/01 +250.000
</text>
  </threadedComment>
  <threadedComment ref="D141" personId="{17712874-6EA8-3767-D757-459F0A02958A}" id="{00CA0070-0017-4E04-8531-00270016003A}" done="0">
    <text xml:space="preserve">24044/03 -3.000.000
</text>
  </threadedComment>
  <threadedComment ref="D142" personId="{17712874-6EA8-3767-D757-459F0A02958A}" id="{00B800D7-0051-4E1D-B13D-002600DB0095}" done="0">
    <text xml:space="preserve">24044/03 +3.000.000
24115/08 +802.146,80
</text>
  </threadedComment>
  <threadedComment ref="D143" personId="{17712874-6EA8-3767-D757-459F0A02958A}" id="{00FF00A3-0001-4929-9431-00C500360058}" done="0">
    <text xml:space="preserve">24045/03 +1.000
</text>
  </threadedComment>
  <threadedComment ref="D151" personId="{17712874-6EA8-3767-D757-459F0A02958A}" id="{00FC00F2-00C7-48C1-93C2-009C00B90076}" done="0">
    <text xml:space="preserve">24119/09 -200.000
</text>
  </threadedComment>
  <threadedComment ref="D154" personId="{17712874-6EA8-3767-D757-459F0A02958A}" id="{00C600AC-001F-4530-8CF5-00AE001900DE}" done="0">
    <text xml:space="preserve">24045/03 +250.000
</text>
  </threadedComment>
  <threadedComment ref="D157" personId="{17712874-6EA8-3767-D757-459F0A02958A}" id="{007D00D0-0047-4024-9BA0-006F00D300FA}" done="0">
    <text xml:space="preserve">24045/03 -250.000 chata Jič
</text>
  </threadedComment>
  <threadedComment ref="D163" personId="{17712874-6EA8-3767-D757-459F0A02958A}" id="{000C00A6-002D-4796-9EDC-008A0095007D}" done="0">
    <text xml:space="preserve">24088/07 -8.304.000
</text>
  </threadedComment>
  <threadedComment ref="D164" personId="{17712874-6EA8-3767-D757-459F0A02958A}" id="{00E700A4-00B1-4809-A26C-00BF004200E6}" done="0">
    <text xml:space="preserve">24087/07 -1.000.000
</text>
  </threadedComment>
  <threadedComment ref="D166" personId="{17712874-6EA8-3767-D757-459F0A02958A}" id="{006C00C1-0076-4F71-93B5-00C9005200CB}" done="0">
    <text xml:space="preserve">24118/09 -125.387,36
</text>
  </threadedComment>
  <threadedComment ref="D168" personId="{17712874-6EA8-3767-D757-459F0A02958A}" id="{00F500EA-0054-4578-B2A3-008400310049}" done="0">
    <text xml:space="preserve">24065/05 -500.000 EP 
24118/09 -500.000 ZK+Sen
</text>
  </threadedComment>
  <threadedComment ref="D169" personId="{17712874-6EA8-3767-D757-459F0A02958A}" id="{0088008B-0042-44A2-8AC1-009C007400E9}" done="0">
    <text xml:space="preserve">24073/06 +16.164.266,27 
</text>
  </threadedComment>
  <threadedComment ref="D172" personId="{17712874-6EA8-3767-D757-459F0A02958A}" id="{00C70075-00D4-44FC-9DFA-0030004A0084}" done="0">
    <text xml:space="preserve">24140/10 +57.566.790
</text>
  </threadedComment>
  <threadedComment ref="D175" personId="{17712874-6EA8-3767-D757-459F0A02958A}" id="{00FE0004-0084-49B5-96EF-00C2003F0027}" done="0">
    <text xml:space="preserve">24176/12 -3.306.000
</text>
  </threadedComment>
  <threadedComment ref="D176" personId="{17712874-6EA8-3767-D757-459F0A02958A}" id="{00C50022-0056-4DDC-B4D5-006B008800B5}" done="0">
    <text xml:space="preserve">24176/12 -4.200.000
</text>
  </threadedComment>
  <threadedComment ref="D177" personId="{17712874-6EA8-3767-D757-459F0A02958A}" id="{008600F5-00CF-4501-8B7F-004400BF00CA}" done="0">
    <text xml:space="preserve">24176/12 -5.690.000
</text>
  </threadedComment>
  <threadedComment ref="D178" personId="{17712874-6EA8-3767-D757-459F0A02958A}" id="{002100DD-0089-41FA-995B-00140025001A}" done="0">
    <text xml:space="preserve">24176/12 +51.260
</text>
  </threadedComment>
  <threadedComment ref="D179" personId="{17712874-6EA8-3767-D757-459F0A02958A}" id="{00D8007B-00BE-4923-BA1D-00B9009F00C8}" done="0">
    <text xml:space="preserve">24176/12 -204.260
</text>
  </threadedComment>
  <threadedComment ref="D180" personId="{17712874-6EA8-3767-D757-459F0A02958A}" id="{000700E8-0028-473D-9F48-000500E70046}" done="0">
    <text xml:space="preserve">24176/12 -610.000
</text>
  </threadedComment>
  <threadedComment ref="D186" personId="{17712874-6EA8-3767-D757-459F0A02958A}" id="{0016006E-0069-4DFC-A01B-0074002D00E7}" done="0">
    <text xml:space="preserve">24005/01 -522.932
</text>
  </threadedComment>
  <threadedComment ref="D187" personId="{17712874-6EA8-3767-D757-459F0A02958A}" id="{00D400A9-0009-4F0C-92C1-002C0082008E}" done="0">
    <text xml:space="preserve">24062/05-400.000
</text>
  </threadedComment>
  <threadedComment ref="D188" personId="{17712874-6EA8-3767-D757-459F0A02958A}" id="{006700A5-00CD-4021-81A7-0052006300A9}" done="0">
    <text xml:space="preserve">24072/05 -1.002.336,01
</text>
  </threadedComment>
  <threadedComment ref="D189" personId="{17712874-6EA8-3767-D757-459F0A02958A}" id="{00B900F9-0073-48D2-8525-008A00AA00B4}" done="0">
    <text xml:space="preserve">24114/08 -1.700.000
</text>
  </threadedComment>
  <threadedComment ref="D190" personId="{17712874-6EA8-3767-D757-459F0A02958A}" id="{006400B3-0010-4CD6-944D-00A2006D00A0}" done="0">
    <text xml:space="preserve">24176/12 -585.000
</text>
  </threadedComment>
  <threadedComment ref="D194" personId="{17712874-6EA8-3767-D757-459F0A02958A}" id="{00920073-0096-4AE9-888E-00ED00DF0093}" done="0">
    <text xml:space="preserve">24018/02 +124.612,64
24050/04 +-124.612,64
</text>
  </threadedComment>
  <threadedComment ref="D195" personId="{17712874-6EA8-3767-D757-459F0A02958A}" id="{00470082-0003-4893-8503-005E00C500F9}" done="0">
    <text xml:space="preserve">24118/09 +713.000
</text>
  </threadedComment>
  <threadedComment ref="D196" personId="{17712874-6EA8-3767-D757-459F0A02958A}" id="{001F003A-0032-4B7F-9825-0039000C00AE}" done="0">
    <text xml:space="preserve">24065/05 +724.000
</text>
  </threadedComment>
  <threadedComment ref="D199" personId="{17712874-6EA8-3767-D757-459F0A02958A}" id="{007F00D9-006F-4DEC-9B4E-00BC00DC009F}" done="0">
    <text xml:space="preserve">23087/07 +1.067.803
</text>
  </threadedComment>
  <threadedComment ref="D200" personId="{17712874-6EA8-3767-D757-459F0A02958A}" id="{005600C9-0092-405D-B2FC-001E00C6004E}" done="0">
    <text xml:space="preserve">24018/02 +625.431,35
24174/12 -114.563,55
</text>
  </threadedComment>
  <threadedComment ref="D201" personId="{17712874-6EA8-3767-D757-459F0A02958A}" id="{00D90032-00F3-402B-8967-007100280057}" done="0">
    <text xml:space="preserve">24088/07 +8.122.800
</text>
  </threadedComment>
  <threadedComment ref="D202" personId="{17712874-6EA8-3767-D757-459F0A02958A}" id="{003C009E-0094-4E9D-8C86-005A006B00FF}" done="0">
    <text xml:space="preserve">24066/05 
+   261.245,45 úz17084 1491
+4.441.172,63 úz17085 1495
</text>
  </threadedComment>
  <threadedComment ref="D203" personId="{17712874-6EA8-3767-D757-459F0A02958A}" id="{001800DC-008A-4CC9-BD19-00B1005A0070}" done="0">
    <text xml:space="preserve">24072/05 
+   61.704,81 úz17085 1495
</text>
  </threadedComment>
  <threadedComment ref="D204" personId="{17712874-6EA8-3767-D757-459F0A02958A}" id="{00E40004-0019-408C-A590-004F00FA0051}" done="0">
    <text xml:space="preserve">24062/05 +400.000
</text>
  </threadedComment>
  <threadedComment ref="D205" personId="{17712874-6EA8-3767-D757-459F0A02958A}" id="{00680046-0000-4B68-9AC0-00CE00750041}" done="0">
    <text xml:space="preserve">24176/12 -100.000
</text>
  </threadedComment>
  <threadedComment ref="D206" personId="{17712874-6EA8-3767-D757-459F0A02958A}" id="{00A40044-0085-4334-B531-00E700A0006B}" done="0">
    <text xml:space="preserve">24108/08 +920.000
</text>
  </threadedComment>
  <threadedComment ref="D208" personId="{17712874-6EA8-3767-D757-459F0A02958A}" id="{00D100C1-00DC-4B80-BC52-000000F500E0}" done="0">
    <text xml:space="preserve">24176/12 +7.500
</text>
  </threadedComment>
  <threadedComment ref="D209" personId="{17712874-6EA8-3767-D757-459F0A02958A}" id="{006B0047-0083-402A-BCE8-007F001100D7}" done="0">
    <text xml:space="preserve">24176/12 -1.131
</text>
  </threadedComment>
  <threadedComment ref="D210" personId="{17712874-6EA8-3767-D757-459F0A02958A}" id="{008200C9-001D-4816-8CAD-00D7001600F9}" done="0">
    <text xml:space="preserve">24176/12 -83.296
</text>
  </threadedComment>
  <threadedComment ref="D211" personId="{17712874-6EA8-3767-D757-459F0A02958A}" id="{00160095-00CF-4236-9C96-008A00B000BD}" done="0">
    <text xml:space="preserve">24176/12 -205.034
</text>
  </threadedComment>
  <threadedComment ref="D212" personId="{17712874-6EA8-3767-D757-459F0A02958A}" id="{00490015-0081-4172-AE8F-00BF009600C4}" done="0">
    <text xml:space="preserve">24041/03 -+ 354.926
z ORJ 541 na 029
</text>
  </threadedComment>
  <threadedComment ref="D213" personId="{17712874-6EA8-3767-D757-459F0A02958A}" id="{00110027-00F4-4118-BD2D-00AD00940092}" done="0">
    <text xml:space="preserve">24176/12 +65.724,92 DPH
+312.975,82
24177/12 -53.340 DPH
 -254.000
</text>
  </threadedComment>
  <threadedComment ref="D214" personId="{17712874-6EA8-3767-D757-459F0A02958A}" id="{00D900A3-003C-441C-9805-007200FE000A}" done="0">
    <text xml:space="preserve">24176/12 +150
</text>
  </threadedComment>
  <threadedComment ref="D215" personId="{17712874-6EA8-3767-D757-459F0A02958A}" id="{00C10038-0060-4FFC-8D79-00CB002D00EC}" done="0">
    <text xml:space="preserve">24176/12 +9.000
</text>
  </threadedComment>
  <threadedComment ref="D217" personId="{17712874-6EA8-3767-D757-459F0A02958A}" id="{000B00B2-001B-4D79-8DBB-000500F800F6}" done="0">
    <text xml:space="preserve">24001/01 +4.743.000
</text>
  </threadedComment>
  <threadedComment ref="D218" personId="{17712874-6EA8-3767-D757-459F0A02958A}" id="{005E00D8-00EE-4854-93D9-00C7005F00AF}" done="0">
    <text xml:space="preserve">24056/04 +80.000 úz673
24119/09 
-80.000 úz673
+80.000 úz674
</text>
  </threadedComment>
  <threadedComment ref="D219" personId="{17712874-6EA8-3767-D757-459F0A02958A}" id="{007300E2-0022-4587-BB91-007F004B00EC}" done="0">
    <text xml:space="preserve">24130/09 +500.000
</text>
  </threadedComment>
  <threadedComment ref="D220" personId="{17712874-6EA8-3767-D757-459F0A02958A}" id="{0004000D-00CE-4A0D-B2D9-009600AD0050}" done="0">
    <text xml:space="preserve">24055/04 +210.200
</text>
  </threadedComment>
  <threadedComment ref="D221" personId="{17712874-6EA8-3767-D757-459F0A02958A}" id="{00DD004A-001F-4A2E-829D-006D001300C6}" done="0">
    <text xml:space="preserve">24030/03 
+ 3.419,60  úz253 1441
+30.776,40 úz911 1445
24096/07 
- 1.303,80 úz253 1441
-11.734,20 úz911 1445
24121/09 
+ 12.834   úz253 1441
+115.506  úz 911 1445
</text>
  </threadedComment>
  <threadedComment ref="D222" personId="{17712874-6EA8-3767-D757-459F0A02958A}" id="{00EC0031-007D-43FF-A490-00A50011007F}" done="0">
    <text xml:space="preserve">24027/03 
+ 4.890  úz253 1441
+44.010 úz911 1445
24092/07 
- 1.607,20 úz 253 1441
-14.464,80 úz911 1445
24166/12 
+ 9.850   úz253 1441
+88.650  úz911 1445
</text>
  </threadedComment>
  <threadedComment ref="D223" personId="{17712874-6EA8-3767-D757-459F0A02958A}" id="{002300C3-00D6-4FD3-A922-00F400B100C8}" done="0">
    <text xml:space="preserve">24027/03 
+ 7.519  úz253 1441
+67.671 úz911 1445
24144/10
- 5.202,40  úz253 1441
-46.821,60 úz911 1445
24152/11
+17.098,20 úz253 1441
+153.883,80 úz911 1445
</text>
  </threadedComment>
  <threadedComment ref="D224" personId="{17712874-6EA8-3767-D757-459F0A02958A}" id="{00EE0095-007D-4827-AEFA-007000590083}" done="0">
    <text xml:space="preserve">24029/03 
+ 6.180  úz253 1441
+55.620 úz911 1445
24095/07
- 4.116 úz253 1441
-37.044 úz911 1445
24122/09 
+ 9.159,75 úz253 1441
+82.437,75 úz911 1445
</text>
  </threadedComment>
  <threadedComment ref="D225" personId="{17712874-6EA8-3767-D757-459F0A02958A}" id="{00A0009C-0078-4A21-B424-002D00020090}" done="0">
    <text xml:space="preserve">24142/10
+ 11.663,45  úz253 1441
+104.971,05 úz911 1445
</text>
  </threadedComment>
  <threadedComment ref="D226" personId="{17712874-6EA8-3767-D757-459F0A02958A}" id="{00870075-00A5-4DBE-90FF-007300410089}" done="0">
    <text xml:space="preserve">24117/09 +170.400
</text>
  </threadedComment>
  <threadedComment ref="D227" personId="{17712874-6EA8-3767-D757-459F0A02958A}" id="{00C3004D-0099-4C40-A9B4-00D600690056}" done="0">
    <text xml:space="preserve">24031/03 +4.573.000
24570/05 oprava úz na 914
24127/09 +441.000 úz914
</text>
  </threadedComment>
  <threadedComment ref="D228" personId="{17712874-6EA8-3767-D757-459F0A02958A}" id="{00CB0008-00E9-4A3A-87AC-005400BD00F2}" done="0">
    <text xml:space="preserve">24163/11 +63.113
</text>
  </threadedComment>
  <threadedComment ref="D229" personId="{17712874-6EA8-3767-D757-459F0A02958A}" id="{003700AD-0025-49AD-879B-0089003500EB}" done="0">
    <text xml:space="preserve">24172/12 úz 916
+607.616,31  035
+ 44.457,58  102
+ 48.264,06  019
+217.682,05  110
</text>
  </threadedComment>
  <threadedComment ref="E232" personId="{17712874-6EA8-3767-D757-459F0A02958A}" id="{001C00AC-0035-46C6-A42F-00C000210066}" done="0">
    <text xml:space="preserve">040 - ř.4310
</text>
  </threadedComment>
  <threadedComment ref="D235" personId="{17712874-6EA8-3767-D757-459F0A02958A}" id="{000E00A2-0092-401C-BDF8-00450082009E}" done="0">
    <text xml:space="preserve">24176/12 -1.817.357,44
</text>
  </threadedComment>
  <threadedComment ref="D236" personId="{17712874-6EA8-3767-D757-459F0A02958A}" id="{00CB0055-0030-45E0-B039-002800F6004F}" done="0">
    <text xml:space="preserve">24179/12 +1.089.981,05
</text>
  </threadedComment>
  <threadedComment ref="D238" personId="{17712874-6EA8-3767-D757-459F0A02958A}" id="{006A004A-0086-4D04-A401-00D800DE0066}" done="0">
    <text xml:space="preserve">24173/12 +891.942,97
</text>
  </threadedComment>
  <threadedComment ref="D239" personId="{17712874-6EA8-3767-D757-459F0A02958A}" id="{00DE0089-003B-4D3F-8B39-008F000A00A7}" done="0">
    <text xml:space="preserve">24066/05 
+  336.616,61 úz17518 1491
+5.722.482,44 úz17519 1495
</text>
  </threadedComment>
  <threadedComment ref="D240" personId="{17712874-6EA8-3767-D757-459F0A02958A}" id="{00B000E8-005E-4261-9AA4-00BC00CE00BE}" done="0">
    <text xml:space="preserve">24072/05 
+  881.497,39 úz17519 1495
</text>
  </threadedComment>
  <threadedComment ref="D241" personId="{17712874-6EA8-3767-D757-459F0A02958A}" id="{00A70000-008F-4D41-B783-003A00110055}" done="0">
    <text xml:space="preserve">24114/0/85 
+ 1.093.905,82 úz17519 1495
24176/12 
-1.093.905,82
</text>
  </threadedComment>
  <threadedComment ref="D242" personId="{17712874-6EA8-3767-D757-459F0A02958A}" id="{000600DC-0005-435F-A36A-00BB00D9006E}" done="0">
    <text xml:space="preserve">24089/07 úz 17526
+121.920,75 (NáZ 1701)
+580.575  (NáZ 1705)
</text>
  </threadedComment>
  <threadedComment ref="D243" personId="{17712874-6EA8-3767-D757-459F0A02958A}" id="{0065002D-00FC-43A7-9968-0073006C0010}" done="0">
    <text xml:space="preserve">24035/03 + 5.514.060
</text>
  </threadedComment>
  <threadedComment ref="D244" personId="{17712874-6EA8-3767-D757-459F0A02958A}" id="{009D00DC-0028-4D48-B0C1-003F00EA00CA}" done="0">
    <text xml:space="preserve">24182/12 +14.953.726
</text>
  </threadedComment>
  <threadedComment ref="D246" personId="{17712874-6EA8-3767-D757-459F0A02958A}" id="{00140022-00D3-47A6-A207-00D200160039}" done="0">
    <text xml:space="preserve">24176/12 -79.980
</text>
  </threadedComment>
  <threadedComment ref="D247" personId="{17712874-6EA8-3767-D757-459F0A02958A}" id="{00F20011-0062-45E2-BA0F-008600DD00AC}" done="0">
    <text xml:space="preserve">24057/04 +300.000
</text>
  </threadedComment>
  <threadedComment ref="D248" personId="{17712874-6EA8-3767-D757-459F0A02958A}" id="{004A00DB-006F-4A80-A292-0042008400CE}" done="0">
    <text xml:space="preserve">24176/12 +911
</text>
  </threadedComment>
  <threadedComment ref="D249" personId="{17712874-6EA8-3767-D757-459F0A02958A}" id="{007C003F-0052-4043-A0FB-0076001B0059}" done="0">
    <text xml:space="preserve">24104/07 +1.200.000
</text>
  </threadedComment>
  <threadedComment ref="D250" personId="{17712874-6EA8-3767-D757-459F0A02958A}" id="{00910022-0018-4CE5-B200-00F600120068}" done="0">
    <text xml:space="preserve">24176/12 -287.980
</text>
  </threadedComment>
  <threadedComment ref="D255" personId="{17712874-6EA8-3767-D757-459F0A02958A}" id="{00D900CA-00AD-4C0B-88F2-009C00A800F5}" done="0">
    <text xml:space="preserve">24073 -+16.164.266,27
</text>
  </threadedComment>
  <threadedComment ref="D268" personId="{17712874-6EA8-3767-D757-459F0A02958A}" id="{00D500FB-002B-427C-A042-004F000C0031}" done="0">
    <text xml:space="preserve">24009/01 -200.000
</text>
  </threadedComment>
  <threadedComment ref="D269" personId="{17712874-6EA8-3767-D757-459F0A02958A}" id="{002C0005-00B7-4FC3-8FC1-007700710046}" done="0">
    <text xml:space="preserve">24126/09 +60.016
</text>
  </threadedComment>
  <threadedComment ref="D270" personId="{17712874-6EA8-3767-D757-459F0A02958A}" id="{0009003F-005D-4714-AC9A-003A00FB00C9}" done="0">
    <text xml:space="preserve">24009/01 -1.500.000
</text>
  </threadedComment>
  <threadedComment ref="D272" personId="{17712874-6EA8-3767-D757-459F0A02958A}" id="{00B900EA-00AC-4288-ACF6-00E100DB0005}" done="0">
    <text xml:space="preserve">24603/07 +70.000
24649/10 +5.000
</text>
  </threadedComment>
  <threadedComment ref="D273" personId="{17712874-6EA8-3767-D757-459F0A02958A}" id="{00AA000A-0065-4B64-A9FA-006A003900B8}" done="0">
    <text xml:space="preserve">24689/11 -93.500
24686/11 -54.408
</text>
  </threadedComment>
  <threadedComment ref="D274" personId="{17712874-6EA8-3767-D757-459F0A02958A}" id="{000100C6-0038-4638-9B95-0033008100D7}" done="0">
    <text xml:space="preserve">24603/07 -70.000
24112/08 +518.811,7
24126/09 -60.016
24649/10 -5.000
24679/11 +93.500
24686/11 +54.408
24714/12 +200.000
</text>
  </threadedComment>
  <threadedComment ref="D275" personId="{17712874-6EA8-3767-D757-459F0A02958A}" id="{00630051-00EE-435E-B466-00AF00010034}" done="0">
    <text xml:space="preserve">24714/12 -200.000
</text>
  </threadedComment>
  <threadedComment ref="D277" personId="{17712874-6EA8-3767-D757-459F0A02958A}" id="{0097000A-005E-4EDF-AE5C-0074003300C9}" done="0">
    <text xml:space="preserve">24161/11 +181.000
24172/12 +44.457,58 úz916
</text>
  </threadedComment>
  <threadedComment ref="D281" personId="{17712874-6EA8-3767-D757-459F0A02958A}" id="{00B100A6-00D6-43DA-BC6A-00CC00740097}" done="0">
    <text xml:space="preserve">24508/01 -42.086
24139/10 -87.914
</text>
  </threadedComment>
  <threadedComment ref="D282" personId="{17712874-6EA8-3767-D757-459F0A02958A}" id="{00460091-0012-4E12-B785-004B00DA0057}" done="0">
    <text xml:space="preserve">24508/01 +42.086
</text>
  </threadedComment>
  <threadedComment ref="D284" personId="{17712874-6EA8-3767-D757-459F0A02958A}" id="{00F900D4-00E0-402F-B180-008E00410013}" done="0">
    <text xml:space="preserve">24153/11 -102.363
</text>
  </threadedComment>
  <threadedComment ref="D286" personId="{17712874-6EA8-3767-D757-459F0A02958A}" id="{003E0089-0055-47A6-B504-004A00480013}" done="0">
    <text xml:space="preserve">24153/11 -800.000
</text>
  </threadedComment>
  <threadedComment ref="D287" personId="{17712874-6EA8-3767-D757-459F0A02958A}" id="{00830054-00E0-472B-92E8-003A005500C9}" done="0">
    <text xml:space="preserve">24076/06 -353.320
24153/11 -1.500.000
24172/12 +217.682,05 úz916
24180/12 -700.000
24181/12 -217.682,05
</text>
  </threadedComment>
  <threadedComment ref="D288" personId="{17712874-6EA8-3767-D757-459F0A02958A}" id="{00C50013-00A4-42B2-8B5F-001300A000BA}" done="0">
    <text xml:space="preserve">24099/07 -844.606,62
24662/10 +360.000
24663/10 +298.000
24670/11 +2.031,60
monika
+482.527,60
</text>
  </threadedComment>
  <threadedComment ref="D289" personId="{17712874-6EA8-3767-D757-459F0A02958A}" id="{0095000E-000A-4982-9D85-003600A200E5}" done="0">
    <text xml:space="preserve">24139/10 -162.086
24662/10 -360.000
24663/10 -298.000
24160/11 -427.100
24161/11 -181.000
24670/11 -2.031,60
</text>
  </threadedComment>
  <threadedComment ref="D291" personId="{17712874-6EA8-3767-D757-459F0A02958A}" id="{00770037-0010-4AAD-9AA5-008700580053}" done="0">
    <text xml:space="preserve">monika 
-482.527,60
</text>
  </threadedComment>
  <threadedComment ref="D292" personId="{17712874-6EA8-3767-D757-459F0A02958A}" id="{000C0014-006F-4752-BF6D-001A00710066}" done="0">
    <text xml:space="preserve">24060/05 +1.100.000
lávka Novosady
</text>
  </threadedComment>
  <threadedComment ref="D295" personId="{17712874-6EA8-3767-D757-459F0A02958A}" id="{00B10086-00ED-48CC-86AE-00D90027000F}" done="0">
    <text xml:space="preserve">24090/07 +26.555
</text>
  </threadedComment>
  <threadedComment ref="D298" personId="{17712874-6EA8-3767-D757-459F0A02958A}" id="{001900A6-00D4-48C6-A113-00C600BC008F}" done="0">
    <text xml:space="preserve">24010/01 +100.000
24580/06 +76.452,36
</text>
  </threadedComment>
  <threadedComment ref="D301" personId="{17712874-6EA8-3767-D757-459F0A02958A}" id="{00A30051-004A-423D-AEC5-0013002D002D}" done="0">
    <text xml:space="preserve">24580/06 -76.452,36
</text>
  </threadedComment>
  <threadedComment ref="D302" personId="{17712874-6EA8-3767-D757-459F0A02958A}" id="{00EA001A-0049-43DB-970F-0035006C00BC}" done="0">
    <text xml:space="preserve">24019/02 +266.805
24099/07 +844.606,62
24160/11 +427.100
</text>
  </threadedComment>
  <threadedComment ref="D304" personId="{17712874-6EA8-3767-D757-459F0A02958A}" id="{007000EE-0031-45E1-B3DB-00AB00F40071}" done="0">
    <text xml:space="preserve">24582/06 +-16.044,60
z 5169 na 5139
</text>
  </threadedComment>
  <threadedComment ref="D308" personId="{17712874-6EA8-3767-D757-459F0A02958A}" id="{00B600CD-0027-4289-A54A-008100B500ED}" done="0">
    <text xml:space="preserve">24146/10 -2.859.600
</text>
  </threadedComment>
  <threadedComment ref="D309" personId="{17712874-6EA8-3767-D757-459F0A02958A}" id="{00E60035-00E2-442A-89EE-009100E00054}" done="0">
    <text xml:space="preserve">24581/06 -5.000
</text>
  </threadedComment>
  <threadedComment ref="D310" personId="{17712874-6EA8-3767-D757-459F0A02958A}" id="{00240013-000F-47B3-90F5-00F4006A004E}" done="0">
    <text xml:space="preserve">24581/06 +5.000
</text>
  </threadedComment>
  <threadedComment ref="D313" personId="{17712874-6EA8-3767-D757-459F0A02958A}" id="{00DC0054-0050-4BEF-9B74-006100BE0003}" done="0">
    <text xml:space="preserve">24604/07 -30.000
</text>
  </threadedComment>
  <threadedComment ref="D314" personId="{17712874-6EA8-3767-D757-459F0A02958A}" id="{00500045-005D-4FFC-ABE6-009000D50005}" done="0">
    <text xml:space="preserve">24569/05 -10.000
</text>
  </threadedComment>
  <threadedComment ref="D315" personId="{17712874-6EA8-3767-D757-459F0A02958A}" id="{0007004E-0016-4FB8-8D37-00E100D6003D}" done="0">
    <text xml:space="preserve">24569/05 +10.000
24604/07 +30.000
24177/12 -29.932
</text>
  </threadedComment>
  <threadedComment ref="D318" personId="{17712874-6EA8-3767-D757-459F0A02958A}" id="{00540058-0044-4551-98FB-003000420080}" done="0">
    <text xml:space="preserve">24513/01 -1230
</text>
  </threadedComment>
  <threadedComment ref="D319" personId="{17712874-6EA8-3767-D757-459F0A02958A}" id="{000F00CE-008C-4A0A-A2EB-003800BA0002}" done="0">
    <text xml:space="preserve">24513/01 +1.230
</text>
  </threadedComment>
  <threadedComment ref="D320" personId="{17712874-6EA8-3767-D757-459F0A02958A}" id="{00F800AD-00E2-44BB-907B-009D005E0061}" done="0">
    <text xml:space="preserve">24578/06 +29.142
</text>
  </threadedComment>
  <threadedComment ref="D321" personId="{17712874-6EA8-3767-D757-459F0A02958A}" id="{00260078-00AE-4FA5-B6E5-0060008F00B8}" done="0">
    <text xml:space="preserve">24512/01 +-600.000
z 6121 na 6122
24578/06 -29.142
</text>
  </threadedComment>
  <threadedComment ref="D323" personId="{17712874-6EA8-3767-D757-459F0A02958A}" id="{00EF0096-00B2-4CEC-ADA8-005A00A800F0}" done="0">
    <text xml:space="preserve">24102/07 +3.025
</text>
  </threadedComment>
  <threadedComment ref="D325" personId="{17712874-6EA8-3767-D757-459F0A02958A}" id="{00BD0085-00AF-485B-9A3C-00E100CF006C}" done="0">
    <text xml:space="preserve">24607/07 +124.741,32
</text>
  </threadedComment>
  <threadedComment ref="D326" personId="{17712874-6EA8-3767-D757-459F0A02958A}" id="{00BE00C2-00C8-4C05-837C-001A0023000E}" done="0">
    <text xml:space="preserve">24110/08 -225.060
</text>
  </threadedComment>
  <threadedComment ref="D328" personId="{17712874-6EA8-3767-D757-459F0A02958A}" id="{00C00022-00A7-45D0-AF6E-002F00220057}" done="0">
    <text xml:space="preserve">24078/06 -39.446
</text>
  </threadedComment>
  <threadedComment ref="D329" personId="{17712874-6EA8-3767-D757-459F0A02958A}" id="{009B002B-0099-4A2F-91BD-0002007C004F}" done="0">
    <text xml:space="preserve">24102/07 -3.025
</text>
  </threadedComment>
  <threadedComment ref="D330" personId="{17712874-6EA8-3767-D757-459F0A02958A}" id="{00C90080-0097-43BB-A83C-0012000C0068}" done="0">
    <text xml:space="preserve">24054/04 -287.641,20
24082/06 -33.226,60
24607/07 -124.741,32
24110/08 +225.060
</text>
  </threadedComment>
  <threadedComment ref="D332" personId="{17712874-6EA8-3767-D757-459F0A02958A}" id="{00BA007E-0055-4F63-ABE0-0093009B00BA}" done="0">
    <text xml:space="preserve">24057/04 +287.641,20
24078/06 +39.446
</text>
  </threadedComment>
  <threadedComment ref="D336" personId="{17712874-6EA8-3767-D757-459F0A02958A}" id="{00A30007-00D9-4854-BD1E-00B600AD0077}" done="0">
    <text xml:space="preserve">24680/11 -36.000
</text>
  </threadedComment>
  <threadedComment ref="D337" personId="{17712874-6EA8-3767-D757-459F0A02958A}" id="{000B0020-000A-43A3-9ECE-00DF000A0055}" done="0">
    <text xml:space="preserve">24671/11 +40.000
</text>
  </threadedComment>
  <threadedComment ref="D338" personId="{17712874-6EA8-3767-D757-459F0A02958A}" id="{0084009B-004F-4DC9-B192-00CE00320016}" done="0">
    <text xml:space="preserve">24671/11 -40.000
</text>
  </threadedComment>
  <threadedComment ref="D339" personId="{17712874-6EA8-3767-D757-459F0A02958A}" id="{00FA0007-00C2-4483-A18C-0044002E00EA}" done="0">
    <text xml:space="preserve">24074/06 +144.474 poj.událost-oploc Hükc.v.
24109/08 +280.926,31
24680/11 +36.000
</text>
  </threadedComment>
  <threadedComment ref="D341" personId="{17712874-6EA8-3767-D757-459F0A02958A}" id="{00EC0066-0049-4896-AB02-004100BD006F}" done="0">
    <text xml:space="preserve">24619/08 -48.097,50
24685/11 -860
</text>
  </threadedComment>
  <threadedComment ref="D343" personId="{17712874-6EA8-3767-D757-459F0A02958A}" id="{00670001-0090-4950-B81D-007000460053}" done="0">
    <text xml:space="preserve">24511/01 -102.752,67
24550/04 -51.376,34
24074/06 +42.386 poj.u
24595/07 -300.707,75
24605/07 +200.000
24626/08 +400.000
24143/10 +251.084
</text>
  </threadedComment>
  <threadedComment ref="D344" personId="{17712874-6EA8-3767-D757-459F0A02958A}" id="{00080010-00D4-4F1E-9001-003900CF00C2}" done="0">
    <text xml:space="preserve">24605/04 -200.000
24112/08 -518.811,70
</text>
  </threadedComment>
  <threadedComment ref="D345" personId="{17712874-6EA8-3767-D757-459F0A02958A}" id="{00850081-005C-4B16-A34E-005500540003}" done="0">
    <text xml:space="preserve">24063/05 +75.138
24153/11 +250.000
</text>
  </threadedComment>
  <threadedComment ref="D347" personId="{17712874-6EA8-3767-D757-459F0A02958A}" id="{005E009C-00AE-400B-9961-004800C2001A}" done="0">
    <text xml:space="preserve">24063/05 -84.000
</text>
  </threadedComment>
  <threadedComment ref="D348" personId="{17712874-6EA8-3767-D757-459F0A02958A}" id="{006000AC-0055-4F9D-9260-0054000D00F4}" done="0">
    <text xml:space="preserve">24595/07 +300.707,75
24619/08 +48.097,50
</text>
  </threadedComment>
  <threadedComment ref="D349" personId="{17712874-6EA8-3767-D757-459F0A02958A}" id="{00BC004C-00FC-48B9-B698-00EC00E50025}" done="0">
    <text xml:space="preserve">24511/01 +102.752,67
24550/04 + 51.376,34
</text>
  </threadedComment>
  <threadedComment ref="D351" personId="{17712874-6EA8-3767-D757-459F0A02958A}" id="{001800EB-00C4-49FE-9974-004300A10050}" done="0">
    <text xml:space="preserve">24020/02 +70.301
</text>
  </threadedComment>
  <threadedComment ref="D352" personId="{17712874-6EA8-3767-D757-459F0A02958A}" id="{00D600F0-0065-40E1-8661-00C800330086}" done="0">
    <text xml:space="preserve">24020/02 +26.257
</text>
  </threadedComment>
  <threadedComment ref="D355" personId="{17712874-6EA8-3767-D757-459F0A02958A}" id="{00BF006F-00C7-479A-9E2F-001B00450072}" done="0">
    <text xml:space="preserve">24685/11 +860
</text>
  </threadedComment>
  <threadedComment ref="D357" personId="{17712874-6EA8-3767-D757-459F0A02958A}" id="{00A70022-004F-4A57-90D6-0003005B00AC}" done="0">
    <text xml:space="preserve">24626/08 -400.000
</text>
  </threadedComment>
  <threadedComment ref="D360" personId="{17712874-6EA8-3767-D757-459F0A02958A}" id="{00AF0006-00F8-4D29-A056-000D006500F0}" done="0">
    <text xml:space="preserve">24153/11 -175.301
</text>
  </threadedComment>
  <threadedComment ref="D361" personId="{17712874-6EA8-3767-D757-459F0A02958A}" id="{00A600E3-0032-4534-BE3D-004100CF002B}" done="0">
    <text xml:space="preserve">24153/11 -600.000
</text>
  </threadedComment>
  <threadedComment ref="D367" personId="{17712874-6EA8-3767-D757-459F0A02958A}" id="{007100D1-0025-49C5-8B15-00B500FE0077}" done="0">
    <text xml:space="preserve">24123/09 +23.134
</text>
  </threadedComment>
  <threadedComment ref="D38" personId="{17712874-6EA8-3767-D757-459F0A02958A}" id="{0013007F-00F8-4723-A7C6-00D600D40080}" done="0">
    <text xml:space="preserve">24049/04 +16.435.050
</text>
  </threadedComment>
  <threadedComment ref="D374" personId="{17712874-6EA8-3767-D757-459F0A02958A}" id="{00B10036-0008-4485-BE80-0002008D005D}" done="0">
    <text xml:space="preserve">24009/01 +200.000
24541/03 +40.000
</text>
  </threadedComment>
  <threadedComment ref="D375" personId="{17712874-6EA8-3767-D757-459F0A02958A}" id="{002000B1-00A1-49A9-A2E0-00BE007700D7}" done="0">
    <text xml:space="preserve">24009/01 +1.500.000
24541/03 -40.000
24146/10 -1.400.000
</text>
  </threadedComment>
  <threadedComment ref="D377" personId="{17712874-6EA8-3767-D757-459F0A02958A}" id="{000C00D5-0003-4A8C-A4A5-00320067009F}" done="0">
    <text xml:space="preserve">24146/10 -500.000
</text>
  </threadedComment>
  <threadedComment ref="D380" personId="{17712874-6EA8-3767-D757-459F0A02958A}" id="{0001000D-0064-42A4-B267-00E400AB00D7}" done="0">
    <text xml:space="preserve">24549/04 -300
</text>
  </threadedComment>
  <threadedComment ref="D381" personId="{17712874-6EA8-3767-D757-459F0A02958A}" id="{00EF0027-00BE-4118-9B03-0088000F00F1}" done="0">
    <text xml:space="preserve">24146/10 -750.000
</text>
  </threadedComment>
  <threadedComment ref="D382" personId="{17712874-6EA8-3767-D757-459F0A02958A}" id="{002500FF-00AC-4A86-951E-00FB00E50035}" done="0">
    <text xml:space="preserve">24146/10 -500.000
</text>
  </threadedComment>
  <threadedComment ref="D383" personId="{17712874-6EA8-3767-D757-459F0A02958A}" id="{000B00AC-005E-4234-B0B7-008900310013}" done="0">
    <text xml:space="preserve">24629/09 -550.000
24146/10 -3.000.000
</text>
  </threadedComment>
  <threadedComment ref="D385" personId="{17712874-6EA8-3767-D757-459F0A02958A}" id="{00E500AF-0013-45F4-B939-00050090000A}" done="0">
    <text xml:space="preserve">24549/04 +300
24629/09 +550.000
</text>
  </threadedComment>
  <threadedComment ref="D388" personId="{17712874-6EA8-3767-D757-459F0A02958A}" id="{002B002A-0083-49F5-AF42-005C00370022}" done="0">
    <text xml:space="preserve">24574/06 -160.000
</text>
  </threadedComment>
  <threadedComment ref="D389" personId="{17712874-6EA8-3767-D757-459F0A02958A}" id="{00E50015-0009-4BD1-99F9-000A00250069}" done="0">
    <text xml:space="preserve">24654/10 -760.000
</text>
  </threadedComment>
  <threadedComment ref="D392" personId="{17712874-6EA8-3767-D757-459F0A02958A}" id="{0007007B-0030-49FD-AEBF-0084009E003B}" done="0">
    <text xml:space="preserve">24574/06 +160.000
</text>
  </threadedComment>
  <threadedComment ref="D393" personId="{17712874-6EA8-3767-D757-459F0A02958A}" id="{00B6009B-0064-4E93-8891-00B5008000C1}" done="0">
    <text xml:space="preserve">24563/05 +400.000
24100/07 -200.000
24659/10 +760.000
</text>
  </threadedComment>
  <threadedComment ref="D394" personId="{17712874-6EA8-3767-D757-459F0A02958A}" id="{00E300BC-001A-4F7A-99F1-00F000F7009C}" done="0">
    <text xml:space="preserve">24100/07 +200.000
</text>
  </threadedComment>
  <threadedComment ref="D398" personId="{17712874-6EA8-3767-D757-459F0A02958A}" id="{000B00F6-00E8-4ED0-B144-00D300C6003F}" done="0">
    <text xml:space="preserve">24060/05 -1.100.000
24563/05 - 400.000
</text>
  </threadedComment>
  <threadedComment ref="D399" personId="{17712874-6EA8-3767-D757-459F0A02958A}" id="{006C008A-00F5-4BAB-AE82-007A007A0086}" done="0">
    <text xml:space="preserve">24139/10 +250.000
</text>
  </threadedComment>
  <threadedComment ref="D400" personId="{17712874-6EA8-3767-D757-459F0A02958A}" id="{004000BF-00BC-46A4-97F1-0021003F0076}" done="0">
    <text xml:space="preserve">24080/06 -400.000
</text>
  </threadedComment>
  <threadedComment ref="D401" personId="{17712874-6EA8-3767-D757-459F0A02958A}" id="{000A0011-008E-4ECA-BEB8-00D100B000B3}" done="0">
    <text xml:space="preserve">24038/03 +8.000.000
24104/07 +1.200.000
24146/10 -15.000.000
24176/12 -1.200.000
</text>
  </threadedComment>
  <threadedComment ref="D409" personId="{17712874-6EA8-3767-D757-459F0A02958A}" id="{0053002F-0011-44CC-9757-001B00E40054}" done="0">
    <text xml:space="preserve">24608/07 +100.000
24621/08 +210.000
</text>
  </threadedComment>
  <threadedComment ref="D42" personId="{17712874-6EA8-3767-D757-459F0A02958A}" id="{001500A2-0061-419F-9334-00D600AA008B}" done="0">
    <text xml:space="preserve">24045.03 +32.200
</text>
  </threadedComment>
  <threadedComment ref="D411" personId="{17712874-6EA8-3767-D757-459F0A02958A}" id="{00340084-00DE-4D80-9027-001F00C400A0}" done="0">
    <text xml:space="preserve">24522/02 +481.000
</text>
  </threadedComment>
  <threadedComment ref="D413" personId="{17712874-6EA8-3767-D757-459F0A02958A}" id="{00380063-0073-4CE4-9C2C-00620056008E}" done="0">
    <text xml:space="preserve">24080/06 -500.000
</text>
  </threadedComment>
  <threadedComment ref="D417" personId="{17712874-6EA8-3767-D757-459F0A02958A}" id="{001A0077-008C-4D8F-B1CC-005D007E0058}" done="0">
    <text xml:space="preserve">24503/01 +11.390
</text>
  </threadedComment>
  <threadedComment ref="D419" personId="{17712874-6EA8-3767-D757-459F0A02958A}" id="{004F00EB-00F3-46AF-A1D9-0051004E0036}" done="0">
    <text xml:space="preserve">24543/03 +181.000
</text>
  </threadedComment>
  <threadedComment ref="D420" personId="{17712874-6EA8-3767-D757-459F0A02958A}" id="{0077006C-0018-4DE9-93C8-0094000A00B7}" done="0">
    <text xml:space="preserve">24037/03 -500.000
24568/05 -12.000
</text>
  </threadedComment>
  <threadedComment ref="D43" personId="{17712874-6EA8-3767-D757-459F0A02958A}" id="{0099008B-0033-4941-AC03-00D000CE006E}" done="0">
    <text xml:space="preserve">24147/11 +30.000
</text>
  </threadedComment>
  <threadedComment ref="D421" personId="{17712874-6EA8-3767-D757-459F0A02958A}" id="{00AB005B-0035-4674-9BFA-00BE00E800B1}" done="0">
    <text xml:space="preserve">24037/03 -500.000
24608/07 -100.000
</text>
  </threadedComment>
  <threadedComment ref="D422" personId="{17712874-6EA8-3767-D757-459F0A02958A}" id="{00570082-006C-439F-B53B-008100AC0083}" done="0">
    <text xml:space="preserve">24504/01 -1.055.000
24562/05 +1.255.000
</text>
  </threadedComment>
  <threadedComment ref="D424" personId="{17712874-6EA8-3767-D757-459F0A02958A}" id="{009D00D7-00FB-4F2E-8BE9-008F00160077}" done="0">
    <text xml:space="preserve">24522/02 -158.000
24537/03 - 34.000
</text>
  </threadedComment>
  <threadedComment ref="D425" personId="{17712874-6EA8-3767-D757-459F0A02958A}" id="{008D00A4-007A-4DDB-A8A1-00EF00A800C9}" done="0">
    <text xml:space="preserve">24522/02 -323.000
24568/05 +12.000
</text>
  </threadedComment>
  <threadedComment ref="D426" personId="{17712874-6EA8-3767-D757-459F0A02958A}" id="{001B0082-0028-4A97-A165-00CD00620062}" done="0">
    <text xml:space="preserve">24093/07 -50.000
24621/08 -210.000
</text>
  </threadedComment>
  <threadedComment ref="D428" personId="{17712874-6EA8-3767-D757-459F0A02958A}" id="{00E600CB-00CF-436F-A0BF-004D000300D4}" done="0">
    <text xml:space="preserve">24647/10 -400.000
</text>
  </threadedComment>
  <threadedComment ref="D429" personId="{17712874-6EA8-3767-D757-459F0A02958A}" id="{001E00B1-001E-4355-BCFA-0046005A00E5}" done="0">
    <text xml:space="preserve">24504/01 +540.500
24537/03 + 34.000
</text>
  </threadedComment>
  <threadedComment ref="D430" personId="{17712874-6EA8-3767-D757-459F0A02958A}" id="{007D002E-00CC-4A1B-9013-002800A000C6}" done="0">
    <text xml:space="preserve">24504/01 +514.500
</text>
  </threadedComment>
  <threadedComment ref="D432" personId="{17712874-6EA8-3767-D757-459F0A02958A}" id="{00F900E1-00D6-4B24-99F5-005400FC002E}" done="0">
    <text xml:space="preserve">24503/01 -11.390
24565/05 -30.000
24093/07 -758.000
</text>
  </threadedComment>
  <threadedComment ref="D433" personId="{17712874-6EA8-3767-D757-459F0A02958A}" id="{00E3002F-0038-4FFE-A9E8-006D002E00D9}" done="0">
    <text xml:space="preserve">24647/10 +400.000
</text>
  </threadedComment>
  <threadedComment ref="D434" personId="{17712874-6EA8-3767-D757-459F0A02958A}" id="{005A0005-00A8-4B94-B018-00F700760092}" done="0">
    <text xml:space="preserve">24565/05 +30.000
24132/09 +2.120.000
</text>
  </threadedComment>
  <threadedComment ref="D435" personId="{17712874-6EA8-3767-D757-459F0A02958A}" id="{002800E1-002A-4EFA-9B32-00FB002D0049}" done="0">
    <text xml:space="preserve">24010/01 -100.000
</text>
  </threadedComment>
  <threadedComment ref="D436" personId="{17712874-6EA8-3767-D757-459F0A02958A}" id="{00E60043-00CF-4C0C-AF30-00EE00360026}" done="0">
    <text xml:space="preserve">24543/03 -181.000
24562/05 -1.255.000
24086/07 -1.600.000
</text>
  </threadedComment>
  <threadedComment ref="D440" personId="{17712874-6EA8-3767-D757-459F0A02958A}" id="{007A00DF-005E-42E8-B0C2-002F00B000FE}" done="0">
    <text xml:space="preserve">24114/08 +1.093.905,82 úz17519 1495
</text>
  </threadedComment>
  <threadedComment ref="D444" personId="{17712874-6EA8-3767-D757-459F0A02958A}" id="{00C800C2-0066-457F-9EA7-006100D700D4}" done="0">
    <text xml:space="preserve">24080/06 -500.000
</text>
  </threadedComment>
  <threadedComment ref="D447" personId="{17712874-6EA8-3767-D757-459F0A02958A}" id="{000E00B6-000E-4DE8-87D2-002C00BE0094}" done="0">
    <text xml:space="preserve">24530/03 +27.000
24628/09 -12.100
24696/11 +12.100
</text>
  </threadedComment>
  <threadedComment ref="D448" personId="{17712874-6EA8-3767-D757-459F0A02958A}" id="{00720036-009C-4074-BAEF-005800A50044}" done="0">
    <text xml:space="preserve">24530/03 +17.000
24534/03 +12.000
24628/09 +12.100
</text>
  </threadedComment>
  <threadedComment ref="D450" personId="{17712874-6EA8-3767-D757-459F0A02958A}" id="{009800AF-004E-47C4-8127-006E0065004C}" done="0">
    <text xml:space="preserve">24530/03 -44.000
24534/03 -12.000
24696/11 -12.100
</text>
  </threadedComment>
  <threadedComment ref="D455" personId="{17712874-6EA8-3767-D757-459F0A02958A}" id="{000B006D-00C3-4277-A656-000100110025}" done="0">
    <text xml:space="preserve">24546/04 
+-27.929.601,32
dopl. úz, NáZ
24111/08 +2.320.000
</text>
  </threadedComment>
  <threadedComment ref="D456" personId="{17712874-6EA8-3767-D757-459F0A02958A}" id="{00EB0077-0050-43A7-9115-009900990081}" done="0">
    <text xml:space="preserve">24061/05 +70.000
24666/10 -100.000
</text>
  </threadedComment>
  <threadedComment ref="D457" personId="{17712874-6EA8-3767-D757-459F0A02958A}" id="{00B800DC-0072-4A6C-A9D2-003C00D000F5}" done="0">
    <text xml:space="preserve">24526.02 -10.000
</text>
  </threadedComment>
  <threadedComment ref="D458" personId="{17712874-6EA8-3767-D757-459F0A02958A}" id="{00BD0034-009D-4598-B90A-00ED004A00D8}" done="0">
    <text xml:space="preserve">24526/02 +10.000
</text>
  </threadedComment>
  <threadedComment ref="D459" personId="{17712874-6EA8-3767-D757-459F0A02958A}" id="{007A0031-00CF-49F9-922B-0062003500AE}" done="0">
    <text xml:space="preserve">24007/01 -850.000
</text>
  </threadedComment>
  <threadedComment ref="D460" personId="{17712874-6EA8-3767-D757-459F0A02958A}" id="{000F00FB-005B-4E1A-87F5-00E400CA0068}" done="0">
    <text xml:space="preserve">24666/10 -150.000
</text>
  </threadedComment>
  <threadedComment ref="D461" personId="{17712874-6EA8-3767-D757-459F0A02958A}" id="{00820050-0055-41AA-8432-00790037002B}" done="0">
    <text xml:space="preserve">24666/10 +250.000
</text>
  </threadedComment>
  <threadedComment ref="D465" personId="{17712874-6EA8-3767-D757-459F0A02958A}" id="{008800F5-0052-4EDA-9E51-001E003D009F}" done="0">
    <text xml:space="preserve">24501/01 +40.000
24514/01 +4.000
</text>
  </threadedComment>
  <threadedComment ref="D466" personId="{17712874-6EA8-3767-D757-459F0A02958A}" id="{008F00FB-00DF-4526-816E-00AE00570088}" done="0">
    <text xml:space="preserve">24501/01 -40.000
24514/01 -4.000
24038/03 -5.700.000
24080/06 -1.000.000
24111/08 -1.000.000
</text>
  </threadedComment>
  <threadedComment ref="D468" personId="{17712874-6EA8-3767-D757-459F0A02958A}" id="{006600D3-009A-4D3B-BF1E-009F00DF00A9}" done="0">
    <text xml:space="preserve">24036/03 
+1.000.000+100.000
24131/09 +400.000
24177/12 -299.202,66
</text>
  </threadedComment>
  <threadedComment ref="D470" personId="{17712874-6EA8-3767-D757-459F0A02958A}" id="{004100FE-004E-4FA1-9B63-00FE004C00D2}" done="0">
    <text xml:space="preserve">24502/01 +200.000
</text>
  </threadedComment>
  <threadedComment ref="D471" personId="{17712874-6EA8-3767-D757-459F0A02958A}" id="{00F600EE-006E-4A6E-9385-0079001C008B}" done="0">
    <text xml:space="preserve">24502/01 -200.000
24146/10 -1.500.000
</text>
  </threadedComment>
  <threadedComment ref="D475" personId="{17712874-6EA8-3767-D757-459F0A02958A}" id="{0025007B-0073-4B7B-996F-0077009C00C6}" done="0">
    <text xml:space="preserve">24024/03 -400.000 part.rozp
24036/03 -1.000.000 -100.000
24586/06 -59.290
24131/09 -400.000
</text>
  </threadedComment>
  <threadedComment ref="D476" personId="{17712874-6EA8-3767-D757-459F0A02958A}" id="{008700F4-00BC-4EB5-9E91-00E9001A0052}" done="0">
    <text xml:space="preserve">24586/06
+ 41.503 úz 15017 1701
+ 17.787 bez úz     1701
</text>
  </threadedComment>
  <threadedComment ref="D480" personId="{17712874-6EA8-3767-D757-459F0A02958A}" id="{00CB00EB-0001-4A40-8EC2-000300F20009}" done="0">
    <text xml:space="preserve">24529/03 - oprava pol na 6121
24093/07 
+379.000 +50.000
</text>
  </threadedComment>
  <threadedComment ref="D481" personId="{17712874-6EA8-3767-D757-459F0A02958A}" id="{00990082-0020-4ED3-A2B6-00310064001D}" done="0">
    <text xml:space="preserve">24506/01 -+250.000 
z 5169 na 6122
24093/07 +379.000
24709/12 -27.150
</text>
  </threadedComment>
  <threadedComment ref="D482" personId="{17712874-6EA8-3767-D757-459F0A02958A}" id="{00BF005D-0001-496C-AA41-008500F900BC}" done="0">
    <text xml:space="preserve">24709/12 +27.150
</text>
  </threadedComment>
  <threadedComment ref="D484" personId="{17712874-6EA8-3767-D757-459F0A02958A}" id="{000B0057-0040-4902-BB02-004C0046001B}" done="0">
    <text xml:space="preserve">24535/03 
-20.000 5171
+20.000 5169
24125/09 
-65.328,60 5169
-93.481,95 5171
</text>
  </threadedComment>
  <threadedComment ref="D486" personId="{17712874-6EA8-3767-D757-459F0A02958A}" id="{0078003E-00A1-465B-BD3F-00B6005A0032}" done="0">
    <text xml:space="preserve">24532/03 -6.000
</text>
  </threadedComment>
  <threadedComment ref="D488" personId="{17712874-6EA8-3767-D757-459F0A02958A}" id="{004C0072-0086-438F-8B22-0004006F0006}" done="0">
    <text xml:space="preserve">24532/03 +6.000
</text>
  </threadedComment>
  <threadedComment ref="D489" personId="{17712874-6EA8-3767-D757-459F0A02958A}" id="{001400AB-00E1-4FF8-9A23-008400F7007F}" done="0">
    <text xml:space="preserve">24079/06 +160.000
</text>
  </threadedComment>
  <threadedComment ref="D50" personId="{17712874-6EA8-3767-D757-459F0A02958A}" id="{006A0035-003C-4138-A1AB-00E400F70027}" done="0">
    <text xml:space="preserve">24148/11 +30.000
</text>
  </threadedComment>
  <threadedComment ref="D492" personId="{17712874-6EA8-3767-D757-459F0A02958A}" id="{0092006A-001B-4D8C-8667-00DD00EB0096}" done="0">
    <text xml:space="preserve">240518.02 +150.470
</text>
  </threadedComment>
  <threadedComment ref="D493" personId="{17712874-6EA8-3767-D757-459F0A02958A}" id="{00740066-00DD-41F4-AA6D-006B006E008A}" done="0">
    <text xml:space="preserve">24505/01 -20.000
24518/02 -150.470
24080/06 +4.500.000
</text>
  </threadedComment>
  <threadedComment ref="D494" personId="{17712874-6EA8-3767-D757-459F0A02958A}" id="{00F200E1-000B-4ECB-8278-006000EA00D5}" done="0">
    <text xml:space="preserve">24505/01 +20.000
</text>
  </threadedComment>
  <threadedComment ref="D501" personId="{17712874-6EA8-3767-D757-459F0A02958A}" id="{009800A5-0050-4402-B4A3-001B00C60002}" done="0">
    <text xml:space="preserve">24061/05 -70.000
</text>
  </threadedComment>
  <threadedComment ref="D504" personId="{17712874-6EA8-3767-D757-459F0A02958A}" id="{0027005A-00F5-409D-88FD-008A0082003B}" done="0">
    <text xml:space="preserve">24086/07 +1.600.000
</text>
  </threadedComment>
  <threadedComment ref="D509" personId="{17712874-6EA8-3767-D757-459F0A02958A}" id="{007800CC-00A7-4AA3-BE04-004100C60063}" done="0">
    <text xml:space="preserve">24146/10 -19.000.000
</text>
  </threadedComment>
  <threadedComment ref="D515" personId="{17712874-6EA8-3767-D757-459F0A02958A}" id="{0039004E-0027-4A37-991F-0046002C0091}" done="0">
    <text xml:space="preserve">24037/03 -1.000.000
</text>
  </threadedComment>
  <threadedComment ref="D518" personId="{17712874-6EA8-3767-D757-459F0A02958A}" id="{00F60088-0019-4DBA-BB9E-0074006A00ED}" done="0">
    <text xml:space="preserve">24536/03 
-550.000 5169
</text>
  </threadedComment>
  <threadedComment ref="D524" personId="{17712874-6EA8-3767-D757-459F0A02958A}" id="{006B005F-0018-4707-8BF6-00BE0012009B}" done="0">
    <text xml:space="preserve">24536/03 +550.000
</text>
  </threadedComment>
  <threadedComment ref="D525" personId="{17712874-6EA8-3767-D757-459F0A02958A}" id="{00DA00FA-008F-4B48-B89B-00C300A100DE}" done="0">
    <text xml:space="preserve">24080/06 -1.900.000
</text>
  </threadedComment>
  <threadedComment ref="D526" personId="{17712874-6EA8-3767-D757-459F0A02958A}" id="{0055002B-0085-4468-BEAD-0036004000BB}" done="0">
    <text xml:space="preserve">24079/06 -160.000
</text>
  </threadedComment>
  <threadedComment ref="D528" personId="{17712874-6EA8-3767-D757-459F0A02958A}" id="{0053009F-00CD-48B8-A36F-0045009F00EF}" done="0">
    <text xml:space="preserve">24606/07 -300.000
24678/11 -653.500
</text>
  </threadedComment>
  <threadedComment ref="D529" personId="{17712874-6EA8-3767-D757-459F0A02958A}" id="{00540052-00EB-4776-AC47-008B005D00DF}" done="0">
    <text xml:space="preserve">24008/01 -3.500.000
</text>
  </threadedComment>
  <threadedComment ref="D530" personId="{17712874-6EA8-3767-D757-459F0A02958A}" id="{005F00AE-00D1-42A4-925C-00D60015008C}" done="0">
    <text xml:space="preserve">24037/03 +5.600.000
24606/07 +300.000
24678/11 +853.500
24698/11 +54.000
</text>
  </threadedComment>
  <threadedComment ref="D531" personId="{17712874-6EA8-3767-D757-459F0A02958A}" id="{005900CF-007C-4C6A-BCE0-005100E50011}" done="0">
    <text xml:space="preserve">24008/01 -500.000
</text>
  </threadedComment>
  <threadedComment ref="D532" personId="{17712874-6EA8-3767-D757-459F0A02958A}" id="{00C00028-00A2-46E1-B534-00020014001C}" done="0">
    <text xml:space="preserve">24037/03 -900.000 -200.000
24038/03 -2.300.000
24609/07 +40.000
</text>
  </threadedComment>
  <threadedComment ref="D533" personId="{17712874-6EA8-3767-D757-459F0A02958A}" id="{002A00CA-00F9-419E-BE1C-00A700B300FF}" done="0">
    <text xml:space="preserve">24609/07 -40.000
</text>
  </threadedComment>
  <threadedComment ref="D534" personId="{17712874-6EA8-3767-D757-459F0A02958A}" id="{00830011-00AD-4171-BD6C-00FF00A0000E}" done="0">
    <text xml:space="preserve">24678/11 -200.000
24698/11 -54.000
</text>
  </threadedComment>
  <threadedComment ref="D540" personId="{17712874-6EA8-3767-D757-459F0A02958A}" id="{00FB0055-00CB-44DF-B5DB-00FC00620092}" done="0">
    <text xml:space="preserve">24037/03 -2.500.000
24080/06 -200.000
24625/08 +-8.800.000 z6122 na 6121
</text>
  </threadedComment>
  <threadedComment ref="D542" personId="{17712874-6EA8-3767-D757-459F0A02958A}" id="{00F90081-00F7-49FA-9D8D-00CF005800DF}" done="0">
    <text xml:space="preserve">24008/01 +3.500.000
</text>
  </threadedComment>
  <threadedComment ref="D544" personId="{17712874-6EA8-3767-D757-459F0A02958A}" id="{00300074-0039-4822-A626-006F002800AB}" done="0">
    <text xml:space="preserve">24008/01 +500.000
</text>
  </threadedComment>
  <threadedComment ref="D547" personId="{17712874-6EA8-3767-D757-459F0A02958A}" id="{00B300CE-00F4-4A20-8095-00E3007300D9}" done="0">
    <text xml:space="preserve">24583/06 +380.000
</text>
  </threadedComment>
  <threadedComment ref="D548" personId="{17712874-6EA8-3767-D757-459F0A02958A}" id="{00750031-0005-4996-B6EC-00AF00CA0057}" done="0">
    <text xml:space="preserve">24583/06 +100.000
</text>
  </threadedComment>
  <threadedComment ref="D549" personId="{17712874-6EA8-3767-D757-459F0A02958A}" id="{00A30050-00B7-4CF8-8589-00360000005D}" done="0">
    <text xml:space="preserve">24132/09 +730.000
</text>
  </threadedComment>
  <threadedComment ref="D550" personId="{17712874-6EA8-3767-D757-459F0A02958A}" id="{00D20032-0060-4EF8-8A23-00EC00BF00DF}" done="0">
    <text xml:space="preserve">24583/06 -480.000
24111/08 -1.320.000
24132/09 -2.120.000
</text>
  </threadedComment>
  <threadedComment ref="D551" personId="{17712874-6EA8-3767-D757-459F0A02958A}" id="{006000A7-00EB-4009-AE76-001D001500D3}" done="0">
    <text xml:space="preserve">24132/09 -730.000
24146/10 -3.000.000
</text>
  </threadedComment>
  <threadedComment ref="D555" personId="{17712874-6EA8-3767-D757-459F0A02958A}" id="{00B800C1-00C7-4C5B-BD66-0096005600B5}" done="0">
    <text xml:space="preserve">24035/03 +- 5.514.060
dozn úz22504 NáZ1705
24548/04 +110.000
</text>
  </threadedComment>
  <threadedComment ref="D556" personId="{17712874-6EA8-3767-D757-459F0A02958A}" id="{008D0063-0060-4DAE-9822-000F00F700C8}" done="0">
    <text xml:space="preserve">24548/04 -110.000
</text>
  </threadedComment>
  <threadedComment ref="D560" personId="{17712874-6EA8-3767-D757-459F0A02958A}" id="{008300EA-00C1-46B0-AFCF-008F004F001F}" done="0">
    <text xml:space="preserve">24539/03 +- 250.000
dopl. Úz42
24146/10 -350.000
</text>
  </threadedComment>
  <threadedComment ref="D563" personId="{17712874-6EA8-3767-D757-459F0A02958A}" id="{00A70040-001E-49F2-AF25-0077000700D6}" done="0">
    <text xml:space="preserve">24146/10 -400.000
</text>
  </threadedComment>
  <threadedComment ref="D565" personId="{17712874-6EA8-3767-D757-459F0A02958A}" id="{00660089-00B4-4C9E-8D37-00F300D60075}" done="0">
    <text xml:space="preserve">24146/10 -335.194
</text>
  </threadedComment>
  <threadedComment ref="D571" personId="{17712874-6EA8-3767-D757-459F0A02958A}" id="{001800E6-0089-41F8-8A09-0026009800AB}" done="0">
    <text xml:space="preserve">24107/08 +77.027,69
24138/10 +77.027,69
24176/12 -77.027,69
</text>
  </threadedComment>
  <threadedComment ref="D572" personId="{17712874-6EA8-3767-D757-459F0A02958A}" id="{000C000C-001A-4136-BF42-0030007500D8}" done="0">
    <text xml:space="preserve">24538/03 +-231.352,61 
dopl. Úz 15501 NáZ 1481,5
245051/04 
+196.649,72 úz 15501 1485
+ 34.702,89 1481
24053/04 -535.000
24056/04 +80.000 úz673
24057/04 +300.000 úz392
24554/04 +-231.352,61 zpět
24107/08 
-77.027,69 -100.000
24119/09 
+60.000 +10.000 +10.000  úz674
-10.000 -10.000 -60.000 úz673
24177/12 -10.000
</text>
  </threadedComment>
  <threadedComment ref="D573" personId="{17712874-6EA8-3767-D757-459F0A02958A}" id="{001700BA-002C-4AA2-8EB3-00EC00830021}" done="0">
    <text xml:space="preserve">24107/08 +100.000
</text>
  </threadedComment>
  <threadedComment ref="D574" personId="{17712874-6EA8-3767-D757-459F0A02958A}" id="{000C0006-0070-4D61-BC5F-00E700AD0002}" done="0">
    <text xml:space="preserve">24053/04 +535.000
24130/09 +500.000 úz801
24157/11 +150.000
</text>
  </threadedComment>
  <threadedComment ref="D577" personId="{17712874-6EA8-3767-D757-459F0A02958A}" id="{008E0019-004C-48B5-999D-0065002C0009}" done="0">
    <text xml:space="preserve">24178/12 +4.216
</text>
  </threadedComment>
  <threadedComment ref="D579" personId="{17712874-6EA8-3767-D757-459F0A02958A}" id="{00840004-0022-4963-B87D-0016004900C1}" done="0">
    <text xml:space="preserve">24177/12 -124.505
</text>
  </threadedComment>
  <threadedComment ref="D580" personId="{17712874-6EA8-3767-D757-459F0A02958A}" id="{001F005F-0052-411C-BE1F-009700F000A6}" done="0">
    <text xml:space="preserve">24177/12 -200.458
</text>
  </threadedComment>
  <threadedComment ref="D582" personId="{17712874-6EA8-3767-D757-459F0A02958A}" id="{00C0006D-00C6-4EB7-863C-00BF004600FF}" done="0">
    <text xml:space="preserve">24684/11 -11.858
24177/12 -124.505
</text>
  </threadedComment>
  <threadedComment ref="D583" personId="{17712874-6EA8-3767-D757-459F0A02958A}" id="{00E00036-00DB-4F1F-A099-00C100D300F2}" done="0">
    <text xml:space="preserve">24684/11 +11.858
24178/12 -4.216
</text>
  </threadedComment>
  <threadedComment ref="D590" personId="{17712874-6EA8-3767-D757-459F0A02958A}" id="{0015000C-00DD-4C6F-B5E2-00D8004C0024}" done="0">
    <text xml:space="preserve">24118/09 +713.000
</text>
  </threadedComment>
  <threadedComment ref="D591" personId="{17712874-6EA8-3767-D757-459F0A02958A}" id="{00F50009-00BC-49F6-A0C6-005D00A400CD}" done="0">
    <text xml:space="preserve">24065/05 
+724.000 úz98348
-500.000 bez úz
</text>
  </threadedComment>
  <threadedComment ref="D600" personId="{17712874-6EA8-3767-D757-459F0A02958A}" id="{00810079-00C4-4D8E-A0BF-005600C80002}" done="0">
    <text xml:space="preserve">24169/12 -1160
</text>
  </threadedComment>
  <threadedComment ref="D61" personId="{17712874-6EA8-3767-D757-459F0A02958A}" id="{003A0096-005F-4116-A364-0029003B0097}" done="0">
    <text xml:space="preserve">24045/03 +3.000.000
</text>
  </threadedComment>
  <threadedComment ref="D601" personId="{17712874-6EA8-3767-D757-459F0A02958A}" id="{0019002F-00CF-4B4C-B88A-00C2006F00AB}" done="0">
    <text xml:space="preserve">24137/10 +500.000
</text>
  </threadedComment>
  <threadedComment ref="D604" personId="{17712874-6EA8-3767-D757-459F0A02958A}" id="{004B005E-000C-4F48-B83C-0003008C0073}" done="0">
    <text xml:space="preserve">24135/10 +100.000
24151/11 -100.000
</text>
  </threadedComment>
  <threadedComment ref="D606" personId="{17712874-6EA8-3767-D757-459F0A02958A}" id="{001000E4-007E-4279-9ECB-000400B500D5}" done="0">
    <text xml:space="preserve">24151/11 +100.000
</text>
  </threadedComment>
  <threadedComment ref="D608" personId="{17712874-6EA8-3767-D757-459F0A02958A}" id="{00180009-005C-426C-8A3A-00C6000D00B9}" done="0">
    <text xml:space="preserve">24011/01 +192.228
24030/03 
 +3.419,60 úz253 1441
+30.776,40 úz911 1445
24047/04 -1.284
24048/04 -1.196
24096/07
 -1.303,80 úz253 1441
-11.734,20 úz911 1445
24121/09 
+ 12.834  úz253 1441
+115.506 úz911 1445 
24167/12 +63.011,99
</text>
  </threadedComment>
  <threadedComment ref="D609" personId="{17712874-6EA8-3767-D757-459F0A02958A}" id="{000E0031-0062-499B-8F45-003200CC00CB}" done="0">
    <text xml:space="preserve">24155/11 +102.602,50
</text>
  </threadedComment>
  <threadedComment ref="D610" personId="{17712874-6EA8-3767-D757-459F0A02958A}" id="{00160082-00D5-4541-88FF-0077003400EE}" done="0">
    <text xml:space="preserve">24156/11 -1.600
</text>
  </threadedComment>
  <threadedComment ref="D62" personId="{17712874-6EA8-3767-D757-459F0A02958A}" id="{00BD0013-005E-4904-A619-00790086008A}" done="0">
    <text xml:space="preserve">24115/08 +1.898.021,23
</text>
  </threadedComment>
  <threadedComment ref="D612" personId="{17712874-6EA8-3767-D757-459F0A02958A}" id="{000100F0-0096-4036-B717-008C00D9006B}" done="0">
    <text xml:space="preserve">24105/08 -22.000
24135/10 -100.000 rez
24137/10 -200.000 rez
24177/12 -11.107 r
</text>
  </threadedComment>
  <threadedComment ref="D617" personId="{17712874-6EA8-3767-D757-459F0A02958A}" id="{0073000B-004A-4984-A1D8-001900220062}" done="0">
    <text xml:space="preserve">24016/02 +90.488 odpisy
24027/03 
+ 4.890 úz253 1441
+44.010 úz911 1445 
24092/07
- 1.607,20 úz253 1441
-14.464,80 úz911 1445
24134/10 +32.936
24166/12 
+  9.850  úz253 1441
+88.650  úz911 1445
</text>
  </threadedComment>
  <threadedComment ref="D618" personId="{17712874-6EA8-3767-D757-459F0A02958A}" id="{00E200D5-002C-4B57-A610-00AA0082007E}" done="0">
    <text xml:space="preserve">24052/04 +72.208
</text>
  </threadedComment>
  <threadedComment ref="D63" personId="{17712874-6EA8-3767-D757-459F0A02958A}" id="{00180074-00F9-4AAD-A81D-00E5004F00B2}" done="0">
    <text xml:space="preserve">24115/08
+2.015.699,68
+   890.401,74
</text>
  </threadedComment>
  <threadedComment ref="D621" personId="{17712874-6EA8-3767-D757-459F0A02958A}" id="{00F9000A-00E0-4C97-93E9-00F0000100D2}" done="0">
    <text xml:space="preserve">24028/03
 +7.519 ÚZ253 1441
+67.671 úz911 1445
24133/10 +173.723
24144/10
- 5.202,40 253 1441
-46.821,60 911 1445
24152/11
+17.098,20 253 1441
+153.883,80 911 1445
</text>
  </threadedComment>
  <threadedComment ref="D624" personId="{17712874-6EA8-3767-D757-459F0A02958A}" id="{00EB00FA-0001-436D-9CC4-00F600230003}" done="0">
    <text xml:space="preserve">24029/03
 +6.180 ÚZ253 1441
+55.620 úz911 1445
24064/05 +313.948
24066/05 
+  261.245,45 úz 17084 1491
+4.441.172,63 úz 17085 1495
24077/06 -13.443,03
24095/07 
- 4.116 úz253 1441
-37.044 úz911 1445
24122/09 
+ 9.159,75 úz253 1441
+82.437,75 úz911 1445
</text>
  </threadedComment>
  <threadedComment ref="D626" personId="{17712874-6EA8-3767-D757-459F0A02958A}" id="{008300BC-0080-43D0-959B-00AB00A40083}" done="0">
    <text xml:space="preserve">24066/05 
+  336.616,61 úz17518 1491
+5.722.482,44 úz 17519 1491
</text>
  </threadedComment>
  <threadedComment ref="D628" personId="{17712874-6EA8-3767-D757-459F0A02958A}" id="{006D0095-00AE-489B-A8B2-003A00A200CF}" done="0">
    <text xml:space="preserve">24142/10
+ 11.663,45 253 1441
+104.971,05 911 1445
24168/12 -28.000
</text>
  </threadedComment>
  <threadedComment ref="D629" personId="{17712874-6EA8-3767-D757-459F0A02958A}" id="{0069003F-0080-4C66-994E-0076008500AF}" done="0">
    <text xml:space="preserve">24007/01 +850.000
24154/11 -102.602,50
</text>
  </threadedComment>
  <threadedComment ref="D633" personId="{17712874-6EA8-3767-D757-459F0A02958A}" id="{00B900FB-00EB-4C36-B801-00F0003500A3}" done="0">
    <text xml:space="preserve">24055/04 +210.200 úz 833
24117/09 +170.400úz910
34136/10 +100.000
</text>
  </threadedComment>
  <threadedComment ref="D636" personId="{17712874-6EA8-3767-D757-459F0A02958A}" id="{00F600E3-0050-4927-A268-009400A6008F}" done="0">
    <text xml:space="preserve">24059/05 +134.310
24105/08 +22.000
</text>
  </threadedComment>
  <threadedComment ref="D640" personId="{17712874-6EA8-3767-D757-459F0A02958A}" id="{007B00FB-0008-4FCB-B191-0073001D00F2}" done="0">
    <text xml:space="preserve">24043/03 -1.548
24170/12 -690.000
</text>
  </threadedComment>
  <threadedComment ref="D644" personId="{17712874-6EA8-3767-D757-459F0A02958A}" id="{0094005C-0001-48F1-936A-00C10071008D}" done="0">
    <text xml:space="preserve">24137/10 -15.000 -5.000
</text>
  </threadedComment>
  <threadedComment ref="D645" personId="{17712874-6EA8-3767-D757-459F0A02958A}" id="{00C70026-009F-4538-8F7A-00A4004D0036}" done="0">
    <text xml:space="preserve">24106/08 +47.000
</text>
  </threadedComment>
  <threadedComment ref="D649" personId="{17712874-6EA8-3767-D757-459F0A02958A}" id="{00FD0063-000A-490B-A75B-002700BA0046}" done="0">
    <text xml:space="preserve">24137/10 -30.000
</text>
  </threadedComment>
  <threadedComment ref="D650" personId="{17712874-6EA8-3767-D757-459F0A02958A}" id="{006C006E-0086-4BDE-8109-008B00D60027}" done="0">
    <text xml:space="preserve">24021/02 -25.000
</text>
  </threadedComment>
  <threadedComment ref="D651" personId="{17712874-6EA8-3767-D757-459F0A02958A}" id="{0067007C-00BC-4430-B423-005F002F00F7}" done="0">
    <text xml:space="preserve">24021/02 -170.000
</text>
  </threadedComment>
  <threadedComment ref="D653" personId="{17712874-6EA8-3767-D757-459F0A02958A}" id="{00050008-00FA-4EBF-AC36-00D400200009}" done="0">
    <text xml:space="preserve">24021/02 +195.000
24125/09 +158.810,55
24137/10 -170.000
</text>
  </threadedComment>
  <threadedComment ref="D658" personId="{17712874-6EA8-3767-D757-459F0A02958A}" id="{006200BD-00D6-4D3A-B4A9-0072003000B5}" done="0">
    <text xml:space="preserve">24001.01 +4.743.000
24023/02 +- 50.000 dar NJKL
24052/04 +18.200
24083/06 +150.000 slavnost
24171/12 +214.771
</text>
  </threadedComment>
  <threadedComment ref="D663" personId="{17712874-6EA8-3767-D757-459F0A02958A}" id="{00C500F7-00C3-49CE-9E5A-0055004800AC}" done="0">
    <text xml:space="preserve">24137/10
-40.000 org 4380
-40.000 org 0380
</text>
  </threadedComment>
  <threadedComment ref="D673" personId="{17712874-6EA8-3767-D757-459F0A02958A}" id="{001B008A-0029-4F12-B2BF-00AD005600F2}" done="0">
    <text xml:space="preserve">24002/01 -30.000 
24069/05 +30.000
</text>
  </threadedComment>
  <threadedComment ref="D676" personId="{17712874-6EA8-3767-D757-459F0A02958A}" id="{000D000E-0065-4058-AA68-005C005E0049}" done="0">
    <text xml:space="preserve">24002/01 +30.000
24003/01 +10.000
24004/01 +15.000
24032/03 +70.000
24058/04 +80.000
24067/05 +10.000
24068/05 +150.000
24069/05 +36.900
24070/05 +5.000
24071/05 +40.000
24084/06 +250.000
24085/06 +147.000
24145/10 +-35.000
24147/11 +30.000
24148/11 +30.000
24149/11 +15.000
</text>
  </threadedComment>
  <threadedComment ref="D680" personId="{17712874-6EA8-3767-D757-459F0A02958A}" id="{00030031-008B-4257-AEF9-00CD00810095}" done="0">
    <text xml:space="preserve">24177/12 -15.500
</text>
  </threadedComment>
  <threadedComment ref="D683" personId="{17712874-6EA8-3767-D757-459F0A02958A}" id="{003C0067-0085-4649-B332-008E008600D3}" done="0">
    <text xml:space="preserve">24177/12 -15
</text>
  </threadedComment>
  <threadedComment ref="D685" personId="{17712874-6EA8-3767-D757-459F0A02958A}" id="{0088000A-00E9-403E-AB22-005F001500DC}" done="0">
    <text xml:space="preserve">24172/12 +48.264,06 úz916
</text>
  </threadedComment>
  <threadedComment ref="D687" personId="{17712874-6EA8-3767-D757-459F0A02958A}" id="{006000AD-009F-48CB-84D2-009100660047}" done="0">
    <text xml:space="preserve">24177/12 -53.414
</text>
  </threadedComment>
  <threadedComment ref="D688" personId="{17712874-6EA8-3767-D757-459F0A02958A}" id="{00D9007B-0061-4F05-8708-0030007A0020}" done="0">
    <text xml:space="preserve">24163/11 +61.113
</text>
  </threadedComment>
  <threadedComment ref="D690" personId="{17712874-6EA8-3767-D757-459F0A02958A}" id="{006B006D-00E2-458F-B270-007B000900E8}" done="0">
    <text xml:space="preserve">24097/07 +1.500.000
24108/08 +920.000 úz34054
24177/12 -24.390
</text>
  </threadedComment>
  <threadedComment ref="D70" personId="{17712874-6EA8-3767-D757-459F0A02958A}" id="{00FC00BE-0063-4DB5-95F4-005900CC00F7}" done="0">
    <text xml:space="preserve">24157/11 +150.000
</text>
  </threadedComment>
  <threadedComment ref="D693" personId="{17712874-6EA8-3767-D757-459F0A02958A}" id="{000F00F6-0049-4CEE-9281-009C004F00CA}" done="0">
    <text xml:space="preserve">24089/07 úz17526
+121.920,75 (170 1)
+280.575   (170 5)
24146/10 -700.000
</text>
  </threadedComment>
  <threadedComment ref="D696" personId="{17712874-6EA8-3767-D757-459F0A02958A}" id="{006F00A2-0001-4287-9FDD-0086002600C3}" done="0">
    <text xml:space="preserve">24088/07 úz13024
+309.397 +36.503
24088/07 úz13024
+15.114 6320
</text>
  </threadedComment>
  <threadedComment ref="D701" personId="{17712874-6EA8-3767-D757-459F0A02958A}" id="{00F70005-000E-46FF-97D3-00A1001D000B}" done="0">
    <text xml:space="preserve">24025.03
+320.000 +28.800
</text>
  </threadedComment>
  <threadedComment ref="D703" personId="{17712874-6EA8-3767-D757-459F0A02958A}" id="{008C008D-00EB-47C2-82D4-002D005E00DB}" done="0">
    <text xml:space="preserve">24018/02
+563.940,99 (5011)
+135.346 (5031)
+ 50.757 (5032)
24087/07 (13015)
+1.067.803
</text>
  </threadedComment>
  <threadedComment ref="D704" personId="{17712874-6EA8-3767-D757-459F0A02958A}" id="{00350037-0017-4D72-9492-00210029003A}" done="0">
    <text xml:space="preserve">24088/07 úz 13024
+9.462.300
24174/12 úz 13024
-114.563,55
</text>
  </threadedComment>
  <threadedComment ref="D713" personId="{17712874-6EA8-3767-D757-459F0A02958A}" id="{00CA0034-00A0-4EBF-9EE2-00FE00BE003D}" done="0">
    <text xml:space="preserve">24088/07 úz 13024
+8.000
</text>
  </threadedComment>
  <threadedComment ref="D714" personId="{17712874-6EA8-3767-D757-459F0A02958A}" id="{00BF00B4-0069-47E4-9150-006400D500BD}" done="0">
    <text xml:space="preserve">24014/02 +-50.000
</text>
  </threadedComment>
  <threadedComment ref="D716" personId="{17712874-6EA8-3767-D757-459F0A02958A}" id="{00060016-00DC-45CC-952D-004F00E100C8}" done="0">
    <text xml:space="preserve">24146/10 -150.000
</text>
  </threadedComment>
  <threadedComment ref="D722" personId="{17712874-6EA8-3767-D757-459F0A02958A}" id="{008C00AD-0066-464F-9A27-002E00370005}" done="0">
    <text xml:space="preserve">24177/12 -1.389
</text>
  </threadedComment>
  <threadedComment ref="D723" personId="{17712874-6EA8-3767-D757-459F0A02958A}" id="{000900AE-0086-4B4C-9FD2-005100AB0024}" done="0">
    <text xml:space="preserve">24013/02 -50.000
24075/06 -4.745
24113/08 -4.745
24129/09 -10.000
</text>
  </threadedComment>
  <threadedComment ref="D727" personId="{17712874-6EA8-3767-D757-459F0A02958A}" id="{004400FE-007A-4F7C-8474-00C60012005B}" done="0">
    <text xml:space="preserve">24098/07 +-200.000
</text>
  </threadedComment>
  <threadedComment ref="D728" personId="{17712874-6EA8-3767-D757-459F0A02958A}" id="{0030002D-00E4-4A2A-AF21-00CE004E005B}" done="0">
    <text xml:space="preserve">24034/03 -360.000
24116/09 -271.000 r
24164/12 -150.000 r
</text>
  </threadedComment>
  <threadedComment ref="D729" personId="{17712874-6EA8-3767-D757-459F0A02958A}" id="{00E600F7-0054-44C2-B21E-00A7005C001B}" done="0">
    <text xml:space="preserve">24098/07 +-1.853.095
</text>
  </threadedComment>
  <threadedComment ref="D733" personId="{17712874-6EA8-3767-D757-459F0A02958A}" id="{002A0055-0077-46CE-8500-00C900480000}" done="0">
    <text xml:space="preserve">24661/10 +17.000
</text>
  </threadedComment>
  <threadedComment ref="D735" personId="{17712874-6EA8-3767-D757-459F0A02958A}" id="{00F2004A-0068-4296-9E2E-0069001C008A}" done="0">
    <text xml:space="preserve">24013/02 +50.000
24033/03 +59.000
24024/03 +75.000
24075/06 +4.745
24094/07 +10.000
24113/08 +4.745
24116/09 +271.000
24128/09 +18.000
24129/09 +10.000
24164/12 +150.000
24177/12 +3.360
</text>
  </threadedComment>
  <threadedComment ref="D737" personId="{17712874-6EA8-3767-D757-459F0A02958A}" id="{00170010-0047-4DFC-A3B8-0019001800B6}" done="0">
    <text xml:space="preserve">24034/03 +285.000
24661/10 -17.000
</text>
  </threadedComment>
  <threadedComment ref="D742" personId="{17712874-6EA8-3767-D757-459F0A02958A}" id="{000C004B-0079-4E0C-9E8A-008200B800A3}" done="0">
    <text xml:space="preserve">24031/03 +2.980.000 úz
24570/05 dopl.úz:
+419.000 (0390)
+181.000 (0390)
+   2.000 (0390)
+ 161.000 (2390)
+2.217.000 (2390)
-2.980.000 (0390)
24612/08 -62.560
24127/09 +298.000 úz914 0390
</text>
  </threadedComment>
  <threadedComment ref="D743" personId="{17712874-6EA8-3767-D757-459F0A02958A}" id="{001600BA-00AE-478C-856A-0058001400C1}" done="0">
    <text xml:space="preserve">24031/04 +559.000 úz
24570/05 dopl úz914:
+492.000 (2391)
+36.000 (2391)
+ 31.000 (1391)
-559.000 (1391)
24127/09 +61.000 úz914 1391
</text>
  </threadedComment>
  <threadedComment ref="D744" personId="{17712874-6EA8-3767-D757-459F0A02958A}" id="{00410052-0066-448B-93DD-001C002300CA}" done="0">
    <text xml:space="preserve">24031/04 +1.034.000
24570/05 dopl.úz914
+978.000 (2393)
+ 56.000 (1393)
-1.037.000 (1393)
24127/09 +82.000 úz914 1393
24150/11 +354.926 2393
</text>
  </threadedComment>
  <threadedComment ref="D745" personId="{17712874-6EA8-3767-D757-459F0A02958A}" id="{00560091-0032-4BB3-88AB-0022006C007E}" done="0">
    <text xml:space="preserve">24507/01 -+2.400.000
změna org
24612/08 +62.560
nabíjecí st.
</text>
  </threadedComment>
  <threadedComment ref="D749" personId="{17712874-6EA8-3767-D757-459F0A02958A}" id="{004E0003-0006-448C-94AA-00BB001300EA}" done="0">
    <text xml:space="preserve">24081/06 +50.000
</text>
  </threadedComment>
  <threadedComment ref="D752" personId="{17712874-6EA8-3767-D757-459F0A02958A}" id="{00D400BC-0098-450A-8771-00DE005C001A}" done="0">
    <text xml:space="preserve">24081/06 -50.000
24141/10 +300.000
24172/12 +199.650 úz916
</text>
  </threadedComment>
  <threadedComment ref="D753" personId="{17712874-6EA8-3767-D757-459F0A02958A}" id="{00BC0088-0087-423E-B0F4-003400D800BB}" done="0">
    <text xml:space="preserve">24172/12 +122.000 úz916
</text>
  </threadedComment>
  <threadedComment ref="D756" personId="{17712874-6EA8-3767-D757-459F0A02958A}" id="{00C700FC-00C8-47DD-92FB-003600AA00F3}" done="0">
    <text xml:space="preserve">24006/01 +3.337.434
24091/07 +164.201
</text>
  </threadedComment>
  <threadedComment ref="D757" personId="{17712874-6EA8-3767-D757-459F0A02958A}" id="{00D700B6-00C2-4FBD-88B6-00BE00B700DB}" done="0">
    <text xml:space="preserve">24153/11 -900.000
24172/12 +115.320,48 úz916
24175/12 +10.970
24181/12 -115.320,48
</text>
  </threadedComment>
  <threadedComment ref="D758" personId="{17712874-6EA8-3767-D757-459F0A02958A}" id="{00E700FC-003A-472C-BFEF-007E0094001E}" done="0">
    <text xml:space="preserve">24143/10 +15.885
24175/12 +3.744
</text>
  </threadedComment>
  <threadedComment ref="D764" personId="{17712874-6EA8-3767-D757-459F0A02958A}" id="{00AA000E-00B7-44B7-9029-002E00300013}" done="0">
    <text xml:space="preserve">24153/11 +600.000
24172/12 +170.645,83 úz916
24181/12 -170.645,83
</text>
  </threadedComment>
  <threadedComment ref="D765" personId="{17712874-6EA8-3767-D757-459F0A02958A}" id="{00E80006-004C-4A0C-AC7F-005000440061}" done="0">
    <text xml:space="preserve">24143/10 +36.117
</text>
  </threadedComment>
  <threadedComment ref="D766" personId="{17712874-6EA8-3767-D757-459F0A02958A}" id="{00A40098-0006-4A86-8BD9-005000C40003}" done="0">
    <text xml:space="preserve">24090/07 +76.031,56
24091/07 -186.050
24153/11 -150.000
</text>
  </threadedComment>
  <threadedComment ref="D777" personId="{17712874-6EA8-3767-D757-459F0A02958A}" id="{006300AD-00C8-4750-8212-00CC0016009A}" done="0">
    <text xml:space="preserve">24571/06 +88.036
24704/12 +61.250,20
24710/12 +41.140
</text>
  </threadedComment>
  <threadedComment ref="D781" personId="{17712874-6EA8-3767-D757-459F0A02958A}" id="{00F4005B-00C3-4C93-A6D8-00B500DC00F9}" done="0">
    <text xml:space="preserve">24533/03 -25.482,15
24564/05 -7.793
24571/06 -88.036
24630/09 -11.950,96
24704/12 -97.880,80
24710/12 -41.140
</text>
  </threadedComment>
  <threadedComment ref="D782" personId="{17712874-6EA8-3767-D757-459F0A02958A}" id="{00FB00FC-0039-4EF8-A74D-003300AB0007}" done="0">
    <text xml:space="preserve">24533/03 +25.482,15
24564/05 +7.793
24630/09 +11.950,96
24704/12 +36.630,60
</text>
  </threadedComment>
  <threadedComment ref="D785" personId="{17712874-6EA8-3767-D757-459F0A02958A}" id="{00EC0028-0054-4052-9517-00BC004C00FD}" done="0">
    <text xml:space="preserve">24533/03 -7.633
24570/06 -2.800
24124/09 +300.000
24630/09 -3.687
24637/09 +186.181,75
24162/11 +800.000
24177/12 -51.056,46
</text>
  </threadedComment>
  <threadedComment ref="D786" personId="{17712874-6EA8-3767-D757-459F0A02958A}" id="{00B6001E-005F-47BD-84BC-00B200F5006A}" done="0">
    <text xml:space="preserve">24533/03 +7.633
24571/06 +2.800
24630/09 +3.687
</text>
  </threadedComment>
  <threadedComment ref="D790" personId="{17712874-6EA8-3767-D757-459F0A02958A}" id="{009D00C3-00C2-4396-ADD9-006700D3003B}" done="0">
    <text xml:space="preserve">24637/09 -186.181,75
</text>
  </threadedComment>
  <threadedComment ref="D80" personId="{17712874-6EA8-3767-D757-459F0A02958A}" id="{002C0061-00AD-472F-B2CE-00B100F6006D}" done="0">
    <text xml:space="preserve">24012/01 +192.228 (309)
24046/04
+1.009.024,72 (0501)
+ 835.189,98 (0504)
24048/04 -1.196
24134/10 +32.936 (321)
24158/11 +173.723 rez
</text>
  </threadedComment>
  <threadedComment ref="D81" personId="{17712874-6EA8-3767-D757-459F0A02958A}" id="{00DB0037-00D9-4C71-8E43-00B0001D00F9}" done="0">
    <text xml:space="preserve">24159/11 +88.500
</text>
  </threadedComment>
  <threadedComment ref="D811" personId="{17712874-6EA8-3767-D757-459F0A02958A}" id="{00840042-00B3-4F49-9D51-009500E900CE}" done="0">
    <text xml:space="preserve">24704/12 -10.000
</text>
  </threadedComment>
  <threadedComment ref="D812" personId="{17712874-6EA8-3767-D757-459F0A02958A}" id="{00D800BA-0016-4A6B-B36F-005300A90086}" done="0">
    <text xml:space="preserve">24704/12 +10.000
</text>
  </threadedComment>
  <threadedComment ref="D815" personId="{17712874-6EA8-3767-D757-459F0A02958A}" id="{00120067-009F-4819-8997-003E006B000C}" done="0">
    <text xml:space="preserve">24648/10 +2.000.000
24710/12 +200.000
</text>
  </threadedComment>
  <threadedComment ref="D816" personId="{17712874-6EA8-3767-D757-459F0A02958A}" id="{00BF0008-0095-4CF1-8EAA-005E001800BC}" done="0">
    <text xml:space="preserve">24648/10 -2.000.000
</text>
  </threadedComment>
  <threadedComment ref="D818" personId="{17712874-6EA8-3767-D757-459F0A02958A}" id="{00D7004C-008C-4C51-BBB8-004A009D007F}" done="0">
    <text xml:space="preserve">24710/12 -200.000
</text>
  </threadedComment>
  <threadedComment ref="D819" personId="{17712874-6EA8-3767-D757-459F0A02958A}" id="{00C10079-00AE-48B5-B59C-00F4009F0035}" done="0">
    <text xml:space="preserve">24101/07 -20.000
</text>
  </threadedComment>
  <threadedComment ref="D824" personId="{17712874-6EA8-3767-D757-459F0A02958A}" id="{00120045-0064-4B56-81EC-00FC00B70019}" done="0">
    <text xml:space="preserve">24533/03 +210.000
24719/12 -210.000
</text>
  </threadedComment>
  <threadedComment ref="D825" personId="{17712874-6EA8-3767-D757-459F0A02958A}" id="{00B7002C-0047-4238-B6DB-003F00A3007C}" done="0">
    <text xml:space="preserve">24630/09 +220.000
</text>
  </threadedComment>
  <threadedComment ref="D831" personId="{17712874-6EA8-3767-D757-459F0A02958A}" id="{0038000D-00CC-4F03-8D08-007F007600E4}" done="0">
    <text xml:space="preserve">24669.11 -1.000.000
</text>
  </threadedComment>
  <threadedComment ref="D832" personId="{17712874-6EA8-3767-D757-459F0A02958A}" id="{00C800E2-0052-49AF-8189-00D90001006B}" done="0">
    <text xml:space="preserve">24669/11 +1.000.000
</text>
  </threadedComment>
  <threadedComment ref="D837" personId="{17712874-6EA8-3767-D757-459F0A02958A}" id="{00BF0071-0040-4E43-805D-00FB00DF0009}" done="0">
    <text xml:space="preserve">24648/10  +21.000
</text>
  </threadedComment>
  <threadedComment ref="D841" personId="{17712874-6EA8-3767-D757-459F0A02958A}" id="{00DB00D3-0058-45F7-8EDC-002C00B000E3}" done="0">
    <text xml:space="preserve">24153/11 -200.000
</text>
  </threadedComment>
  <threadedComment ref="D842" personId="{17712874-6EA8-3767-D757-459F0A02958A}" id="{008A000A-001E-4F1E-8EF4-0011005200CE}" done="0">
    <text xml:space="preserve">24101/07 -20.000
</text>
  </threadedComment>
  <threadedComment ref="D843" personId="{17712874-6EA8-3767-D757-459F0A02958A}" id="{003E0096-008D-4D35-ADB3-00AB00E3001F}" done="0">
    <text xml:space="preserve">24702.12 +2.000
</text>
  </threadedComment>
  <threadedComment ref="D846" personId="{17712874-6EA8-3767-D757-459F0A02958A}" id="{00B4006E-000E-44D1-AE68-009D0091006C}" done="0">
    <text xml:space="preserve">24090/07 -274.519,07
24101/07 +40.000
24153/11 -100.000
</text>
  </threadedComment>
  <threadedComment ref="D848" personId="{17712874-6EA8-3767-D757-459F0A02958A}" id="{00C10090-00A3-4BF2-B9A7-00D0009A00BE}" done="0">
    <text xml:space="preserve">24533/03 -210.000
24719/12 +210.000
</text>
  </threadedComment>
  <threadedComment ref="D852" personId="{17712874-6EA8-3767-D757-459F0A02958A}" id="{00DE009E-009C-41BF-B8C9-009200A100F5}" done="0">
    <text xml:space="preserve">24702/12 -2.000
</text>
  </threadedComment>
  <threadedComment ref="D854" personId="{17712874-6EA8-3767-D757-459F0A02958A}" id="{004300F2-0043-4BD6-9EBC-00AC0049007F}" done="0">
    <text xml:space="preserve">24648/10 -21.000
</text>
  </threadedComment>
  <threadedComment ref="D858" personId="{17712874-6EA8-3767-D757-459F0A02958A}" id="{005B005A-0061-469D-A298-00F2008F00D4}" done="0">
    <text xml:space="preserve">24630/09 -100.000
</text>
  </threadedComment>
  <threadedComment ref="D860" personId="{17712874-6EA8-3767-D757-459F0A02958A}" id="{00C300AF-00A1-49CD-81AC-0010002A00FB}" done="0">
    <text xml:space="preserve">24630/09 -120.000
</text>
  </threadedComment>
  <threadedComment ref="D863" personId="{17712874-6EA8-3767-D757-459F0A02958A}" id="{005D00E0-0075-4DDE-A7B2-00D700410042}" done="0">
    <text xml:space="preserve">24704/12 -101.000
</text>
  </threadedComment>
  <threadedComment ref="D865" personId="{17712874-6EA8-3767-D757-459F0A02958A}" id="{00A400D7-0004-4FD0-9509-0012008D00BE}" done="0">
    <text xml:space="preserve">24704/12 -350.000
</text>
  </threadedComment>
  <threadedComment ref="D866" personId="{17712874-6EA8-3767-D757-459F0A02958A}" id="{0026008D-00A5-402B-80AD-004A00CA0094}" done="0">
    <text xml:space="preserve">24648/10 -60.000
</text>
  </threadedComment>
  <threadedComment ref="D868" personId="{17712874-6EA8-3767-D757-459F0A02958A}" id="{00810060-00C3-473E-9094-0014009D00CF}" done="0">
    <text xml:space="preserve">24704/12 +451.000
</text>
  </threadedComment>
  <threadedComment ref="D869" personId="{17712874-6EA8-3767-D757-459F0A02958A}" id="{006A0040-0063-40AC-9ADB-008300370005}" done="0">
    <text xml:space="preserve">24648/10 +60.000
</text>
  </threadedComment>
  <threadedComment ref="D876" personId="{17712874-6EA8-3767-D757-459F0A02958A}" id="{00EB0065-00D6-4857-ACA8-00FE005200F0}" done="0">
    <text xml:space="preserve">24597/07 -10.000
</text>
  </threadedComment>
  <threadedComment ref="D879" personId="{17712874-6EA8-3767-D757-459F0A02958A}" id="{002400F1-00A9-4F54-807E-001C00AF00A0}" done="0">
    <text xml:space="preserve">24597/07 +10.000
</text>
  </threadedComment>
  <threadedComment ref="D884" personId="{17712874-6EA8-3767-D757-459F0A02958A}" id="{00CE0006-0021-4BC9-BEAB-00C100060047}" done="0">
    <text xml:space="preserve">24042/03 -45.000
24103/07 -30.000
</text>
  </threadedComment>
  <threadedComment ref="D885" personId="{17712874-6EA8-3767-D757-459F0A02958A}" id="{00DD006E-00F2-4BED-850B-00B100890058}" done="0">
    <text xml:space="preserve">24177/12 -3.000
</text>
  </threadedComment>
  <threadedComment ref="D887" personId="{17712874-6EA8-3767-D757-459F0A02958A}" id="{00E20086-0003-4B42-BC76-009E006C0044}" done="0">
    <text xml:space="preserve">24042/03 +45.000
24103/07 +30.000
</text>
  </threadedComment>
  <threadedComment ref="D895" personId="{17712874-6EA8-3767-D757-459F0A02958A}" id="{0093002B-009F-4A4C-B287-00AD00A300B2}" done="0">
    <text xml:space="preserve">24165/12 +60.170,97 
</text>
  </threadedComment>
  <threadedComment ref="D897" personId="{17712874-6EA8-3767-D757-459F0A02958A}" id="{0065003D-001F-490D-9A55-001900EC00A5}" done="0">
    <text xml:space="preserve">34176/12 +80.000
24176/12 +40.000
</text>
  </threadedComment>
  <threadedComment ref="D899" personId="{17712874-6EA8-3767-D757-459F0A02958A}" id="{00250073-00D7-4DE0-8607-006900EE00A9}" done="0">
    <text xml:space="preserve">24049/04 +16.435.050
</text>
  </threadedComment>
  <threadedComment ref="D900" personId="{17712874-6EA8-3767-D757-459F0A02958A}" id="{00C70068-0047-4714-98CC-00C000110043}" done="0">
    <text xml:space="preserve">24176/12 +4.345.805
</text>
  </threadedComment>
  <threadedComment ref="D902" personId="{17712874-6EA8-3767-D757-459F0A02958A}" id="{005A00CA-00F9-4CB5-9D43-00CE001600EA}" done="0">
    <text xml:space="preserve">24039/03  0322
+ 5.068,40  253 1441
+45.615,60  911 1445
</text>
  </threadedComment>
  <threadedComment ref="D903" personId="{17712874-6EA8-3767-D757-459F0A02958A}" id="{00AB0057-0005-4502-BBC3-00C800E300E5}" done="0">
    <text xml:space="preserve">24040/03  0323
+ 4.089  253 1441
+36.801  911 1445
</text>
  </threadedComment>
  <threadedComment ref="D904" personId="{17712874-6EA8-3767-D757-459F0A02958A}" id="{00DA00F9-00B5-4E97-8419-004100C000F4}" done="0">
    <text xml:space="preserve">24022/02  0321
+ 1.835,40  253 1441
+16.518,60 911 1445
</text>
  </threadedComment>
  <threadedComment ref="D905" personId="{17712874-6EA8-3767-D757-459F0A02958A}" id="{00EB00A2-00C9-4901-B0F9-006000BA00C6}" done="0">
    <text xml:space="preserve">24022/02  0321
+ 1.835,40  253 1441
+16.518,60 911 1445
24120/09 +26.616
</text>
  </threadedComment>
  <threadedComment ref="D907" personId="{17712874-6EA8-3767-D757-459F0A02958A}" id="{004E00EE-00EB-4669-AD4C-0021007000DF}" done="0">
    <text xml:space="preserve">24003/01 -10.000
24004/01 -15.000
24005/01 -272.932
24006/01 -3.337.434
24011/01 -192.228
24012/01 +192.228
24015/02 +319.987,99
24016/02 -90.488
24017/02 +289.333
24019/02 -266.805
24020/02 -96.558
24024/03 +400.000
24025.03 -348.800
24026.03 +3.226.272,84
24032/03 -70.000
24033/03 -59.000
24035/03 +5.514.060
24043/03 +1.548
24045/03 +5.904.137,50
24046/04 +1.844.214,70
24047/04 +1.284
24051/04 -231.352,61
24052/04 +21.989
24058/04 -80.000
24059/05 -134.310
24063/05 +8.862
24064/05 -313.948
24067/05 -10.000
24068/05 -150.000
24069/05
-36.900 -30.000
24070/05 -5.000
24071/05 -40.000
24072/05 
-1.002.336,01 +943.202,20
24073/06 +16.164.266,27
24077/06 +13.443,03
24083/06 -150.000
24084/06 -250.000
24085/06 -147.000
24587/06 -75.000
24087/07 +1.000.000
24088/07 
-8.304.000 -1.693.400 -15.114
24090/07 +271.932,51
24091/07 +21.849
24094/07 -10.000
24097/07 -1.500.000
24106/08 -47.000
24109/08 -280.926,31
24114/08 -1.700.000
24115/08 +6.726.142,50
24118/09 -500.000 -125.387,36
24119/09 -200.000
24120/09 -26.616
24123/09 -23.134
24124/09 -300.000
24128/09 -18.000
24133/10 -173.723
24134/10 +-32.936
24136/10 -100.000
24138/10 -77.027,69
24140/10 +57.566.790
24141/10 -300.000
24143/10 +11.999 část
24146/10
-335.194 +6.150.000 +19.000.000
+1.500.000 +15.000.000 +3.750.000
+2.859.600 +150.000 +700.000
24149/11 -15.000
24150/11 -354.926
24153/11 +100.000 +1.500.000 -250.000 +200.000 -600.000 +600.000 +900.000 +800.000 +102.363 +175.301 +150.000
24154/11 +102.602,50
24155/11 -102.602,50
24156/11 +1.600
24158/11 +173.723
24159/11 +88.500
24162/11 -800.000
24165/12 -60.140,97
24168/12 +28.000
24169/12 +1.160
24170/12 +690.000
24171/12 -214.771
24173/12 +891.942,97
24175/12 +79.163
24176/12 -20.673.707,52
24176/12 +77.027,69
24177/12 +543.686,07
24179/12 +1.089.981,05
24180/12 +700.000
24181/12 +503.648,36
24182/12 +14.953.726
</text>
  </threadedComment>
  <threadedComment ref="D908" personId="{17712874-6EA8-3767-D757-459F0A02958A}" id="{00B0007C-0097-45BC-9C01-004000B600CE}" done="0">
    <text xml:space="preserve">24587/06 +75.000
24177/12 -30.416,95
</text>
  </threadedComment>
  <threadedComment ref="D92" personId="{17712874-6EA8-3767-D757-459F0A02958A}" id="{003900C8-007E-4573-AEC5-008400BE0057}" done="0">
    <text xml:space="preserve">24017/02 +289.333
</text>
  </threadedComment>
  <threadedComment ref="D93" personId="{17712874-6EA8-3767-D757-459F0A02958A}" id="{00D10024-00B6-43F2-AF02-001400290038}" done="0">
    <text xml:space="preserve">24017/02 +289.333
</text>
  </threadedComment>
  <threadedComment ref="D96" personId="{17712874-6EA8-3767-D757-459F0A02958A}" id="{00FF00DD-0053-4631-B01A-006500450026}" done="0">
    <text xml:space="preserve">24167/12 +63.011,99
</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bin"/><Relationship Id="rId4" Type="http://schemas.microsoft.com/office/2017/10/relationships/threadedComment" Target="../threadedComments/threadedComment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2"/>
    <pageSetUpPr fitToPage="1"/>
  </sheetPr>
  <dimension ref="A1:IV926"/>
  <sheetViews>
    <sheetView topLeftCell="B1" workbookViewId="0">
      <pane ySplit="2" topLeftCell="A3" activePane="bottomLeft" state="frozen"/>
      <selection activeCell="J7" sqref="J7"/>
      <selection pane="bottomLeft" activeCell="B1" sqref="B1"/>
    </sheetView>
  </sheetViews>
  <sheetFormatPr defaultColWidth="9.5703125" defaultRowHeight="12.75" x14ac:dyDescent="0.2"/>
  <cols>
    <col min="1" max="1" width="20.85546875" style="1" customWidth="1"/>
    <col min="2" max="2" width="97" style="1" customWidth="1"/>
    <col min="3" max="3" width="24.85546875" style="1" customWidth="1"/>
    <col min="4" max="4" width="28.42578125" style="1" customWidth="1"/>
    <col min="5" max="5" width="24.28515625" style="1" customWidth="1"/>
    <col min="6" max="6" width="0.140625" style="2" customWidth="1"/>
    <col min="7" max="7" width="24.28515625" style="1" customWidth="1"/>
    <col min="8" max="8" width="16.42578125" style="1" customWidth="1"/>
    <col min="9" max="16384" width="9.5703125" style="1"/>
  </cols>
  <sheetData>
    <row r="1" spans="1:8" ht="18.75" customHeight="1" x14ac:dyDescent="0.25">
      <c r="C1" s="3"/>
      <c r="D1" s="3"/>
      <c r="E1" s="4"/>
      <c r="F1" s="5"/>
      <c r="G1" s="6" t="s">
        <v>0</v>
      </c>
      <c r="H1" s="7"/>
    </row>
    <row r="2" spans="1:8" ht="60" customHeight="1" x14ac:dyDescent="0.2">
      <c r="A2" s="8" t="s">
        <v>1</v>
      </c>
      <c r="B2" s="9" t="s">
        <v>2</v>
      </c>
      <c r="C2" s="10" t="s">
        <v>3</v>
      </c>
      <c r="D2" s="11" t="s">
        <v>4</v>
      </c>
      <c r="E2" s="11" t="s">
        <v>5</v>
      </c>
      <c r="F2" s="11" t="s">
        <v>6</v>
      </c>
      <c r="G2" s="11" t="s">
        <v>7</v>
      </c>
      <c r="H2" s="7"/>
    </row>
    <row r="3" spans="1:8" s="12" customFormat="1" ht="18" customHeight="1" x14ac:dyDescent="0.25">
      <c r="A3" s="13"/>
      <c r="B3" s="14" t="s">
        <v>8</v>
      </c>
      <c r="C3" s="15"/>
      <c r="D3" s="15"/>
      <c r="E3" s="16"/>
      <c r="F3" s="17"/>
      <c r="G3" s="18"/>
      <c r="H3" s="7"/>
    </row>
    <row r="4" spans="1:8" s="19" customFormat="1" ht="15.75" customHeight="1" x14ac:dyDescent="0.2">
      <c r="A4" s="20"/>
      <c r="B4" s="21" t="s">
        <v>9</v>
      </c>
      <c r="C4" s="22">
        <f>C53</f>
        <v>444580702</v>
      </c>
      <c r="D4" s="22">
        <f>D53</f>
        <v>371511957.44</v>
      </c>
      <c r="E4" s="22">
        <v>370879661.44</v>
      </c>
      <c r="F4" s="22">
        <f>F53</f>
        <v>255798528.65000004</v>
      </c>
      <c r="G4" s="22">
        <v>388416000</v>
      </c>
      <c r="H4" s="23"/>
    </row>
    <row r="5" spans="1:8" s="19" customFormat="1" ht="15.75" customHeight="1" x14ac:dyDescent="0.2">
      <c r="A5" s="24"/>
      <c r="B5" s="21" t="s">
        <v>10</v>
      </c>
      <c r="C5" s="25">
        <f>C87</f>
        <v>127930181</v>
      </c>
      <c r="D5" s="25">
        <f>D87</f>
        <v>68787440.480000004</v>
      </c>
      <c r="E5" s="25">
        <v>123158006.55</v>
      </c>
      <c r="F5" s="25">
        <f>F87</f>
        <v>86272625.189999998</v>
      </c>
      <c r="G5" s="25">
        <v>127407541.26000001</v>
      </c>
      <c r="H5" s="23"/>
    </row>
    <row r="6" spans="1:8" s="19" customFormat="1" ht="15.75" customHeight="1" x14ac:dyDescent="0.2">
      <c r="A6" s="21"/>
      <c r="B6" s="21" t="s">
        <v>11</v>
      </c>
      <c r="C6" s="25">
        <f>C177</f>
        <v>52475517</v>
      </c>
      <c r="D6" s="25">
        <f>D177</f>
        <v>52226112.700000003</v>
      </c>
      <c r="E6" s="25">
        <v>16516319.699999999</v>
      </c>
      <c r="F6" s="25">
        <f>F177</f>
        <v>15702229.899999999</v>
      </c>
      <c r="G6" s="25">
        <f>G177</f>
        <v>109511899.31</v>
      </c>
      <c r="H6" s="23"/>
    </row>
    <row r="7" spans="1:8" s="19" customFormat="1" ht="15.75" customHeight="1" x14ac:dyDescent="0.2">
      <c r="A7" s="21"/>
      <c r="B7" s="21" t="s">
        <v>12</v>
      </c>
      <c r="C7" s="25">
        <f>C198</f>
        <v>59771600.0035</v>
      </c>
      <c r="D7" s="25">
        <f>D198</f>
        <v>138526988.82350001</v>
      </c>
      <c r="E7" s="25">
        <v>134539129.30000001</v>
      </c>
      <c r="F7" s="25">
        <f>F198</f>
        <v>120624289.91999999</v>
      </c>
      <c r="G7" s="25">
        <v>81229895.709999993</v>
      </c>
      <c r="H7" s="23"/>
    </row>
    <row r="8" spans="1:8" s="12" customFormat="1" ht="18" x14ac:dyDescent="0.25">
      <c r="A8" s="26"/>
      <c r="B8" s="27" t="s">
        <v>13</v>
      </c>
      <c r="C8" s="28">
        <v>684761000</v>
      </c>
      <c r="D8" s="28">
        <f>D252</f>
        <v>631052499.44350004</v>
      </c>
      <c r="E8" s="28">
        <v>645093116.99000001</v>
      </c>
      <c r="F8" s="28">
        <f>F252</f>
        <v>478397673.65999997</v>
      </c>
      <c r="G8" s="28">
        <v>706565336.27999997</v>
      </c>
      <c r="H8" s="29"/>
    </row>
    <row r="9" spans="1:8" s="19" customFormat="1" ht="15" x14ac:dyDescent="0.2">
      <c r="A9" s="30"/>
      <c r="B9" s="30" t="s">
        <v>14</v>
      </c>
      <c r="C9" s="31">
        <f>C254</f>
        <v>185331265.00000003</v>
      </c>
      <c r="D9" s="31">
        <f>D254</f>
        <v>169553420.91000003</v>
      </c>
      <c r="E9" s="31">
        <v>135875963.61000001</v>
      </c>
      <c r="F9" s="31">
        <f>F254</f>
        <v>-56083079.149999999</v>
      </c>
      <c r="G9" s="31">
        <v>195741180.47</v>
      </c>
      <c r="H9" s="32"/>
    </row>
    <row r="10" spans="1:8" s="33" customFormat="1" ht="23.25" x14ac:dyDescent="0.35">
      <c r="A10" s="34"/>
      <c r="B10" s="35" t="s">
        <v>15</v>
      </c>
      <c r="C10" s="36">
        <f>C263</f>
        <v>870089265.00349998</v>
      </c>
      <c r="D10" s="36">
        <f>D263</f>
        <v>800605920.35350013</v>
      </c>
      <c r="E10" s="36">
        <v>780969080.60000002</v>
      </c>
      <c r="F10" s="36">
        <f>F263</f>
        <v>422314594.50999999</v>
      </c>
      <c r="G10" s="36">
        <v>902306516.75</v>
      </c>
      <c r="H10" s="37"/>
    </row>
    <row r="11" spans="1:8" s="12" customFormat="1" ht="18" x14ac:dyDescent="0.25">
      <c r="A11" s="13"/>
      <c r="B11" s="14" t="s">
        <v>16</v>
      </c>
      <c r="C11" s="38"/>
      <c r="D11" s="38"/>
      <c r="E11" s="38"/>
      <c r="F11" s="39"/>
      <c r="G11" s="40"/>
      <c r="H11" s="29"/>
    </row>
    <row r="12" spans="1:8" s="12" customFormat="1" ht="18" x14ac:dyDescent="0.25">
      <c r="A12" s="13"/>
      <c r="B12" s="21" t="s">
        <v>17</v>
      </c>
      <c r="C12" s="22">
        <f>C50-C13</f>
        <v>603990895</v>
      </c>
      <c r="D12" s="22">
        <f>D50-D13</f>
        <v>661093281.42999995</v>
      </c>
      <c r="E12" s="22">
        <f>E50-E13</f>
        <v>619317145.48000002</v>
      </c>
      <c r="F12" s="22">
        <f>F50-F13</f>
        <v>426567811.58000004</v>
      </c>
      <c r="G12" s="22">
        <f>G50-G13</f>
        <v>640650917.12</v>
      </c>
      <c r="H12" s="32"/>
    </row>
    <row r="13" spans="1:8" s="12" customFormat="1" ht="18.75" customHeight="1" x14ac:dyDescent="0.25">
      <c r="A13" s="13"/>
      <c r="B13" s="21" t="s">
        <v>18</v>
      </c>
      <c r="C13" s="22">
        <v>266098370</v>
      </c>
      <c r="D13" s="22">
        <v>205239504.96000001</v>
      </c>
      <c r="E13" s="41">
        <v>161651935.12</v>
      </c>
      <c r="F13" s="41">
        <v>68757015.640000001</v>
      </c>
      <c r="G13" s="42">
        <v>261655599.63</v>
      </c>
      <c r="H13" s="32"/>
    </row>
    <row r="14" spans="1:8" s="12" customFormat="1" ht="15.75" customHeight="1" x14ac:dyDescent="0.25">
      <c r="A14" s="13"/>
      <c r="B14" s="43" t="s">
        <v>19</v>
      </c>
      <c r="C14" s="38"/>
      <c r="D14" s="38"/>
      <c r="E14" s="44"/>
      <c r="F14" s="45"/>
      <c r="G14" s="44"/>
    </row>
    <row r="15" spans="1:8" s="12" customFormat="1" ht="18.75" x14ac:dyDescent="0.25">
      <c r="A15" s="13"/>
      <c r="B15" s="46" t="s">
        <v>20</v>
      </c>
      <c r="C15" s="47">
        <f t="shared" ref="C15:G16" si="0">C266</f>
        <v>52448677</v>
      </c>
      <c r="D15" s="47">
        <f t="shared" si="0"/>
        <v>50917338</v>
      </c>
      <c r="E15" s="47">
        <f t="shared" si="0"/>
        <v>47778764.609999999</v>
      </c>
      <c r="F15" s="47">
        <f t="shared" si="0"/>
        <v>26310888.520000003</v>
      </c>
      <c r="G15" s="47">
        <f t="shared" si="0"/>
        <v>47057788.329999998</v>
      </c>
    </row>
    <row r="16" spans="1:8" s="19" customFormat="1" ht="15.75" customHeight="1" x14ac:dyDescent="0.25">
      <c r="A16" s="48"/>
      <c r="B16" s="21" t="s">
        <v>21</v>
      </c>
      <c r="C16" s="25">
        <f t="shared" si="0"/>
        <v>1895000</v>
      </c>
      <c r="D16" s="25">
        <f t="shared" si="0"/>
        <v>1895000</v>
      </c>
      <c r="E16" s="25">
        <f t="shared" si="0"/>
        <v>1895000</v>
      </c>
      <c r="F16" s="25">
        <f t="shared" si="0"/>
        <v>440288.54000000004</v>
      </c>
      <c r="G16" s="25">
        <f t="shared" si="0"/>
        <v>1985000</v>
      </c>
      <c r="H16" s="23"/>
    </row>
    <row r="17" spans="1:84" s="19" customFormat="1" ht="15.75" customHeight="1" x14ac:dyDescent="0.2">
      <c r="A17" s="21"/>
      <c r="B17" s="49" t="s">
        <v>22</v>
      </c>
      <c r="C17" s="25">
        <f>C280</f>
        <v>28251000</v>
      </c>
      <c r="D17" s="25">
        <f>D280</f>
        <v>26869575</v>
      </c>
      <c r="E17" s="25">
        <f>E280</f>
        <v>24033615</v>
      </c>
      <c r="F17" s="25">
        <f>F280</f>
        <v>14287648.27</v>
      </c>
      <c r="G17" s="25">
        <f>G280</f>
        <v>27050000</v>
      </c>
      <c r="H17" s="23"/>
    </row>
    <row r="18" spans="1:84" s="19" customFormat="1" ht="15.75" customHeight="1" x14ac:dyDescent="0.2">
      <c r="A18" s="49"/>
      <c r="B18" s="49" t="s">
        <v>23</v>
      </c>
      <c r="C18" s="22">
        <f>C301</f>
        <v>6934000</v>
      </c>
      <c r="D18" s="22">
        <f>D301</f>
        <v>6934000</v>
      </c>
      <c r="E18" s="22">
        <f>E301</f>
        <v>6639123.5999999996</v>
      </c>
      <c r="F18" s="22">
        <f>F301</f>
        <v>3111784.6</v>
      </c>
      <c r="G18" s="22">
        <f>G301</f>
        <v>2334000</v>
      </c>
      <c r="H18" s="23"/>
    </row>
    <row r="19" spans="1:84" s="19" customFormat="1" ht="15.75" customHeight="1" x14ac:dyDescent="0.2">
      <c r="A19" s="50"/>
      <c r="B19" s="50" t="s">
        <v>24</v>
      </c>
      <c r="C19" s="31">
        <f>C315</f>
        <v>15368677</v>
      </c>
      <c r="D19" s="31">
        <f>D315</f>
        <v>15218763</v>
      </c>
      <c r="E19" s="31">
        <f>E315</f>
        <v>15211026.01</v>
      </c>
      <c r="F19" s="31">
        <f>F315</f>
        <v>8471167.1100000013</v>
      </c>
      <c r="G19" s="31">
        <f>G315</f>
        <v>15688788.33</v>
      </c>
      <c r="H19" s="23"/>
    </row>
    <row r="20" spans="1:84" s="19" customFormat="1" ht="18.75" x14ac:dyDescent="0.25">
      <c r="A20" s="49"/>
      <c r="B20" s="51" t="s">
        <v>25</v>
      </c>
      <c r="C20" s="47">
        <f t="shared" ref="C20:F21" si="1">C354</f>
        <v>79701343</v>
      </c>
      <c r="D20" s="47">
        <f t="shared" si="1"/>
        <v>69000343</v>
      </c>
      <c r="E20" s="47">
        <f t="shared" si="1"/>
        <v>1689192.23</v>
      </c>
      <c r="F20" s="47">
        <f t="shared" si="1"/>
        <v>5818563.0100000007</v>
      </c>
      <c r="G20" s="47">
        <f>SUM(G21:G25)</f>
        <v>114484000</v>
      </c>
      <c r="H20" s="12"/>
    </row>
    <row r="21" spans="1:84" s="19" customFormat="1" ht="15.75" customHeight="1" x14ac:dyDescent="0.2">
      <c r="A21" s="21"/>
      <c r="B21" s="21" t="s">
        <v>26</v>
      </c>
      <c r="C21" s="25">
        <f t="shared" si="1"/>
        <v>1000000</v>
      </c>
      <c r="D21" s="25">
        <f t="shared" si="1"/>
        <v>1004840</v>
      </c>
      <c r="E21" s="25">
        <f t="shared" si="1"/>
        <v>374258.72</v>
      </c>
      <c r="F21" s="25">
        <f t="shared" si="1"/>
        <v>380258.72</v>
      </c>
      <c r="G21" s="25">
        <f>G355</f>
        <v>5530000</v>
      </c>
      <c r="H21" s="23"/>
    </row>
    <row r="22" spans="1:84" s="19" customFormat="1" ht="15.75" customHeight="1" x14ac:dyDescent="0.2">
      <c r="A22" s="21"/>
      <c r="B22" s="49" t="s">
        <v>27</v>
      </c>
      <c r="C22" s="25">
        <f>C370</f>
        <v>28360000</v>
      </c>
      <c r="D22" s="25">
        <f>D370</f>
        <v>26188160</v>
      </c>
      <c r="E22" s="25">
        <f>E370</f>
        <v>850886.86</v>
      </c>
      <c r="F22" s="25">
        <f>F370</f>
        <v>3217923.7600000002</v>
      </c>
      <c r="G22" s="25">
        <v>38460500</v>
      </c>
      <c r="H22" s="23"/>
    </row>
    <row r="23" spans="1:84" s="19" customFormat="1" ht="15.75" customHeight="1" x14ac:dyDescent="0.2">
      <c r="A23" s="21"/>
      <c r="B23" s="49" t="s">
        <v>28</v>
      </c>
      <c r="C23" s="25">
        <f>C432</f>
        <v>10270000</v>
      </c>
      <c r="D23" s="25">
        <f>D432</f>
        <v>4360000</v>
      </c>
      <c r="E23" s="25">
        <f>E432</f>
        <v>1000</v>
      </c>
      <c r="F23" s="25">
        <f>F432</f>
        <v>1152211.8800000001</v>
      </c>
      <c r="G23" s="25">
        <f>G432</f>
        <v>6295000</v>
      </c>
      <c r="H23" s="23"/>
    </row>
    <row r="24" spans="1:84" s="19" customFormat="1" ht="15.75" customHeight="1" x14ac:dyDescent="0.2">
      <c r="A24" s="21"/>
      <c r="B24" s="21" t="s">
        <v>29</v>
      </c>
      <c r="C24" s="25">
        <f>C445</f>
        <v>38897343</v>
      </c>
      <c r="D24" s="25">
        <f>D445</f>
        <v>36797343</v>
      </c>
      <c r="E24" s="25">
        <f>E445</f>
        <v>313046.65000000002</v>
      </c>
      <c r="F24" s="25">
        <f>F445</f>
        <v>963168.65</v>
      </c>
      <c r="G24" s="25">
        <v>63726000</v>
      </c>
      <c r="H24" s="23"/>
    </row>
    <row r="25" spans="1:84" s="19" customFormat="1" ht="15.75" customHeight="1" x14ac:dyDescent="0.2">
      <c r="A25" s="52"/>
      <c r="B25" s="53" t="s">
        <v>30</v>
      </c>
      <c r="C25" s="54">
        <f>C476</f>
        <v>1174000</v>
      </c>
      <c r="D25" s="54">
        <f>D476</f>
        <v>650000</v>
      </c>
      <c r="E25" s="54">
        <f>E476</f>
        <v>150000</v>
      </c>
      <c r="F25" s="54">
        <f>F476</f>
        <v>105000</v>
      </c>
      <c r="G25" s="54">
        <f>G476</f>
        <v>472500</v>
      </c>
      <c r="H25" s="23"/>
    </row>
    <row r="26" spans="1:84" s="19" customFormat="1" ht="18.75" x14ac:dyDescent="0.3">
      <c r="A26" s="55"/>
      <c r="B26" s="56" t="s">
        <v>31</v>
      </c>
      <c r="C26" s="57">
        <f>C481</f>
        <v>3086000</v>
      </c>
      <c r="D26" s="57">
        <f>D481</f>
        <v>4456000</v>
      </c>
      <c r="E26" s="57">
        <f>E481</f>
        <v>4273000</v>
      </c>
      <c r="F26" s="57">
        <f>F481</f>
        <v>3290243</v>
      </c>
      <c r="G26" s="57">
        <f>G481</f>
        <v>3640000</v>
      </c>
    </row>
    <row r="27" spans="1:84" s="58" customFormat="1" ht="18.75" x14ac:dyDescent="0.3">
      <c r="A27" s="50"/>
      <c r="B27" s="59" t="s">
        <v>32</v>
      </c>
      <c r="C27" s="60">
        <f>C486</f>
        <v>10612697</v>
      </c>
      <c r="D27" s="60">
        <v>9354593</v>
      </c>
      <c r="E27" s="60">
        <v>9354593</v>
      </c>
      <c r="F27" s="60">
        <v>5300735.47</v>
      </c>
      <c r="G27" s="60">
        <v>10752956</v>
      </c>
    </row>
    <row r="28" spans="1:84" s="19" customFormat="1" ht="18.75" x14ac:dyDescent="0.3">
      <c r="A28" s="55"/>
      <c r="B28" s="56" t="s">
        <v>33</v>
      </c>
      <c r="C28" s="57">
        <f>C492</f>
        <v>6426417</v>
      </c>
      <c r="D28" s="57">
        <f>D492</f>
        <v>6357417</v>
      </c>
      <c r="E28" s="57">
        <f>E492</f>
        <v>6413417</v>
      </c>
      <c r="F28" s="57">
        <f>F492</f>
        <v>4365980.75</v>
      </c>
      <c r="G28" s="57">
        <f>G492</f>
        <v>7038417</v>
      </c>
    </row>
    <row r="29" spans="1:84" s="19" customFormat="1" ht="18.75" x14ac:dyDescent="0.3">
      <c r="A29" s="52"/>
      <c r="B29" s="61" t="s">
        <v>34</v>
      </c>
      <c r="C29" s="62">
        <f>C503</f>
        <v>112000</v>
      </c>
      <c r="D29" s="62">
        <f>D503</f>
        <v>112000</v>
      </c>
      <c r="E29" s="62">
        <f>E503</f>
        <v>73000</v>
      </c>
      <c r="F29" s="62">
        <f>F503</f>
        <v>33098</v>
      </c>
      <c r="G29" s="62">
        <f>G503</f>
        <v>112000</v>
      </c>
      <c r="H29" s="23"/>
    </row>
    <row r="30" spans="1:84" s="63" customFormat="1" ht="18.75" x14ac:dyDescent="0.25">
      <c r="A30" s="64"/>
      <c r="B30" s="65" t="s">
        <v>35</v>
      </c>
      <c r="C30" s="66">
        <f>C507</f>
        <v>500000</v>
      </c>
      <c r="D30" s="66">
        <f>D507</f>
        <v>1201000</v>
      </c>
      <c r="E30" s="66">
        <f>E507</f>
        <v>701000</v>
      </c>
      <c r="F30" s="66">
        <f>F507</f>
        <v>1201000</v>
      </c>
      <c r="G30" s="66">
        <f>G507</f>
        <v>500000</v>
      </c>
      <c r="H30" s="23"/>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row>
    <row r="31" spans="1:84" s="19" customFormat="1" ht="18.75" x14ac:dyDescent="0.3">
      <c r="A31" s="43"/>
      <c r="B31" s="67" t="s">
        <v>36</v>
      </c>
      <c r="C31" s="68">
        <f t="shared" ref="C31:F32" si="2">C511</f>
        <v>117286140</v>
      </c>
      <c r="D31" s="69">
        <f t="shared" si="2"/>
        <v>125496783.28</v>
      </c>
      <c r="E31" s="69">
        <f t="shared" si="2"/>
        <v>125496783.28</v>
      </c>
      <c r="F31" s="69">
        <f t="shared" si="2"/>
        <v>82606294.439999998</v>
      </c>
      <c r="G31" s="69">
        <f>SUM(G32:G34)</f>
        <v>165843398.80000001</v>
      </c>
    </row>
    <row r="32" spans="1:84" s="19" customFormat="1" ht="15.75" customHeight="1" x14ac:dyDescent="0.25">
      <c r="A32" s="48"/>
      <c r="B32" s="21" t="s">
        <v>37</v>
      </c>
      <c r="C32" s="25">
        <f t="shared" si="2"/>
        <v>55530000</v>
      </c>
      <c r="D32" s="25">
        <f t="shared" si="2"/>
        <v>50086908.670000002</v>
      </c>
      <c r="E32" s="25">
        <f t="shared" si="2"/>
        <v>50086908.670000002</v>
      </c>
      <c r="F32" s="25">
        <f t="shared" si="2"/>
        <v>24467486.900000002</v>
      </c>
      <c r="G32" s="25">
        <v>84320582.799999997</v>
      </c>
      <c r="H32" s="23"/>
    </row>
    <row r="33" spans="1:8" s="19" customFormat="1" ht="15.75" customHeight="1" x14ac:dyDescent="0.2">
      <c r="A33" s="21"/>
      <c r="B33" s="21" t="s">
        <v>38</v>
      </c>
      <c r="C33" s="25">
        <v>39914000</v>
      </c>
      <c r="D33" s="25">
        <f>D564</f>
        <v>60000</v>
      </c>
      <c r="E33" s="25">
        <v>39435236.609999999</v>
      </c>
      <c r="F33" s="25">
        <f>F564</f>
        <v>23782.41</v>
      </c>
      <c r="G33" s="25">
        <v>63946000</v>
      </c>
      <c r="H33" s="23"/>
    </row>
    <row r="34" spans="1:8" s="19" customFormat="1" ht="15.75" customHeight="1" x14ac:dyDescent="0.2">
      <c r="A34" s="50"/>
      <c r="B34" s="53" t="s">
        <v>39</v>
      </c>
      <c r="C34" s="31">
        <v>21842.14</v>
      </c>
      <c r="D34" s="31">
        <f>D589</f>
        <v>150000</v>
      </c>
      <c r="E34" s="31">
        <v>35974638</v>
      </c>
      <c r="F34" s="31">
        <f>F589</f>
        <v>59769</v>
      </c>
      <c r="G34" s="31">
        <v>17576816</v>
      </c>
      <c r="H34" s="23"/>
    </row>
    <row r="35" spans="1:8" s="19" customFormat="1" ht="18.75" x14ac:dyDescent="0.3">
      <c r="A35" s="53"/>
      <c r="B35" s="70" t="s">
        <v>40</v>
      </c>
      <c r="C35" s="71">
        <f>C604</f>
        <v>24216100</v>
      </c>
      <c r="D35" s="71">
        <f>D604</f>
        <v>26216100</v>
      </c>
      <c r="E35" s="71">
        <f>E604</f>
        <v>26000000</v>
      </c>
      <c r="F35" s="71">
        <f>F604</f>
        <v>16002050.35</v>
      </c>
      <c r="G35" s="71">
        <f>G604</f>
        <v>24084500</v>
      </c>
    </row>
    <row r="36" spans="1:8" s="19" customFormat="1" ht="18.75" x14ac:dyDescent="0.3">
      <c r="A36" s="53"/>
      <c r="B36" s="70" t="s">
        <v>41</v>
      </c>
      <c r="C36" s="71">
        <f>C608</f>
        <v>36789421</v>
      </c>
      <c r="D36" s="71">
        <f>D608</f>
        <v>33301421</v>
      </c>
      <c r="E36" s="71">
        <f>E608</f>
        <v>30587183.09</v>
      </c>
      <c r="F36" s="71">
        <f>F608</f>
        <v>14768627.58</v>
      </c>
      <c r="G36" s="71">
        <f>G608</f>
        <v>34895800</v>
      </c>
    </row>
    <row r="37" spans="1:8" s="19" customFormat="1" ht="18.75" x14ac:dyDescent="0.2">
      <c r="A37" s="55"/>
      <c r="B37" s="72" t="s">
        <v>42</v>
      </c>
      <c r="C37" s="73">
        <f>C625</f>
        <v>153267660</v>
      </c>
      <c r="D37" s="74">
        <f>D625</f>
        <v>152405979</v>
      </c>
      <c r="E37" s="74">
        <f>E625</f>
        <v>152405979</v>
      </c>
      <c r="F37" s="74">
        <f>F625</f>
        <v>87122082</v>
      </c>
      <c r="G37" s="74">
        <f>G625</f>
        <v>149365960</v>
      </c>
    </row>
    <row r="38" spans="1:8" s="19" customFormat="1" ht="18.75" x14ac:dyDescent="0.3">
      <c r="A38" s="75"/>
      <c r="B38" s="67" t="s">
        <v>43</v>
      </c>
      <c r="C38" s="69">
        <f t="shared" ref="C38:G39" si="3">C633</f>
        <v>10199000</v>
      </c>
      <c r="D38" s="69">
        <f t="shared" si="3"/>
        <v>10026000</v>
      </c>
      <c r="E38" s="69">
        <f t="shared" si="3"/>
        <v>8890100</v>
      </c>
      <c r="F38" s="69">
        <f t="shared" si="3"/>
        <v>6802858.8700000001</v>
      </c>
      <c r="G38" s="69">
        <f t="shared" si="3"/>
        <v>10937288</v>
      </c>
      <c r="H38" s="23"/>
    </row>
    <row r="39" spans="1:8" s="19" customFormat="1" ht="16.5" customHeight="1" x14ac:dyDescent="0.2">
      <c r="A39" s="76"/>
      <c r="B39" s="76" t="s">
        <v>44</v>
      </c>
      <c r="C39" s="25">
        <f t="shared" si="3"/>
        <v>3459000</v>
      </c>
      <c r="D39" s="25">
        <f t="shared" si="3"/>
        <v>3286000</v>
      </c>
      <c r="E39" s="25">
        <f t="shared" si="3"/>
        <v>2734100</v>
      </c>
      <c r="F39" s="25">
        <f t="shared" si="3"/>
        <v>769858.87000000011</v>
      </c>
      <c r="G39" s="25">
        <f t="shared" si="3"/>
        <v>3067000</v>
      </c>
      <c r="H39" s="23"/>
    </row>
    <row r="40" spans="1:8" s="19" customFormat="1" ht="16.5" customHeight="1" x14ac:dyDescent="0.2">
      <c r="A40" s="50"/>
      <c r="B40" s="50" t="s">
        <v>45</v>
      </c>
      <c r="C40" s="31">
        <f>C662</f>
        <v>6740000</v>
      </c>
      <c r="D40" s="31">
        <f>D662</f>
        <v>6740000</v>
      </c>
      <c r="E40" s="31">
        <f>E662</f>
        <v>6156000</v>
      </c>
      <c r="F40" s="31">
        <f>F662</f>
        <v>6033000</v>
      </c>
      <c r="G40" s="31">
        <f>G662</f>
        <v>7870288</v>
      </c>
    </row>
    <row r="41" spans="1:8" s="19" customFormat="1" ht="18.75" x14ac:dyDescent="0.3">
      <c r="A41" s="75"/>
      <c r="B41" s="77" t="s">
        <v>46</v>
      </c>
      <c r="C41" s="78">
        <f>C673</f>
        <v>14255100</v>
      </c>
      <c r="D41" s="78">
        <f>D673</f>
        <v>20033588</v>
      </c>
      <c r="E41" s="78">
        <f>E673</f>
        <v>20033588</v>
      </c>
      <c r="F41" s="78">
        <f>F673</f>
        <v>7184316.8099999996</v>
      </c>
      <c r="G41" s="78">
        <f>G673</f>
        <v>13505100</v>
      </c>
    </row>
    <row r="42" spans="1:8" s="19" customFormat="1" ht="16.5" customHeight="1" x14ac:dyDescent="0.3">
      <c r="A42" s="21"/>
      <c r="B42" s="79" t="s">
        <v>47</v>
      </c>
      <c r="C42" s="80">
        <f t="shared" ref="C42:G44" si="4">C675</f>
        <v>6911500</v>
      </c>
      <c r="D42" s="80">
        <f t="shared" si="4"/>
        <v>10203820</v>
      </c>
      <c r="E42" s="80">
        <f t="shared" si="4"/>
        <v>10203820</v>
      </c>
      <c r="F42" s="80">
        <f t="shared" si="4"/>
        <v>3433058.91</v>
      </c>
      <c r="G42" s="80">
        <f t="shared" si="4"/>
        <v>6835500</v>
      </c>
    </row>
    <row r="43" spans="1:8" s="19" customFormat="1" ht="16.5" customHeight="1" x14ac:dyDescent="0.3">
      <c r="A43" s="49"/>
      <c r="B43" s="81" t="s">
        <v>48</v>
      </c>
      <c r="C43" s="69">
        <f t="shared" si="4"/>
        <v>1796800</v>
      </c>
      <c r="D43" s="69">
        <f t="shared" si="4"/>
        <v>2479432</v>
      </c>
      <c r="E43" s="69">
        <f t="shared" si="4"/>
        <v>2479432</v>
      </c>
      <c r="F43" s="69">
        <f t="shared" si="4"/>
        <v>763396.3</v>
      </c>
      <c r="G43" s="69">
        <f t="shared" si="4"/>
        <v>1739300</v>
      </c>
    </row>
    <row r="44" spans="1:8" s="19" customFormat="1" ht="16.5" customHeight="1" x14ac:dyDescent="0.3">
      <c r="A44" s="53"/>
      <c r="B44" s="82" t="s">
        <v>49</v>
      </c>
      <c r="C44" s="71">
        <f t="shared" si="4"/>
        <v>5546800</v>
      </c>
      <c r="D44" s="71">
        <f t="shared" si="4"/>
        <v>7350336</v>
      </c>
      <c r="E44" s="71">
        <f t="shared" si="4"/>
        <v>7350336</v>
      </c>
      <c r="F44" s="71">
        <f t="shared" si="4"/>
        <v>2987864.6</v>
      </c>
      <c r="G44" s="71">
        <f t="shared" si="4"/>
        <v>4930300</v>
      </c>
      <c r="H44" s="23"/>
    </row>
    <row r="45" spans="1:8" s="19" customFormat="1" ht="18.75" x14ac:dyDescent="0.3">
      <c r="A45" s="83"/>
      <c r="B45" s="56" t="s">
        <v>50</v>
      </c>
      <c r="C45" s="57">
        <f>C679</f>
        <v>48341000</v>
      </c>
      <c r="D45" s="57">
        <f>D679</f>
        <v>48246622</v>
      </c>
      <c r="E45" s="57">
        <f>E679</f>
        <v>48220555</v>
      </c>
      <c r="F45" s="57">
        <f>F679</f>
        <v>26931631</v>
      </c>
      <c r="G45" s="57">
        <f>G679</f>
        <v>58483000</v>
      </c>
    </row>
    <row r="46" spans="1:8" s="19" customFormat="1" ht="18.75" customHeight="1" x14ac:dyDescent="0.3">
      <c r="A46" s="83"/>
      <c r="B46" s="56" t="s">
        <v>51</v>
      </c>
      <c r="C46" s="84">
        <f>C702</f>
        <v>272420000</v>
      </c>
      <c r="D46" s="57">
        <f>D702</f>
        <v>198055883.74000001</v>
      </c>
      <c r="E46" s="57">
        <v>183951155.44</v>
      </c>
      <c r="F46" s="57">
        <f>F702</f>
        <v>96334031.909999996</v>
      </c>
      <c r="G46" s="57">
        <v>224822000</v>
      </c>
      <c r="H46" s="85"/>
    </row>
    <row r="47" spans="1:8" s="19" customFormat="1" ht="19.5" customHeight="1" x14ac:dyDescent="0.3">
      <c r="A47" s="75"/>
      <c r="B47" s="86" t="s">
        <v>52</v>
      </c>
      <c r="C47" s="78">
        <f>C885</f>
        <v>1211750</v>
      </c>
      <c r="D47" s="78">
        <f>D885</f>
        <v>637750</v>
      </c>
      <c r="E47" s="78">
        <f>E885</f>
        <v>379640</v>
      </c>
      <c r="F47" s="78">
        <f>F885</f>
        <v>120303.64</v>
      </c>
      <c r="G47" s="78">
        <f>G885</f>
        <v>600000</v>
      </c>
      <c r="H47" s="1"/>
    </row>
    <row r="48" spans="1:8" s="19" customFormat="1" ht="15.75" customHeight="1" x14ac:dyDescent="0.2">
      <c r="A48" s="53"/>
      <c r="B48" s="87" t="s">
        <v>53</v>
      </c>
      <c r="C48" s="54">
        <f>C896</f>
        <v>574000</v>
      </c>
      <c r="D48" s="54">
        <f>D896</f>
        <v>0</v>
      </c>
      <c r="E48" s="54">
        <f>E896</f>
        <v>0</v>
      </c>
      <c r="F48" s="54">
        <f>F896</f>
        <v>0</v>
      </c>
      <c r="G48" s="54">
        <f>G896</f>
        <v>0</v>
      </c>
      <c r="H48" s="88"/>
    </row>
    <row r="49" spans="1:8" s="19" customFormat="1" ht="18.75" x14ac:dyDescent="0.3">
      <c r="A49" s="52"/>
      <c r="B49" s="67" t="s">
        <v>54</v>
      </c>
      <c r="C49" s="69">
        <f>C899</f>
        <v>39215960</v>
      </c>
      <c r="D49" s="69">
        <f>D899</f>
        <v>110513968.37</v>
      </c>
      <c r="E49" s="69">
        <f>E899</f>
        <v>104362912.75</v>
      </c>
      <c r="F49" s="69">
        <f>F899</f>
        <v>111132121.87</v>
      </c>
      <c r="G49" s="69">
        <f>G899</f>
        <v>36184308.620000005</v>
      </c>
      <c r="H49" s="88"/>
    </row>
    <row r="50" spans="1:8" s="12" customFormat="1" ht="23.25" customHeight="1" x14ac:dyDescent="0.3">
      <c r="A50" s="89"/>
      <c r="B50" s="90" t="s">
        <v>55</v>
      </c>
      <c r="C50" s="36">
        <f>C922</f>
        <v>870089265</v>
      </c>
      <c r="D50" s="36">
        <f>D922</f>
        <v>866332786.38999999</v>
      </c>
      <c r="E50" s="36">
        <v>780969080.60000002</v>
      </c>
      <c r="F50" s="36">
        <f>F922</f>
        <v>495324827.22000003</v>
      </c>
      <c r="G50" s="36">
        <v>902306516.75</v>
      </c>
      <c r="H50" s="88"/>
    </row>
    <row r="51" spans="1:8" s="12" customFormat="1" ht="23.25" hidden="1" customHeight="1" x14ac:dyDescent="0.3">
      <c r="A51" s="89"/>
      <c r="B51" s="90"/>
      <c r="C51" s="91"/>
      <c r="D51" s="91"/>
      <c r="E51" s="91"/>
      <c r="F51" s="91"/>
      <c r="G51" s="91"/>
      <c r="H51" s="88"/>
    </row>
    <row r="52" spans="1:8" ht="22.5" hidden="1" customHeight="1" x14ac:dyDescent="0.3">
      <c r="A52" s="92"/>
      <c r="B52" s="93" t="s">
        <v>56</v>
      </c>
      <c r="C52" s="94"/>
      <c r="D52" s="94"/>
      <c r="E52" s="95"/>
      <c r="F52" s="96"/>
      <c r="G52" s="97"/>
      <c r="H52" s="88"/>
    </row>
    <row r="53" spans="1:8" s="98" customFormat="1" ht="18" hidden="1" x14ac:dyDescent="0.25">
      <c r="A53" s="99"/>
      <c r="B53" s="100" t="s">
        <v>57</v>
      </c>
      <c r="C53" s="101">
        <f>SUM(C54:C66,C70,C73:C76,C83:C85)</f>
        <v>444580702</v>
      </c>
      <c r="D53" s="101">
        <f>SUM(D54:D66,D70,D73:D76,D83:D85)</f>
        <v>371511957.44</v>
      </c>
      <c r="E53" s="101">
        <f>SUM(E54:E66,E70,E73:E76,E83:E85)</f>
        <v>371694661.44</v>
      </c>
      <c r="F53" s="101">
        <f>SUM(F54:F66,F70,F73:F76,F83:F85)</f>
        <v>255798528.65000004</v>
      </c>
      <c r="G53" s="101">
        <f>SUM(G54:G66,G70,G73:G76,G83:G85)</f>
        <v>387416000</v>
      </c>
      <c r="H53" s="88"/>
    </row>
    <row r="54" spans="1:8" s="98" customFormat="1" ht="12.75" hidden="1" customHeight="1" x14ac:dyDescent="0.2">
      <c r="A54" s="102">
        <v>1111</v>
      </c>
      <c r="B54" s="103" t="s">
        <v>58</v>
      </c>
      <c r="C54" s="104">
        <f>(55413000*0.164351/100)*1000-0.63</f>
        <v>91071819</v>
      </c>
      <c r="D54" s="104">
        <f>(55413000*0.164351/100)*1000-0.63-18000000</f>
        <v>73071819</v>
      </c>
      <c r="E54" s="104">
        <f>(55413000*0.164351/100)*1000-0.63-18000000</f>
        <v>73071819</v>
      </c>
      <c r="F54" s="104">
        <v>48301217.43</v>
      </c>
      <c r="G54" s="105">
        <f>(85460000-83860000)/2+83860000</f>
        <v>84660000</v>
      </c>
      <c r="H54" s="88"/>
    </row>
    <row r="55" spans="1:8" s="98" customFormat="1" ht="12.75" hidden="1" customHeight="1" x14ac:dyDescent="0.2">
      <c r="A55" s="106">
        <v>1111</v>
      </c>
      <c r="B55" s="107" t="s">
        <v>59</v>
      </c>
      <c r="C55" s="108">
        <f>(3525000*0.272848/100)*1000</f>
        <v>9617892</v>
      </c>
      <c r="D55" s="108">
        <v>7617892</v>
      </c>
      <c r="E55" s="108">
        <v>7617892</v>
      </c>
      <c r="F55" s="109">
        <v>5100983.9800000004</v>
      </c>
      <c r="G55" s="105">
        <f>(8650000-8490000)/2+8490000</f>
        <v>8570000</v>
      </c>
      <c r="H55" s="88"/>
    </row>
    <row r="56" spans="1:8" s="98" customFormat="1" ht="12.75" hidden="1" customHeight="1" x14ac:dyDescent="0.2">
      <c r="A56" s="106">
        <v>1112</v>
      </c>
      <c r="B56" s="107" t="s">
        <v>60</v>
      </c>
      <c r="C56" s="104">
        <f>(1100000*0.164351/100)*1000</f>
        <v>1807861</v>
      </c>
      <c r="D56" s="104">
        <v>970159</v>
      </c>
      <c r="E56" s="104">
        <v>970159</v>
      </c>
      <c r="F56" s="104">
        <v>574554.49</v>
      </c>
      <c r="G56" s="105">
        <f>(1280000-1140000)/2+1140000</f>
        <v>1210000</v>
      </c>
      <c r="H56" s="88"/>
    </row>
    <row r="57" spans="1:8" s="98" customFormat="1" ht="12.75" hidden="1" customHeight="1" x14ac:dyDescent="0.2">
      <c r="A57" s="106">
        <v>1113</v>
      </c>
      <c r="B57" s="107" t="s">
        <v>61</v>
      </c>
      <c r="C57" s="104">
        <f>(4900000*0.164351/100)*1000</f>
        <v>8053199.0000000009</v>
      </c>
      <c r="D57" s="104">
        <f>(4900000*0.164351/100)*1000-2000000</f>
        <v>6053199.0000000009</v>
      </c>
      <c r="E57" s="104">
        <f>(4900000*0.164351/100)*1000-2000000</f>
        <v>6053199.0000000009</v>
      </c>
      <c r="F57" s="109">
        <v>5051465.68</v>
      </c>
      <c r="G57" s="105">
        <v>8425000</v>
      </c>
      <c r="H57" s="88"/>
    </row>
    <row r="58" spans="1:8" s="98" customFormat="1" ht="12.75" hidden="1" customHeight="1" x14ac:dyDescent="0.2">
      <c r="A58" s="106">
        <v>1121</v>
      </c>
      <c r="B58" s="107" t="s">
        <v>62</v>
      </c>
      <c r="C58" s="104">
        <f>(45100000*0.164351/100)*1000</f>
        <v>74122300.999999985</v>
      </c>
      <c r="D58" s="104">
        <f>(45100000*0.164351/100)*1000-16000000</f>
        <v>58122300.999999985</v>
      </c>
      <c r="E58" s="104">
        <f>(45100000*0.164351/100)*1000-16000000</f>
        <v>58122300.999999985</v>
      </c>
      <c r="F58" s="109">
        <v>33335383.719999999</v>
      </c>
      <c r="G58" s="105">
        <f>(50430000-49560000)/2+49560000</f>
        <v>49995000</v>
      </c>
      <c r="H58" s="88"/>
    </row>
    <row r="59" spans="1:8" s="98" customFormat="1" ht="12.75" hidden="1" customHeight="1" x14ac:dyDescent="0.2">
      <c r="A59" s="106">
        <v>1122</v>
      </c>
      <c r="B59" s="107" t="s">
        <v>63</v>
      </c>
      <c r="C59" s="109">
        <v>25000000</v>
      </c>
      <c r="D59" s="109">
        <v>22015870</v>
      </c>
      <c r="E59" s="109">
        <v>22015870</v>
      </c>
      <c r="F59" s="109">
        <v>22015870</v>
      </c>
      <c r="G59" s="109">
        <v>23000000</v>
      </c>
      <c r="H59" s="88"/>
    </row>
    <row r="60" spans="1:8" s="98" customFormat="1" ht="12.75" hidden="1" customHeight="1" x14ac:dyDescent="0.2">
      <c r="A60" s="106">
        <v>1211</v>
      </c>
      <c r="B60" s="107" t="s">
        <v>64</v>
      </c>
      <c r="C60" s="104">
        <f>(113000000*0.164351/100)*1000</f>
        <v>185716630</v>
      </c>
      <c r="D60" s="104">
        <f>(113000000*0.164351/100)*1000-26000000</f>
        <v>159716630</v>
      </c>
      <c r="E60" s="104">
        <f>(113000000*0.164351/100)*1000-26000000</f>
        <v>159716630</v>
      </c>
      <c r="F60" s="109">
        <v>105223217.38</v>
      </c>
      <c r="G60" s="105">
        <f>(168370000-160100000)/2+160100000</f>
        <v>164235000</v>
      </c>
      <c r="H60" s="88"/>
    </row>
    <row r="61" spans="1:8" s="98" customFormat="1" ht="12.75" hidden="1" customHeight="1" x14ac:dyDescent="0.2">
      <c r="A61" s="106">
        <v>1334</v>
      </c>
      <c r="B61" s="107" t="s">
        <v>65</v>
      </c>
      <c r="C61" s="109">
        <v>50000</v>
      </c>
      <c r="D61" s="109">
        <v>53936.2</v>
      </c>
      <c r="E61" s="109">
        <v>53936.2</v>
      </c>
      <c r="F61" s="108">
        <v>104468.8</v>
      </c>
      <c r="G61" s="105">
        <v>50000</v>
      </c>
      <c r="H61" s="88"/>
    </row>
    <row r="62" spans="1:8" s="98" customFormat="1" ht="12.75" hidden="1" customHeight="1" x14ac:dyDescent="0.2">
      <c r="A62" s="106">
        <v>1335</v>
      </c>
      <c r="B62" s="107" t="s">
        <v>66</v>
      </c>
      <c r="C62" s="109">
        <v>5000</v>
      </c>
      <c r="D62" s="109">
        <v>19055.240000000002</v>
      </c>
      <c r="E62" s="109">
        <v>19055.240000000002</v>
      </c>
      <c r="F62" s="109">
        <v>23555.24</v>
      </c>
      <c r="G62" s="105">
        <v>5000</v>
      </c>
      <c r="H62" s="88"/>
    </row>
    <row r="63" spans="1:8" s="98" customFormat="1" ht="12.75" hidden="1" customHeight="1" x14ac:dyDescent="0.2">
      <c r="A63" s="106">
        <v>1336</v>
      </c>
      <c r="B63" s="107" t="s">
        <v>67</v>
      </c>
      <c r="C63" s="109">
        <v>0</v>
      </c>
      <c r="D63" s="109">
        <v>2800</v>
      </c>
      <c r="E63" s="109">
        <v>2800</v>
      </c>
      <c r="F63" s="109">
        <v>2800</v>
      </c>
      <c r="G63" s="105">
        <v>0</v>
      </c>
      <c r="H63" s="88"/>
    </row>
    <row r="64" spans="1:8" s="98" customFormat="1" ht="26.25" hidden="1" customHeight="1" x14ac:dyDescent="0.2">
      <c r="A64" s="106">
        <v>1340</v>
      </c>
      <c r="B64" s="110" t="s">
        <v>68</v>
      </c>
      <c r="C64" s="109">
        <v>13000000</v>
      </c>
      <c r="D64" s="109">
        <v>13000000</v>
      </c>
      <c r="E64" s="109">
        <v>13000000</v>
      </c>
      <c r="F64" s="109">
        <v>11581542.619999999</v>
      </c>
      <c r="G64" s="109">
        <v>13000000</v>
      </c>
      <c r="H64" s="88"/>
    </row>
    <row r="65" spans="1:34" s="98" customFormat="1" ht="12.75" hidden="1" customHeight="1" x14ac:dyDescent="0.2">
      <c r="A65" s="106">
        <v>1341</v>
      </c>
      <c r="B65" s="107" t="s">
        <v>69</v>
      </c>
      <c r="C65" s="109">
        <v>650000</v>
      </c>
      <c r="D65" s="109">
        <v>650000</v>
      </c>
      <c r="E65" s="109">
        <v>650000</v>
      </c>
      <c r="F65" s="109">
        <v>593763.6</v>
      </c>
      <c r="G65" s="105">
        <v>650000</v>
      </c>
      <c r="H65" s="88"/>
    </row>
    <row r="66" spans="1:34" s="98" customFormat="1" ht="12.75" hidden="1" customHeight="1" x14ac:dyDescent="0.2">
      <c r="A66" s="106">
        <v>1343</v>
      </c>
      <c r="B66" s="107" t="s">
        <v>70</v>
      </c>
      <c r="C66" s="108">
        <f>SUM(C67:C69)</f>
        <v>405000</v>
      </c>
      <c r="D66" s="108">
        <f>SUM(D67:D69)</f>
        <v>305000</v>
      </c>
      <c r="E66" s="108">
        <f>SUM(E67:E69)</f>
        <v>280000</v>
      </c>
      <c r="F66" s="108">
        <f>SUM(F67:F69)</f>
        <v>200753</v>
      </c>
      <c r="G66" s="108">
        <f>SUM(G67:G69)</f>
        <v>385000</v>
      </c>
      <c r="H66" s="32"/>
    </row>
    <row r="67" spans="1:34" ht="12.75" hidden="1" customHeight="1" x14ac:dyDescent="0.2">
      <c r="A67" s="111"/>
      <c r="B67" s="112" t="s">
        <v>71</v>
      </c>
      <c r="C67" s="113">
        <v>300000</v>
      </c>
      <c r="D67" s="113">
        <v>200000</v>
      </c>
      <c r="E67" s="113">
        <v>180000</v>
      </c>
      <c r="F67" s="113">
        <v>153032</v>
      </c>
      <c r="G67" s="114">
        <v>300000</v>
      </c>
      <c r="H67" s="88"/>
    </row>
    <row r="68" spans="1:34" ht="12.75" hidden="1" customHeight="1" x14ac:dyDescent="0.2">
      <c r="A68" s="111"/>
      <c r="B68" s="112" t="s">
        <v>72</v>
      </c>
      <c r="C68" s="113">
        <v>55000</v>
      </c>
      <c r="D68" s="113">
        <v>55000</v>
      </c>
      <c r="E68" s="113">
        <v>50000</v>
      </c>
      <c r="F68" s="113">
        <v>35271</v>
      </c>
      <c r="G68" s="114">
        <v>60000</v>
      </c>
      <c r="H68" s="88"/>
    </row>
    <row r="69" spans="1:34" ht="12.75" hidden="1" customHeight="1" x14ac:dyDescent="0.2">
      <c r="A69" s="111"/>
      <c r="B69" s="112" t="s">
        <v>73</v>
      </c>
      <c r="C69" s="113">
        <v>50000</v>
      </c>
      <c r="D69" s="113">
        <v>50000</v>
      </c>
      <c r="E69" s="113">
        <v>50000</v>
      </c>
      <c r="F69" s="113">
        <v>12450</v>
      </c>
      <c r="G69" s="114">
        <v>25000</v>
      </c>
      <c r="H69" s="88"/>
    </row>
    <row r="70" spans="1:34" s="98" customFormat="1" ht="34.5" hidden="1" customHeight="1" x14ac:dyDescent="0.2">
      <c r="A70" s="106">
        <v>1346</v>
      </c>
      <c r="B70" s="110" t="s">
        <v>74</v>
      </c>
      <c r="C70" s="108">
        <f>SUM(C71:C72)</f>
        <v>90000</v>
      </c>
      <c r="D70" s="108">
        <f>SUM(D71:D72)</f>
        <v>122296</v>
      </c>
      <c r="E70" s="108">
        <f>SUM(E71:E72)</f>
        <v>156000</v>
      </c>
      <c r="F70" s="108">
        <f>SUM(F71:F72)</f>
        <v>132518</v>
      </c>
      <c r="G70" s="105">
        <f>SUM(G71:G72)</f>
        <v>95000</v>
      </c>
      <c r="H70" s="32"/>
    </row>
    <row r="71" spans="1:34" s="2" customFormat="1" hidden="1" x14ac:dyDescent="0.2">
      <c r="A71" s="115"/>
      <c r="B71" s="116" t="s">
        <v>75</v>
      </c>
      <c r="C71" s="113">
        <v>0</v>
      </c>
      <c r="D71" s="113">
        <v>7580</v>
      </c>
      <c r="E71" s="117">
        <v>16000</v>
      </c>
      <c r="F71" s="117">
        <v>12120</v>
      </c>
      <c r="G71" s="114">
        <v>5000</v>
      </c>
      <c r="H71" s="32"/>
    </row>
    <row r="72" spans="1:34" s="118" customFormat="1" hidden="1" x14ac:dyDescent="0.2">
      <c r="A72" s="119"/>
      <c r="B72" s="120" t="s">
        <v>76</v>
      </c>
      <c r="C72" s="121">
        <v>90000</v>
      </c>
      <c r="D72" s="121">
        <v>114716</v>
      </c>
      <c r="E72" s="122">
        <v>140000</v>
      </c>
      <c r="F72" s="122">
        <v>120398</v>
      </c>
      <c r="G72" s="123">
        <v>90000</v>
      </c>
      <c r="H72" s="124"/>
    </row>
    <row r="73" spans="1:34" s="98" customFormat="1" ht="12.75" hidden="1" customHeight="1" x14ac:dyDescent="0.2">
      <c r="A73" s="106">
        <v>1353</v>
      </c>
      <c r="B73" s="107" t="s">
        <v>77</v>
      </c>
      <c r="C73" s="109">
        <v>575000</v>
      </c>
      <c r="D73" s="109">
        <v>575000</v>
      </c>
      <c r="E73" s="109">
        <v>500000</v>
      </c>
      <c r="F73" s="109">
        <v>297300</v>
      </c>
      <c r="G73" s="105">
        <v>600000</v>
      </c>
      <c r="H73" s="88"/>
    </row>
    <row r="74" spans="1:34" s="98" customFormat="1" ht="12.75" hidden="1" customHeight="1" x14ac:dyDescent="0.2">
      <c r="A74" s="106">
        <v>1356</v>
      </c>
      <c r="B74" s="107" t="s">
        <v>78</v>
      </c>
      <c r="C74" s="109">
        <v>250000</v>
      </c>
      <c r="D74" s="109">
        <v>250000</v>
      </c>
      <c r="E74" s="109">
        <v>250000</v>
      </c>
      <c r="F74" s="109">
        <v>242547.84</v>
      </c>
      <c r="G74" s="109">
        <v>250000</v>
      </c>
      <c r="H74" s="32"/>
    </row>
    <row r="75" spans="1:34" s="98" customFormat="1" ht="12.75" hidden="1" customHeight="1" x14ac:dyDescent="0.2">
      <c r="A75" s="106">
        <v>1359</v>
      </c>
      <c r="B75" s="107" t="s">
        <v>79</v>
      </c>
      <c r="C75" s="109">
        <v>0</v>
      </c>
      <c r="D75" s="109">
        <v>0</v>
      </c>
      <c r="E75" s="109">
        <v>0</v>
      </c>
      <c r="F75" s="109">
        <v>45000</v>
      </c>
      <c r="G75" s="105">
        <v>0</v>
      </c>
      <c r="H75" s="32"/>
    </row>
    <row r="76" spans="1:34" s="98" customFormat="1" ht="12.75" hidden="1" customHeight="1" x14ac:dyDescent="0.2">
      <c r="A76" s="106">
        <v>1361</v>
      </c>
      <c r="B76" s="107" t="s">
        <v>80</v>
      </c>
      <c r="C76" s="108">
        <f>SUM(C77:C82)</f>
        <v>8666000</v>
      </c>
      <c r="D76" s="108">
        <f>SUM(D77:D82)</f>
        <v>7466000</v>
      </c>
      <c r="E76" s="108">
        <f>SUM(E77:E82)</f>
        <v>7515000</v>
      </c>
      <c r="F76" s="108">
        <f>SUM(F77:F82)</f>
        <v>6006885</v>
      </c>
      <c r="G76" s="108">
        <f>SUM(G77:G82)</f>
        <v>8086000</v>
      </c>
      <c r="H76" s="88"/>
    </row>
    <row r="77" spans="1:34" ht="12.75" hidden="1" customHeight="1" x14ac:dyDescent="0.2">
      <c r="A77" s="111"/>
      <c r="B77" s="112" t="s">
        <v>81</v>
      </c>
      <c r="C77" s="113">
        <v>5000000</v>
      </c>
      <c r="D77" s="113">
        <v>5000000</v>
      </c>
      <c r="E77" s="113">
        <v>5000000</v>
      </c>
      <c r="F77" s="113">
        <v>4004540</v>
      </c>
      <c r="G77" s="114">
        <v>5500000</v>
      </c>
      <c r="H77" s="88"/>
    </row>
    <row r="78" spans="1:34" ht="39" hidden="1" customHeight="1" x14ac:dyDescent="0.2">
      <c r="A78" s="111"/>
      <c r="B78" s="125" t="s">
        <v>82</v>
      </c>
      <c r="C78" s="113">
        <f>(378+2+30+10)*1000</f>
        <v>420000</v>
      </c>
      <c r="D78" s="113">
        <v>300000</v>
      </c>
      <c r="E78" s="113">
        <v>391000</v>
      </c>
      <c r="F78" s="113">
        <v>276560</v>
      </c>
      <c r="G78" s="114">
        <v>400000</v>
      </c>
      <c r="H78" s="32"/>
    </row>
    <row r="79" spans="1:34" ht="12.75" hidden="1" customHeight="1" x14ac:dyDescent="0.2">
      <c r="A79" s="111"/>
      <c r="B79" s="112" t="s">
        <v>83</v>
      </c>
      <c r="C79" s="113">
        <v>1300000</v>
      </c>
      <c r="D79" s="113">
        <v>1000000</v>
      </c>
      <c r="E79" s="113">
        <v>1000000</v>
      </c>
      <c r="F79" s="113">
        <v>752450</v>
      </c>
      <c r="G79" s="114">
        <v>1000000</v>
      </c>
      <c r="H79" s="88"/>
    </row>
    <row r="80" spans="1:34" s="126" customFormat="1" ht="12.75" hidden="1" customHeight="1" x14ac:dyDescent="0.2">
      <c r="A80" s="127"/>
      <c r="B80" s="128" t="s">
        <v>84</v>
      </c>
      <c r="C80" s="121">
        <v>1780000</v>
      </c>
      <c r="D80" s="121">
        <v>1000000</v>
      </c>
      <c r="E80" s="121">
        <v>950000</v>
      </c>
      <c r="F80" s="121">
        <v>803265</v>
      </c>
      <c r="G80" s="123">
        <v>1000000</v>
      </c>
      <c r="H80" s="129"/>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row>
    <row r="81" spans="1:8" ht="12.75" hidden="1" customHeight="1" x14ac:dyDescent="0.2">
      <c r="A81" s="111"/>
      <c r="B81" s="112" t="s">
        <v>85</v>
      </c>
      <c r="C81" s="113">
        <v>162000</v>
      </c>
      <c r="D81" s="113">
        <v>162000</v>
      </c>
      <c r="E81" s="113">
        <v>170000</v>
      </c>
      <c r="F81" s="113">
        <v>167170</v>
      </c>
      <c r="G81" s="113">
        <v>182000</v>
      </c>
      <c r="H81" s="88"/>
    </row>
    <row r="82" spans="1:8" ht="12.75" hidden="1" customHeight="1" x14ac:dyDescent="0.2">
      <c r="A82" s="111"/>
      <c r="B82" s="112" t="s">
        <v>86</v>
      </c>
      <c r="C82" s="113">
        <v>4000</v>
      </c>
      <c r="D82" s="113">
        <f>1200+2800</f>
        <v>4000</v>
      </c>
      <c r="E82" s="113">
        <v>4000</v>
      </c>
      <c r="F82" s="113">
        <f>100+2800</f>
        <v>2900</v>
      </c>
      <c r="G82" s="114">
        <v>4000</v>
      </c>
      <c r="H82" s="88"/>
    </row>
    <row r="83" spans="1:8" ht="12.75" hidden="1" customHeight="1" x14ac:dyDescent="0.2">
      <c r="A83" s="106">
        <v>1381</v>
      </c>
      <c r="B83" s="107" t="s">
        <v>87</v>
      </c>
      <c r="C83" s="109">
        <v>1500000</v>
      </c>
      <c r="D83" s="109">
        <v>1500000</v>
      </c>
      <c r="E83" s="109">
        <v>1700000</v>
      </c>
      <c r="F83" s="109">
        <v>1597761.76</v>
      </c>
      <c r="G83" s="105">
        <v>1700000</v>
      </c>
      <c r="H83" s="88"/>
    </row>
    <row r="84" spans="1:8" ht="12.75" hidden="1" customHeight="1" x14ac:dyDescent="0.2">
      <c r="A84" s="106">
        <v>1385</v>
      </c>
      <c r="B84" s="107" t="s">
        <v>88</v>
      </c>
      <c r="C84" s="109">
        <v>12000000</v>
      </c>
      <c r="D84" s="109">
        <v>8000000</v>
      </c>
      <c r="E84" s="109">
        <v>8000000</v>
      </c>
      <c r="F84" s="109">
        <v>6888358.1799999997</v>
      </c>
      <c r="G84" s="105">
        <v>10000000</v>
      </c>
      <c r="H84" s="88"/>
    </row>
    <row r="85" spans="1:8" s="98" customFormat="1" ht="12.75" hidden="1" customHeight="1" x14ac:dyDescent="0.2">
      <c r="A85" s="106">
        <v>1511</v>
      </c>
      <c r="B85" s="107" t="s">
        <v>89</v>
      </c>
      <c r="C85" s="109">
        <f>11000000+1000000</f>
        <v>12000000</v>
      </c>
      <c r="D85" s="109">
        <f>11000000+1000000</f>
        <v>12000000</v>
      </c>
      <c r="E85" s="109">
        <f>11000000+1000000</f>
        <v>12000000</v>
      </c>
      <c r="F85" s="109">
        <v>8478581.9299999997</v>
      </c>
      <c r="G85" s="109">
        <v>12500000</v>
      </c>
      <c r="H85" s="88"/>
    </row>
    <row r="86" spans="1:8" s="98" customFormat="1" ht="12.75" hidden="1" customHeight="1" x14ac:dyDescent="0.2">
      <c r="A86" s="131"/>
      <c r="B86" s="132"/>
      <c r="C86" s="133"/>
      <c r="D86" s="133"/>
      <c r="E86" s="133"/>
      <c r="F86" s="134"/>
      <c r="G86" s="135"/>
      <c r="H86" s="88"/>
    </row>
    <row r="87" spans="1:8" s="98" customFormat="1" ht="18.75" hidden="1" customHeight="1" x14ac:dyDescent="0.25">
      <c r="A87" s="136"/>
      <c r="B87" s="64" t="s">
        <v>10</v>
      </c>
      <c r="C87" s="137">
        <f>SUM(C88,C101:C104,C116:C117,C128:C129,C142:C145,C162:C163,C175)</f>
        <v>127930181</v>
      </c>
      <c r="D87" s="137">
        <f>SUM(D88,D101:D104,D116:D117,D128:D129,D142:D145,D162:D163,D175)</f>
        <v>68787440.480000004</v>
      </c>
      <c r="E87" s="137">
        <f>SUM(E88,E101:E104,E116:E117,E128:E129,E142:E145,E162:E163,E175)</f>
        <v>121409960.75000001</v>
      </c>
      <c r="F87" s="137">
        <f>SUM(F88,F101:F104,F116:F117,F128:F129,F142:F145,F162:F163,F175)</f>
        <v>86272625.189999998</v>
      </c>
      <c r="G87" s="137">
        <f>SUM(G88,G101:G104,G116:G117,G128:G129,G142:G145,G162:G163,G175)</f>
        <v>127897541.26000001</v>
      </c>
      <c r="H87" s="88"/>
    </row>
    <row r="88" spans="1:8" s="98" customFormat="1" ht="12.75" hidden="1" customHeight="1" x14ac:dyDescent="0.2">
      <c r="A88" s="138">
        <v>2111</v>
      </c>
      <c r="B88" s="139" t="s">
        <v>90</v>
      </c>
      <c r="C88" s="140">
        <f>SUM(C89:C100)</f>
        <v>13114500</v>
      </c>
      <c r="D88" s="140">
        <f>SUM(D89:D100)</f>
        <v>13361889.02</v>
      </c>
      <c r="E88" s="140">
        <f>SUM(E89:E100)</f>
        <v>12789499.02</v>
      </c>
      <c r="F88" s="140">
        <f>SUM(F89:F100)</f>
        <v>9157928.2999999989</v>
      </c>
      <c r="G88" s="140">
        <f>SUM(G89:G100)</f>
        <v>13681500</v>
      </c>
      <c r="H88" s="88"/>
    </row>
    <row r="89" spans="1:8" ht="12.75" hidden="1" customHeight="1" x14ac:dyDescent="0.2">
      <c r="A89" s="141"/>
      <c r="B89" s="128" t="s">
        <v>91</v>
      </c>
      <c r="C89" s="121">
        <v>0</v>
      </c>
      <c r="D89" s="121">
        <v>0</v>
      </c>
      <c r="E89" s="113">
        <v>510</v>
      </c>
      <c r="F89" s="113">
        <v>510</v>
      </c>
      <c r="G89" s="114">
        <v>0</v>
      </c>
      <c r="H89" s="88"/>
    </row>
    <row r="90" spans="1:8" ht="12.75" hidden="1" customHeight="1" x14ac:dyDescent="0.2">
      <c r="A90" s="141"/>
      <c r="B90" s="128" t="s">
        <v>92</v>
      </c>
      <c r="C90" s="121">
        <v>1000000</v>
      </c>
      <c r="D90" s="113">
        <v>1000000</v>
      </c>
      <c r="E90" s="113">
        <v>1000000</v>
      </c>
      <c r="F90" s="113">
        <v>241188</v>
      </c>
      <c r="G90" s="114">
        <v>1000000</v>
      </c>
      <c r="H90" s="88"/>
    </row>
    <row r="91" spans="1:8" s="130" customFormat="1" ht="12.75" hidden="1" customHeight="1" x14ac:dyDescent="0.2">
      <c r="A91" s="127"/>
      <c r="B91" s="128" t="s">
        <v>93</v>
      </c>
      <c r="C91" s="121">
        <v>720000</v>
      </c>
      <c r="D91" s="121">
        <v>440588</v>
      </c>
      <c r="E91" s="121">
        <v>440588</v>
      </c>
      <c r="F91" s="121">
        <v>367675.18</v>
      </c>
      <c r="G91" s="123">
        <v>720000</v>
      </c>
      <c r="H91" s="129"/>
    </row>
    <row r="92" spans="1:8" ht="12.75" hidden="1" customHeight="1" x14ac:dyDescent="0.2">
      <c r="A92" s="127"/>
      <c r="B92" s="128" t="s">
        <v>94</v>
      </c>
      <c r="C92" s="121">
        <v>10000</v>
      </c>
      <c r="D92" s="121">
        <v>8000</v>
      </c>
      <c r="E92" s="113">
        <v>7000</v>
      </c>
      <c r="F92" s="113">
        <v>6360</v>
      </c>
      <c r="G92" s="114">
        <v>0</v>
      </c>
      <c r="H92" s="88"/>
    </row>
    <row r="93" spans="1:8" ht="12.75" hidden="1" customHeight="1" x14ac:dyDescent="0.2">
      <c r="A93" s="127"/>
      <c r="B93" s="128" t="s">
        <v>95</v>
      </c>
      <c r="C93" s="121">
        <v>5000000</v>
      </c>
      <c r="D93" s="121">
        <v>3950000</v>
      </c>
      <c r="E93" s="121">
        <v>3950000</v>
      </c>
      <c r="F93" s="121">
        <v>2939196.16</v>
      </c>
      <c r="G93" s="114">
        <v>5200000</v>
      </c>
      <c r="H93" s="88"/>
    </row>
    <row r="94" spans="1:8" ht="12.75" hidden="1" customHeight="1" x14ac:dyDescent="0.2">
      <c r="A94" s="127"/>
      <c r="B94" s="128" t="s">
        <v>96</v>
      </c>
      <c r="C94" s="121">
        <v>1248000</v>
      </c>
      <c r="D94" s="121">
        <v>1248000</v>
      </c>
      <c r="E94" s="113">
        <v>800000</v>
      </c>
      <c r="F94" s="113">
        <v>670841.93999999994</v>
      </c>
      <c r="G94" s="114">
        <v>1600000</v>
      </c>
      <c r="H94" s="88"/>
    </row>
    <row r="95" spans="1:8" ht="12.75" hidden="1" customHeight="1" x14ac:dyDescent="0.2">
      <c r="A95" s="127"/>
      <c r="B95" s="128" t="s">
        <v>97</v>
      </c>
      <c r="C95" s="121">
        <v>2685000</v>
      </c>
      <c r="D95" s="121">
        <v>2685000</v>
      </c>
      <c r="E95" s="121">
        <v>2685000</v>
      </c>
      <c r="F95" s="113">
        <v>1781568</v>
      </c>
      <c r="G95" s="114">
        <v>2610000</v>
      </c>
      <c r="H95" s="88"/>
    </row>
    <row r="96" spans="1:8" ht="12.75" hidden="1" customHeight="1" x14ac:dyDescent="0.2">
      <c r="A96" s="127"/>
      <c r="B96" s="128" t="s">
        <v>98</v>
      </c>
      <c r="C96" s="121">
        <v>0</v>
      </c>
      <c r="D96" s="121">
        <v>1578801.02</v>
      </c>
      <c r="E96" s="121">
        <v>1578801.02</v>
      </c>
      <c r="F96" s="121">
        <v>1578801.02</v>
      </c>
      <c r="G96" s="142">
        <v>0</v>
      </c>
      <c r="H96" s="88"/>
    </row>
    <row r="97" spans="1:8" ht="12.75" hidden="1" customHeight="1" x14ac:dyDescent="0.2">
      <c r="A97" s="127"/>
      <c r="B97" s="128" t="s">
        <v>99</v>
      </c>
      <c r="C97" s="121">
        <v>0</v>
      </c>
      <c r="D97" s="121">
        <v>0</v>
      </c>
      <c r="E97" s="113">
        <v>2100</v>
      </c>
      <c r="F97" s="113">
        <v>2100</v>
      </c>
      <c r="G97" s="114">
        <v>0</v>
      </c>
      <c r="H97" s="88"/>
    </row>
    <row r="98" spans="1:8" ht="12.75" hidden="1" customHeight="1" x14ac:dyDescent="0.2">
      <c r="A98" s="127"/>
      <c r="B98" s="128" t="s">
        <v>100</v>
      </c>
      <c r="C98" s="121">
        <v>2400000</v>
      </c>
      <c r="D98" s="121">
        <v>2400000</v>
      </c>
      <c r="E98" s="113">
        <v>2300000</v>
      </c>
      <c r="F98" s="113">
        <v>1569489</v>
      </c>
      <c r="G98" s="114">
        <v>2500000</v>
      </c>
      <c r="H98" s="88"/>
    </row>
    <row r="99" spans="1:8" ht="12.75" hidden="1" customHeight="1" x14ac:dyDescent="0.2">
      <c r="A99" s="127"/>
      <c r="B99" s="128" t="s">
        <v>101</v>
      </c>
      <c r="C99" s="121">
        <v>51000</v>
      </c>
      <c r="D99" s="121">
        <v>51000</v>
      </c>
      <c r="E99" s="143">
        <v>25000</v>
      </c>
      <c r="F99" s="143">
        <v>0</v>
      </c>
      <c r="G99" s="114">
        <v>51000</v>
      </c>
      <c r="H99" s="88"/>
    </row>
    <row r="100" spans="1:8" ht="12.75" hidden="1" customHeight="1" x14ac:dyDescent="0.2">
      <c r="A100" s="127"/>
      <c r="B100" s="128" t="s">
        <v>102</v>
      </c>
      <c r="C100" s="121">
        <v>500</v>
      </c>
      <c r="D100" s="121">
        <v>500</v>
      </c>
      <c r="E100" s="113">
        <v>500</v>
      </c>
      <c r="F100" s="113">
        <v>199</v>
      </c>
      <c r="G100" s="114">
        <v>500</v>
      </c>
      <c r="H100" s="88"/>
    </row>
    <row r="101" spans="1:8" s="98" customFormat="1" ht="12.75" hidden="1" customHeight="1" x14ac:dyDescent="0.2">
      <c r="A101" s="141">
        <v>2119</v>
      </c>
      <c r="B101" s="144" t="s">
        <v>103</v>
      </c>
      <c r="C101" s="145">
        <v>1000000</v>
      </c>
      <c r="D101" s="145">
        <v>1000000</v>
      </c>
      <c r="E101" s="109">
        <v>500000</v>
      </c>
      <c r="F101" s="109">
        <v>318632.28000000003</v>
      </c>
      <c r="G101" s="105">
        <v>1700000</v>
      </c>
      <c r="H101" s="88"/>
    </row>
    <row r="102" spans="1:8" s="98" customFormat="1" ht="12.75" hidden="1" customHeight="1" x14ac:dyDescent="0.2">
      <c r="A102" s="141">
        <v>2122</v>
      </c>
      <c r="B102" s="144" t="s">
        <v>104</v>
      </c>
      <c r="C102" s="145">
        <v>2697894</v>
      </c>
      <c r="D102" s="145">
        <v>2697894</v>
      </c>
      <c r="E102" s="145">
        <v>2697894</v>
      </c>
      <c r="F102" s="109">
        <v>668259.12</v>
      </c>
      <c r="G102" s="105">
        <v>2798840.36</v>
      </c>
      <c r="H102" s="88"/>
    </row>
    <row r="103" spans="1:8" s="98" customFormat="1" ht="27" hidden="1" customHeight="1" x14ac:dyDescent="0.2">
      <c r="A103" s="141">
        <v>2131</v>
      </c>
      <c r="B103" s="146" t="s">
        <v>105</v>
      </c>
      <c r="C103" s="145">
        <v>2000000</v>
      </c>
      <c r="D103" s="145">
        <v>2000000</v>
      </c>
      <c r="E103" s="109">
        <v>1200000</v>
      </c>
      <c r="F103" s="113">
        <v>798850.94</v>
      </c>
      <c r="G103" s="105">
        <v>1650000</v>
      </c>
      <c r="H103" s="88"/>
    </row>
    <row r="104" spans="1:8" s="98" customFormat="1" ht="12.75" hidden="1" customHeight="1" x14ac:dyDescent="0.2">
      <c r="A104" s="141">
        <v>2132</v>
      </c>
      <c r="B104" s="144" t="s">
        <v>106</v>
      </c>
      <c r="C104" s="145">
        <f>SUM(C105:C115)</f>
        <v>88887787</v>
      </c>
      <c r="D104" s="145">
        <f>SUM(D105:D115)</f>
        <v>33418124</v>
      </c>
      <c r="E104" s="145">
        <f>SUM(E105:E115)</f>
        <v>88081881</v>
      </c>
      <c r="F104" s="145">
        <f>SUM(F105:F115)</f>
        <v>64267915.219999999</v>
      </c>
      <c r="G104" s="145">
        <f>SUM(G105:G115)</f>
        <v>92969200.900000006</v>
      </c>
      <c r="H104" s="88"/>
    </row>
    <row r="105" spans="1:8" ht="12.75" hidden="1" customHeight="1" x14ac:dyDescent="0.2">
      <c r="A105" s="127"/>
      <c r="B105" s="128" t="s">
        <v>107</v>
      </c>
      <c r="C105" s="121">
        <v>689530</v>
      </c>
      <c r="D105" s="121">
        <v>713477</v>
      </c>
      <c r="E105" s="113">
        <v>750000</v>
      </c>
      <c r="F105" s="113">
        <v>738822.71</v>
      </c>
      <c r="G105" s="114">
        <v>750000</v>
      </c>
      <c r="H105" s="88"/>
    </row>
    <row r="106" spans="1:8" ht="12.75" hidden="1" customHeight="1" x14ac:dyDescent="0.2">
      <c r="A106" s="127"/>
      <c r="B106" s="128" t="s">
        <v>108</v>
      </c>
      <c r="C106" s="121">
        <v>200</v>
      </c>
      <c r="D106" s="121">
        <v>200</v>
      </c>
      <c r="E106" s="113">
        <v>301</v>
      </c>
      <c r="F106" s="113">
        <v>301</v>
      </c>
      <c r="G106" s="114">
        <v>0</v>
      </c>
      <c r="H106" s="88"/>
    </row>
    <row r="107" spans="1:8" ht="12.75" hidden="1" customHeight="1" x14ac:dyDescent="0.2">
      <c r="A107" s="127"/>
      <c r="B107" s="128" t="s">
        <v>109</v>
      </c>
      <c r="C107" s="121">
        <v>600000</v>
      </c>
      <c r="D107" s="121">
        <v>600000</v>
      </c>
      <c r="E107" s="113">
        <v>800000</v>
      </c>
      <c r="F107" s="113">
        <v>624638.59</v>
      </c>
      <c r="G107" s="114">
        <v>600000</v>
      </c>
      <c r="H107" s="88"/>
    </row>
    <row r="108" spans="1:8" ht="12.75" hidden="1" customHeight="1" x14ac:dyDescent="0.2">
      <c r="A108" s="127"/>
      <c r="B108" s="128" t="s">
        <v>110</v>
      </c>
      <c r="C108" s="121">
        <v>270000</v>
      </c>
      <c r="D108" s="121">
        <v>275040</v>
      </c>
      <c r="E108" s="113">
        <v>275040</v>
      </c>
      <c r="F108" s="113">
        <v>254790</v>
      </c>
      <c r="G108" s="114">
        <v>276000</v>
      </c>
      <c r="H108" s="88"/>
    </row>
    <row r="109" spans="1:8" ht="25.5" hidden="1" customHeight="1" x14ac:dyDescent="0.2">
      <c r="A109" s="127"/>
      <c r="B109" s="147" t="s">
        <v>111</v>
      </c>
      <c r="C109" s="121">
        <v>50941650</v>
      </c>
      <c r="D109" s="113"/>
      <c r="E109" s="113">
        <v>50000000</v>
      </c>
      <c r="F109" s="113">
        <v>33165192.109999999</v>
      </c>
      <c r="G109" s="114">
        <v>52865000</v>
      </c>
      <c r="H109" s="88"/>
    </row>
    <row r="110" spans="1:8" ht="12.75" hidden="1" customHeight="1" x14ac:dyDescent="0.2">
      <c r="A110" s="127"/>
      <c r="B110" s="128" t="s">
        <v>112</v>
      </c>
      <c r="C110" s="121">
        <v>7405</v>
      </c>
      <c r="D110" s="121">
        <v>7405</v>
      </c>
      <c r="E110" s="113">
        <v>14000</v>
      </c>
      <c r="F110" s="113">
        <v>10430</v>
      </c>
      <c r="G110" s="114">
        <f>83405+3+1194792.9</f>
        <v>1278200.8999999999</v>
      </c>
      <c r="H110" s="88"/>
    </row>
    <row r="111" spans="1:8" ht="12.75" hidden="1" customHeight="1" x14ac:dyDescent="0.2">
      <c r="A111" s="127"/>
      <c r="B111" s="128" t="s">
        <v>113</v>
      </c>
      <c r="C111" s="121">
        <v>325002</v>
      </c>
      <c r="D111" s="121">
        <v>325002</v>
      </c>
      <c r="E111" s="113">
        <v>325002</v>
      </c>
      <c r="F111" s="113">
        <v>238617.99</v>
      </c>
      <c r="G111" s="114">
        <v>420000</v>
      </c>
      <c r="H111" s="88"/>
    </row>
    <row r="112" spans="1:8" ht="36.75" hidden="1" customHeight="1" x14ac:dyDescent="0.2">
      <c r="A112" s="127"/>
      <c r="B112" s="120" t="s">
        <v>114</v>
      </c>
      <c r="C112" s="121">
        <f>13000000+3000000+240000+12000+726000+150000</f>
        <v>17128000</v>
      </c>
      <c r="D112" s="121">
        <f>(13000000-1400000)+726000+12000+240000</f>
        <v>12578000</v>
      </c>
      <c r="E112" s="121">
        <v>17000000</v>
      </c>
      <c r="F112" s="113">
        <v>10326987.32</v>
      </c>
      <c r="G112" s="114">
        <f>13500000+3000000+240000+20000+746000+216000+134000</f>
        <v>17856000</v>
      </c>
      <c r="H112" s="88"/>
    </row>
    <row r="113" spans="1:47" ht="12.75" hidden="1" customHeight="1" x14ac:dyDescent="0.2">
      <c r="A113" s="127"/>
      <c r="B113" s="128" t="s">
        <v>115</v>
      </c>
      <c r="C113" s="121">
        <v>18881000</v>
      </c>
      <c r="D113" s="121">
        <v>18881000</v>
      </c>
      <c r="E113" s="113">
        <v>18881538</v>
      </c>
      <c r="F113" s="113">
        <v>18881538</v>
      </c>
      <c r="G113" s="114">
        <v>18881000</v>
      </c>
      <c r="H113" s="88"/>
    </row>
    <row r="114" spans="1:47" ht="12.75" hidden="1" customHeight="1" x14ac:dyDescent="0.2">
      <c r="A114" s="127"/>
      <c r="B114" s="128" t="s">
        <v>116</v>
      </c>
      <c r="C114" s="121">
        <v>18000</v>
      </c>
      <c r="D114" s="121">
        <v>18000</v>
      </c>
      <c r="E114" s="121">
        <v>18000</v>
      </c>
      <c r="F114" s="113">
        <f>9300+3056.5</f>
        <v>12356.5</v>
      </c>
      <c r="G114" s="114">
        <v>18000</v>
      </c>
      <c r="H114" s="148"/>
    </row>
    <row r="115" spans="1:47" ht="12.75" hidden="1" customHeight="1" x14ac:dyDescent="0.2">
      <c r="A115" s="127"/>
      <c r="B115" s="128" t="s">
        <v>117</v>
      </c>
      <c r="C115" s="121">
        <v>27000</v>
      </c>
      <c r="D115" s="121">
        <v>20000</v>
      </c>
      <c r="E115" s="113">
        <v>18000</v>
      </c>
      <c r="F115" s="113">
        <v>14241</v>
      </c>
      <c r="G115" s="114">
        <v>25000</v>
      </c>
      <c r="H115" s="88"/>
    </row>
    <row r="116" spans="1:47" s="98" customFormat="1" ht="12.75" hidden="1" customHeight="1" x14ac:dyDescent="0.2">
      <c r="A116" s="141">
        <v>2141</v>
      </c>
      <c r="B116" s="144" t="s">
        <v>118</v>
      </c>
      <c r="C116" s="145">
        <v>750000</v>
      </c>
      <c r="D116" s="145">
        <v>1000000</v>
      </c>
      <c r="E116" s="109">
        <v>1050000</v>
      </c>
      <c r="F116" s="109">
        <v>983498.08</v>
      </c>
      <c r="G116" s="105">
        <v>300000</v>
      </c>
      <c r="H116" s="88"/>
    </row>
    <row r="117" spans="1:47" s="98" customFormat="1" ht="12.75" hidden="1" customHeight="1" x14ac:dyDescent="0.2">
      <c r="A117" s="141">
        <v>2212</v>
      </c>
      <c r="B117" s="144" t="s">
        <v>119</v>
      </c>
      <c r="C117" s="145">
        <f>SUM(C118:C127)</f>
        <v>15260000</v>
      </c>
      <c r="D117" s="145">
        <f>SUM(D118:D127)</f>
        <v>10130000</v>
      </c>
      <c r="E117" s="145">
        <f>SUM(E118:E127)</f>
        <v>10025670.600000001</v>
      </c>
      <c r="F117" s="145">
        <f>SUM(F118:F127)</f>
        <v>5942047.5999999996</v>
      </c>
      <c r="G117" s="145">
        <f>SUM(G118:G127)</f>
        <v>11127000</v>
      </c>
      <c r="H117" s="88"/>
    </row>
    <row r="118" spans="1:47" ht="12.75" hidden="1" customHeight="1" x14ac:dyDescent="0.2">
      <c r="A118" s="127"/>
      <c r="B118" s="128" t="s">
        <v>120</v>
      </c>
      <c r="C118" s="121">
        <v>10000</v>
      </c>
      <c r="D118" s="121">
        <v>10000</v>
      </c>
      <c r="E118" s="113">
        <v>13000</v>
      </c>
      <c r="F118" s="113">
        <v>11100</v>
      </c>
      <c r="G118" s="114">
        <v>12000</v>
      </c>
      <c r="H118" s="88"/>
    </row>
    <row r="119" spans="1:47" ht="12.75" hidden="1" customHeight="1" x14ac:dyDescent="0.2">
      <c r="A119" s="127"/>
      <c r="B119" s="128" t="s">
        <v>121</v>
      </c>
      <c r="C119" s="121">
        <v>50000</v>
      </c>
      <c r="D119" s="121">
        <v>50000</v>
      </c>
      <c r="E119" s="113">
        <v>50000</v>
      </c>
      <c r="F119" s="113">
        <v>75300</v>
      </c>
      <c r="G119" s="114">
        <v>50000</v>
      </c>
      <c r="H119" s="88"/>
    </row>
    <row r="120" spans="1:47" ht="12.75" hidden="1" customHeight="1" x14ac:dyDescent="0.2">
      <c r="A120" s="127"/>
      <c r="B120" s="128" t="s">
        <v>122</v>
      </c>
      <c r="C120" s="121">
        <v>2600000</v>
      </c>
      <c r="D120" s="121">
        <v>2600000</v>
      </c>
      <c r="E120" s="113">
        <v>1800000</v>
      </c>
      <c r="F120" s="113">
        <v>1189645</v>
      </c>
      <c r="G120" s="114">
        <v>2000000</v>
      </c>
      <c r="H120" s="88"/>
    </row>
    <row r="121" spans="1:47" ht="12.75" hidden="1" customHeight="1" x14ac:dyDescent="0.2">
      <c r="A121" s="127"/>
      <c r="B121" s="128" t="s">
        <v>123</v>
      </c>
      <c r="C121" s="121">
        <v>11500000</v>
      </c>
      <c r="D121" s="121">
        <v>6500000</v>
      </c>
      <c r="E121" s="113">
        <v>7000000</v>
      </c>
      <c r="F121" s="113">
        <v>3920133</v>
      </c>
      <c r="G121" s="114">
        <v>8000000</v>
      </c>
      <c r="H121" s="88"/>
    </row>
    <row r="122" spans="1:47" ht="12.75" hidden="1" customHeight="1" x14ac:dyDescent="0.2">
      <c r="A122" s="127"/>
      <c r="B122" s="128" t="s">
        <v>124</v>
      </c>
      <c r="C122" s="121">
        <v>0</v>
      </c>
      <c r="D122" s="121">
        <v>0</v>
      </c>
      <c r="E122" s="113">
        <v>183943.8</v>
      </c>
      <c r="F122" s="113">
        <v>183943.8</v>
      </c>
      <c r="G122" s="114">
        <v>0</v>
      </c>
      <c r="H122" s="88"/>
    </row>
    <row r="123" spans="1:47" ht="12.75" hidden="1" customHeight="1" x14ac:dyDescent="0.2">
      <c r="A123" s="127"/>
      <c r="B123" s="128" t="s">
        <v>125</v>
      </c>
      <c r="C123" s="121">
        <v>0</v>
      </c>
      <c r="D123" s="121">
        <v>0</v>
      </c>
      <c r="E123" s="113">
        <v>3726.8</v>
      </c>
      <c r="F123" s="113">
        <v>3726.8</v>
      </c>
      <c r="G123" s="114">
        <v>0</v>
      </c>
      <c r="H123" s="88"/>
    </row>
    <row r="124" spans="1:47" ht="12.75" hidden="1" customHeight="1" x14ac:dyDescent="0.2">
      <c r="A124" s="127"/>
      <c r="B124" s="128" t="s">
        <v>126</v>
      </c>
      <c r="C124" s="121">
        <v>0</v>
      </c>
      <c r="D124" s="113">
        <v>0</v>
      </c>
      <c r="E124" s="113">
        <v>10000</v>
      </c>
      <c r="F124" s="113">
        <v>0</v>
      </c>
      <c r="G124" s="114">
        <v>0</v>
      </c>
      <c r="H124" s="88"/>
    </row>
    <row r="125" spans="1:47" ht="12.75" hidden="1" customHeight="1" x14ac:dyDescent="0.2">
      <c r="A125" s="127"/>
      <c r="B125" s="128" t="s">
        <v>127</v>
      </c>
      <c r="C125" s="121">
        <v>650000</v>
      </c>
      <c r="D125" s="121">
        <v>550000</v>
      </c>
      <c r="E125" s="113">
        <v>550000</v>
      </c>
      <c r="F125" s="113">
        <v>274358</v>
      </c>
      <c r="G125" s="114">
        <v>650000</v>
      </c>
      <c r="H125" s="88"/>
    </row>
    <row r="126" spans="1:47" ht="12.75" hidden="1" customHeight="1" x14ac:dyDescent="0.2">
      <c r="A126" s="127"/>
      <c r="B126" s="128" t="s">
        <v>128</v>
      </c>
      <c r="C126" s="121">
        <v>350000</v>
      </c>
      <c r="D126" s="121">
        <v>350000</v>
      </c>
      <c r="E126" s="113">
        <v>350000</v>
      </c>
      <c r="F126" s="113">
        <v>231991</v>
      </c>
      <c r="G126" s="114">
        <v>350000</v>
      </c>
      <c r="H126" s="88"/>
    </row>
    <row r="127" spans="1:47" s="126" customFormat="1" ht="12.75" hidden="1" customHeight="1" x14ac:dyDescent="0.2">
      <c r="A127" s="111"/>
      <c r="B127" s="112" t="s">
        <v>129</v>
      </c>
      <c r="C127" s="149">
        <v>100000</v>
      </c>
      <c r="D127" s="149">
        <v>70000</v>
      </c>
      <c r="E127" s="113">
        <v>65000</v>
      </c>
      <c r="F127" s="113">
        <v>51850</v>
      </c>
      <c r="G127" s="114">
        <v>65000</v>
      </c>
      <c r="H127" s="88"/>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row>
    <row r="128" spans="1:47" s="98" customFormat="1" ht="12.75" hidden="1" customHeight="1" x14ac:dyDescent="0.2">
      <c r="A128" s="141">
        <v>2222</v>
      </c>
      <c r="B128" s="144" t="s">
        <v>130</v>
      </c>
      <c r="C128" s="145">
        <v>0</v>
      </c>
      <c r="D128" s="145">
        <v>18066.169999999998</v>
      </c>
      <c r="E128" s="145">
        <v>18066.169999999998</v>
      </c>
      <c r="F128" s="145">
        <v>18066.169999999998</v>
      </c>
      <c r="G128" s="105">
        <v>0</v>
      </c>
      <c r="H128" s="88"/>
    </row>
    <row r="129" spans="1:14" ht="12.75" hidden="1" customHeight="1" x14ac:dyDescent="0.2">
      <c r="A129" s="106">
        <v>2229</v>
      </c>
      <c r="B129" s="107" t="s">
        <v>131</v>
      </c>
      <c r="C129" s="109">
        <f>SUM(C130:C141)</f>
        <v>0</v>
      </c>
      <c r="D129" s="109">
        <f>SUM(D130:D141)</f>
        <v>664078.59000000008</v>
      </c>
      <c r="E129" s="109">
        <f>SUM(E130:E141)</f>
        <v>755988.00000000012</v>
      </c>
      <c r="F129" s="109">
        <f>SUM(F130:F141)</f>
        <v>755988.00000000012</v>
      </c>
      <c r="G129" s="109">
        <f>SUM(G130:G141)</f>
        <v>0</v>
      </c>
      <c r="H129" s="88"/>
      <c r="N129" s="150"/>
    </row>
    <row r="130" spans="1:14" ht="12.75" hidden="1" customHeight="1" x14ac:dyDescent="0.2">
      <c r="A130" s="112"/>
      <c r="B130" s="112" t="s">
        <v>132</v>
      </c>
      <c r="C130" s="151">
        <v>0</v>
      </c>
      <c r="D130" s="151">
        <v>452562.59</v>
      </c>
      <c r="E130" s="151">
        <v>452562.59</v>
      </c>
      <c r="F130" s="151">
        <v>452562.59</v>
      </c>
      <c r="G130" s="114">
        <v>0</v>
      </c>
      <c r="H130" s="88"/>
      <c r="N130" s="150"/>
    </row>
    <row r="131" spans="1:14" ht="12.75" hidden="1" customHeight="1" x14ac:dyDescent="0.2">
      <c r="A131" s="112"/>
      <c r="B131" s="112" t="s">
        <v>133</v>
      </c>
      <c r="C131" s="151">
        <v>0</v>
      </c>
      <c r="D131" s="151">
        <v>7004</v>
      </c>
      <c r="E131" s="151">
        <v>7004</v>
      </c>
      <c r="F131" s="152">
        <v>7004</v>
      </c>
      <c r="G131" s="114">
        <v>0</v>
      </c>
      <c r="H131" s="88"/>
      <c r="N131" s="150"/>
    </row>
    <row r="132" spans="1:14" ht="12.75" hidden="1" customHeight="1" x14ac:dyDescent="0.2">
      <c r="A132" s="112"/>
      <c r="B132" s="112" t="s">
        <v>134</v>
      </c>
      <c r="C132" s="151">
        <v>0</v>
      </c>
      <c r="D132" s="151">
        <v>204512</v>
      </c>
      <c r="E132" s="152">
        <v>296297</v>
      </c>
      <c r="F132" s="152">
        <v>296297</v>
      </c>
      <c r="G132" s="114">
        <v>0</v>
      </c>
      <c r="H132" s="88"/>
      <c r="N132" s="150"/>
    </row>
    <row r="133" spans="1:14" ht="12.75" hidden="1" customHeight="1" x14ac:dyDescent="0.2">
      <c r="A133" s="112"/>
      <c r="B133" s="112" t="s">
        <v>135</v>
      </c>
      <c r="C133" s="151">
        <v>0</v>
      </c>
      <c r="D133" s="151"/>
      <c r="E133" s="151"/>
      <c r="F133" s="152"/>
      <c r="G133" s="114">
        <v>0</v>
      </c>
      <c r="H133" s="88"/>
      <c r="N133" s="150"/>
    </row>
    <row r="134" spans="1:14" ht="12.75" hidden="1" customHeight="1" x14ac:dyDescent="0.2">
      <c r="A134" s="112"/>
      <c r="B134" s="112" t="s">
        <v>136</v>
      </c>
      <c r="C134" s="151">
        <v>0</v>
      </c>
      <c r="D134" s="151"/>
      <c r="E134" s="151"/>
      <c r="F134" s="152"/>
      <c r="G134" s="114">
        <v>0</v>
      </c>
      <c r="H134" s="88"/>
      <c r="N134" s="150"/>
    </row>
    <row r="135" spans="1:14" ht="12.75" hidden="1" customHeight="1" x14ac:dyDescent="0.2">
      <c r="A135" s="112"/>
      <c r="B135" s="112" t="s">
        <v>137</v>
      </c>
      <c r="C135" s="151">
        <v>0</v>
      </c>
      <c r="D135" s="151"/>
      <c r="E135" s="151"/>
      <c r="F135" s="152"/>
      <c r="G135" s="114">
        <v>0</v>
      </c>
      <c r="H135" s="88"/>
      <c r="N135" s="150"/>
    </row>
    <row r="136" spans="1:14" ht="12.75" hidden="1" customHeight="1" x14ac:dyDescent="0.2">
      <c r="A136" s="112"/>
      <c r="B136" s="112" t="s">
        <v>138</v>
      </c>
      <c r="C136" s="151">
        <v>0</v>
      </c>
      <c r="D136" s="151"/>
      <c r="E136" s="151"/>
      <c r="F136" s="152"/>
      <c r="G136" s="114">
        <v>0</v>
      </c>
      <c r="H136" s="88"/>
      <c r="N136" s="150"/>
    </row>
    <row r="137" spans="1:14" ht="12.75" hidden="1" customHeight="1" x14ac:dyDescent="0.2">
      <c r="A137" s="112"/>
      <c r="B137" s="112" t="s">
        <v>139</v>
      </c>
      <c r="C137" s="151">
        <v>0</v>
      </c>
      <c r="D137" s="151"/>
      <c r="E137" s="151"/>
      <c r="F137" s="152"/>
      <c r="G137" s="114">
        <v>0</v>
      </c>
      <c r="H137" s="88"/>
      <c r="N137" s="150"/>
    </row>
    <row r="138" spans="1:14" ht="12.75" hidden="1" customHeight="1" x14ac:dyDescent="0.2">
      <c r="A138" s="112"/>
      <c r="B138" s="112" t="s">
        <v>140</v>
      </c>
      <c r="C138" s="151">
        <v>0</v>
      </c>
      <c r="D138" s="151"/>
      <c r="E138" s="151"/>
      <c r="F138" s="152"/>
      <c r="G138" s="114">
        <v>0</v>
      </c>
      <c r="H138" s="88"/>
      <c r="N138" s="150"/>
    </row>
    <row r="139" spans="1:14" ht="12.75" hidden="1" customHeight="1" x14ac:dyDescent="0.2">
      <c r="A139" s="112"/>
      <c r="B139" s="112" t="s">
        <v>141</v>
      </c>
      <c r="C139" s="151">
        <v>0</v>
      </c>
      <c r="D139" s="151"/>
      <c r="E139" s="151"/>
      <c r="F139" s="152"/>
      <c r="G139" s="114">
        <v>0</v>
      </c>
      <c r="H139" s="88"/>
      <c r="N139" s="150"/>
    </row>
    <row r="140" spans="1:14" ht="12.75" hidden="1" customHeight="1" x14ac:dyDescent="0.2">
      <c r="A140" s="112"/>
      <c r="B140" s="112" t="s">
        <v>142</v>
      </c>
      <c r="C140" s="151">
        <v>0</v>
      </c>
      <c r="D140" s="151"/>
      <c r="E140" s="151"/>
      <c r="F140" s="152"/>
      <c r="G140" s="114">
        <v>0</v>
      </c>
      <c r="H140" s="88"/>
      <c r="N140" s="150"/>
    </row>
    <row r="141" spans="1:14" ht="12.75" hidden="1" customHeight="1" x14ac:dyDescent="0.2">
      <c r="A141" s="112"/>
      <c r="B141" s="112" t="s">
        <v>143</v>
      </c>
      <c r="C141" s="151">
        <v>0</v>
      </c>
      <c r="D141" s="151">
        <v>0</v>
      </c>
      <c r="E141" s="152">
        <v>124.41</v>
      </c>
      <c r="F141" s="152">
        <v>124.41</v>
      </c>
      <c r="G141" s="114">
        <v>0</v>
      </c>
      <c r="H141" s="88"/>
      <c r="N141" s="150"/>
    </row>
    <row r="142" spans="1:14" ht="12.75" hidden="1" customHeight="1" x14ac:dyDescent="0.2">
      <c r="A142" s="141">
        <v>2310</v>
      </c>
      <c r="B142" s="144" t="s">
        <v>144</v>
      </c>
      <c r="C142" s="145">
        <v>0</v>
      </c>
      <c r="D142" s="145">
        <v>0</v>
      </c>
      <c r="E142" s="109">
        <v>1746</v>
      </c>
      <c r="F142" s="153">
        <v>1746</v>
      </c>
      <c r="G142" s="105">
        <v>0</v>
      </c>
      <c r="H142" s="88"/>
    </row>
    <row r="143" spans="1:14" ht="12.75" hidden="1" customHeight="1" x14ac:dyDescent="0.2">
      <c r="A143" s="141">
        <v>2321</v>
      </c>
      <c r="B143" s="144" t="s">
        <v>145</v>
      </c>
      <c r="C143" s="145">
        <v>100000</v>
      </c>
      <c r="D143" s="154">
        <v>107200</v>
      </c>
      <c r="E143" s="109">
        <v>107200</v>
      </c>
      <c r="F143" s="153">
        <v>57200</v>
      </c>
      <c r="G143" s="105">
        <v>100000</v>
      </c>
      <c r="H143" s="88"/>
    </row>
    <row r="144" spans="1:14" ht="12.75" hidden="1" customHeight="1" x14ac:dyDescent="0.2">
      <c r="A144" s="141">
        <v>2322</v>
      </c>
      <c r="B144" s="144" t="s">
        <v>146</v>
      </c>
      <c r="C144" s="145">
        <v>250000</v>
      </c>
      <c r="D144" s="145">
        <v>250000</v>
      </c>
      <c r="E144" s="109">
        <f>67694.39+78579</f>
        <v>146273.39000000001</v>
      </c>
      <c r="F144" s="109">
        <f>67694.39+78579</f>
        <v>146273.39000000001</v>
      </c>
      <c r="G144" s="105">
        <v>0</v>
      </c>
      <c r="H144" s="88"/>
    </row>
    <row r="145" spans="1:8" s="98" customFormat="1" ht="12.75" hidden="1" customHeight="1" x14ac:dyDescent="0.2">
      <c r="A145" s="141">
        <v>2324</v>
      </c>
      <c r="B145" s="144" t="s">
        <v>147</v>
      </c>
      <c r="C145" s="145">
        <f>SUM(C146:C161)</f>
        <v>3510000</v>
      </c>
      <c r="D145" s="145">
        <f>SUM(D146:D161)</f>
        <v>3158112</v>
      </c>
      <c r="E145" s="145">
        <f>SUM(E146:E161)</f>
        <v>2960288.7800000003</v>
      </c>
      <c r="F145" s="145">
        <f>SUM(F146:F161)</f>
        <v>2184399.1100000003</v>
      </c>
      <c r="G145" s="145">
        <f>SUM(G146:G161)</f>
        <v>3211000</v>
      </c>
      <c r="H145" s="88"/>
    </row>
    <row r="146" spans="1:8" s="98" customFormat="1" ht="12.75" hidden="1" customHeight="1" x14ac:dyDescent="0.2">
      <c r="A146" s="141"/>
      <c r="B146" s="155" t="s">
        <v>148</v>
      </c>
      <c r="C146" s="121">
        <v>5000</v>
      </c>
      <c r="D146" s="121">
        <v>5000</v>
      </c>
      <c r="E146" s="113">
        <v>8000</v>
      </c>
      <c r="F146" s="113">
        <v>6393</v>
      </c>
      <c r="G146" s="114">
        <v>8000</v>
      </c>
      <c r="H146" s="88"/>
    </row>
    <row r="147" spans="1:8" s="98" customFormat="1" ht="12.75" hidden="1" customHeight="1" x14ac:dyDescent="0.2">
      <c r="A147" s="141"/>
      <c r="B147" s="155" t="s">
        <v>121</v>
      </c>
      <c r="C147" s="121">
        <v>30000</v>
      </c>
      <c r="D147" s="121">
        <v>30000</v>
      </c>
      <c r="E147" s="113">
        <v>30000</v>
      </c>
      <c r="F147" s="113">
        <v>28300</v>
      </c>
      <c r="G147" s="114">
        <v>30000</v>
      </c>
      <c r="H147" s="88"/>
    </row>
    <row r="148" spans="1:8" s="98" customFormat="1" ht="12.75" hidden="1" customHeight="1" x14ac:dyDescent="0.2">
      <c r="A148" s="141"/>
      <c r="B148" s="155" t="s">
        <v>149</v>
      </c>
      <c r="C148" s="121">
        <v>300000</v>
      </c>
      <c r="D148" s="121">
        <v>300000</v>
      </c>
      <c r="E148" s="149">
        <v>225000</v>
      </c>
      <c r="F148" s="149">
        <v>145163</v>
      </c>
      <c r="G148" s="114">
        <v>250000</v>
      </c>
      <c r="H148" s="88"/>
    </row>
    <row r="149" spans="1:8" s="98" customFormat="1" ht="12.75" hidden="1" customHeight="1" x14ac:dyDescent="0.2">
      <c r="A149" s="141"/>
      <c r="B149" s="155" t="s">
        <v>150</v>
      </c>
      <c r="C149" s="121">
        <v>400000</v>
      </c>
      <c r="D149" s="121">
        <v>400000</v>
      </c>
      <c r="E149" s="113">
        <v>253688.78</v>
      </c>
      <c r="F149" s="113">
        <v>253688.78</v>
      </c>
      <c r="G149" s="114">
        <v>200000</v>
      </c>
      <c r="H149" s="88"/>
    </row>
    <row r="150" spans="1:8" s="98" customFormat="1" ht="12.75" hidden="1" customHeight="1" x14ac:dyDescent="0.2">
      <c r="A150" s="141"/>
      <c r="B150" s="155" t="s">
        <v>151</v>
      </c>
      <c r="C150" s="121">
        <v>20000</v>
      </c>
      <c r="D150" s="121">
        <v>0</v>
      </c>
      <c r="E150" s="151">
        <v>6000</v>
      </c>
      <c r="F150" s="152">
        <f>3847.98+6384.85</f>
        <v>10232.83</v>
      </c>
      <c r="G150" s="114">
        <v>10000</v>
      </c>
      <c r="H150" s="88"/>
    </row>
    <row r="151" spans="1:8" ht="12.75" hidden="1" customHeight="1" x14ac:dyDescent="0.2">
      <c r="A151" s="156"/>
      <c r="B151" s="157" t="s">
        <v>152</v>
      </c>
      <c r="C151" s="121">
        <v>0</v>
      </c>
      <c r="D151" s="121">
        <v>17512</v>
      </c>
      <c r="E151" s="151">
        <v>0</v>
      </c>
      <c r="F151" s="152">
        <v>18269</v>
      </c>
      <c r="G151" s="114">
        <v>0</v>
      </c>
      <c r="H151" s="88"/>
    </row>
    <row r="152" spans="1:8" ht="12.75" hidden="1" customHeight="1" x14ac:dyDescent="0.2">
      <c r="A152" s="156"/>
      <c r="B152" s="157" t="s">
        <v>153</v>
      </c>
      <c r="C152" s="121">
        <v>0</v>
      </c>
      <c r="D152" s="121">
        <v>300000</v>
      </c>
      <c r="E152" s="121">
        <v>300000</v>
      </c>
      <c r="F152" s="121">
        <v>300000</v>
      </c>
      <c r="G152" s="114">
        <v>0</v>
      </c>
      <c r="H152" s="88"/>
    </row>
    <row r="153" spans="1:8" ht="12.75" hidden="1" customHeight="1" x14ac:dyDescent="0.2">
      <c r="A153" s="156"/>
      <c r="B153" s="157" t="s">
        <v>154</v>
      </c>
      <c r="C153" s="121">
        <v>0</v>
      </c>
      <c r="D153" s="121">
        <v>50600</v>
      </c>
      <c r="E153" s="121">
        <v>50600</v>
      </c>
      <c r="F153" s="121">
        <v>50600</v>
      </c>
      <c r="G153" s="114">
        <v>50000</v>
      </c>
      <c r="H153" s="88"/>
    </row>
    <row r="154" spans="1:8" s="158" customFormat="1" ht="12.75" hidden="1" customHeight="1" x14ac:dyDescent="0.2">
      <c r="A154" s="127"/>
      <c r="B154" s="128" t="s">
        <v>155</v>
      </c>
      <c r="C154" s="113">
        <v>2000000</v>
      </c>
      <c r="D154" s="113">
        <v>2000000</v>
      </c>
      <c r="E154" s="151">
        <v>2000000</v>
      </c>
      <c r="F154" s="152">
        <v>1303484.5</v>
      </c>
      <c r="G154" s="114">
        <v>2000000</v>
      </c>
      <c r="H154" s="88"/>
    </row>
    <row r="155" spans="1:8" s="158" customFormat="1" ht="12.75" hidden="1" customHeight="1" x14ac:dyDescent="0.2">
      <c r="A155" s="127"/>
      <c r="B155" s="128" t="s">
        <v>156</v>
      </c>
      <c r="C155" s="113">
        <v>0</v>
      </c>
      <c r="D155" s="113"/>
      <c r="E155" s="151"/>
      <c r="F155" s="152"/>
      <c r="G155" s="114">
        <v>0</v>
      </c>
      <c r="H155" s="88"/>
    </row>
    <row r="156" spans="1:8" s="158" customFormat="1" ht="12.75" hidden="1" customHeight="1" x14ac:dyDescent="0.2">
      <c r="A156" s="127"/>
      <c r="B156" s="128" t="s">
        <v>157</v>
      </c>
      <c r="C156" s="121">
        <v>0</v>
      </c>
      <c r="D156" s="121"/>
      <c r="E156" s="151"/>
      <c r="F156" s="152"/>
      <c r="G156" s="114">
        <v>0</v>
      </c>
      <c r="H156" s="88"/>
    </row>
    <row r="157" spans="1:8" s="158" customFormat="1" ht="12.75" hidden="1" customHeight="1" x14ac:dyDescent="0.2">
      <c r="A157" s="127"/>
      <c r="B157" s="128" t="s">
        <v>158</v>
      </c>
      <c r="C157" s="121">
        <v>5000</v>
      </c>
      <c r="D157" s="121">
        <v>5000</v>
      </c>
      <c r="E157" s="151">
        <v>2000</v>
      </c>
      <c r="F157" s="152">
        <v>783</v>
      </c>
      <c r="G157" s="114">
        <v>3000</v>
      </c>
      <c r="H157" s="88"/>
    </row>
    <row r="158" spans="1:8" s="158" customFormat="1" ht="12.75" hidden="1" customHeight="1" x14ac:dyDescent="0.2">
      <c r="A158" s="127"/>
      <c r="B158" s="128" t="s">
        <v>159</v>
      </c>
      <c r="C158" s="121">
        <v>50000</v>
      </c>
      <c r="D158" s="121">
        <v>50000</v>
      </c>
      <c r="E158" s="151">
        <v>85000</v>
      </c>
      <c r="F158" s="152">
        <v>67485</v>
      </c>
      <c r="G158" s="114">
        <v>70000</v>
      </c>
      <c r="H158" s="88"/>
    </row>
    <row r="159" spans="1:8" s="158" customFormat="1" ht="12.75" hidden="1" customHeight="1" x14ac:dyDescent="0.2">
      <c r="A159" s="127"/>
      <c r="B159" s="128" t="s">
        <v>160</v>
      </c>
      <c r="C159" s="121">
        <v>0</v>
      </c>
      <c r="D159" s="121"/>
      <c r="E159" s="151"/>
      <c r="F159" s="152"/>
      <c r="G159" s="114">
        <v>0</v>
      </c>
      <c r="H159" s="88"/>
    </row>
    <row r="160" spans="1:8" s="158" customFormat="1" ht="12.75" hidden="1" customHeight="1" x14ac:dyDescent="0.2">
      <c r="A160" s="127"/>
      <c r="B160" s="128" t="s">
        <v>161</v>
      </c>
      <c r="C160" s="121">
        <v>50000</v>
      </c>
      <c r="D160" s="121"/>
      <c r="E160" s="151"/>
      <c r="F160" s="152"/>
      <c r="G160" s="114">
        <v>0</v>
      </c>
      <c r="H160" s="88"/>
    </row>
    <row r="161" spans="1:14" s="158" customFormat="1" ht="12.75" hidden="1" customHeight="1" x14ac:dyDescent="0.2">
      <c r="A161" s="127"/>
      <c r="B161" s="128" t="s">
        <v>162</v>
      </c>
      <c r="C161" s="113">
        <v>650000</v>
      </c>
      <c r="D161" s="113">
        <v>0</v>
      </c>
      <c r="E161" s="151">
        <v>0</v>
      </c>
      <c r="F161" s="152">
        <v>0</v>
      </c>
      <c r="G161" s="114">
        <v>590000</v>
      </c>
      <c r="H161" s="88"/>
    </row>
    <row r="162" spans="1:14" ht="12.75" hidden="1" customHeight="1" x14ac:dyDescent="0.2">
      <c r="A162" s="141">
        <v>2328</v>
      </c>
      <c r="B162" s="144" t="s">
        <v>163</v>
      </c>
      <c r="C162" s="145">
        <v>0</v>
      </c>
      <c r="D162" s="145"/>
      <c r="E162" s="109"/>
      <c r="F162" s="109"/>
      <c r="G162" s="105">
        <v>0</v>
      </c>
      <c r="H162" s="88"/>
    </row>
    <row r="163" spans="1:14" s="98" customFormat="1" ht="12.75" hidden="1" customHeight="1" x14ac:dyDescent="0.2">
      <c r="A163" s="141">
        <v>2329</v>
      </c>
      <c r="B163" s="144" t="s">
        <v>164</v>
      </c>
      <c r="C163" s="145">
        <f>SUM(C164:C174)</f>
        <v>360000</v>
      </c>
      <c r="D163" s="145">
        <f>SUM(D164:D174)</f>
        <v>682076.7</v>
      </c>
      <c r="E163" s="145">
        <f>SUM(E164:E174)</f>
        <v>775453.79</v>
      </c>
      <c r="F163" s="145">
        <f>SUM(F164:F174)</f>
        <v>671820.98</v>
      </c>
      <c r="G163" s="145">
        <f>SUM(G164:G174)</f>
        <v>360000</v>
      </c>
      <c r="H163" s="88"/>
    </row>
    <row r="164" spans="1:14" s="98" customFormat="1" ht="12.75" hidden="1" customHeight="1" x14ac:dyDescent="0.2">
      <c r="A164" s="106"/>
      <c r="B164" s="159" t="s">
        <v>165</v>
      </c>
      <c r="C164" s="113">
        <v>0</v>
      </c>
      <c r="D164" s="113">
        <v>181121</v>
      </c>
      <c r="E164" s="113">
        <v>181121</v>
      </c>
      <c r="F164" s="113">
        <v>181121</v>
      </c>
      <c r="G164" s="114">
        <v>0</v>
      </c>
      <c r="H164" s="88"/>
      <c r="N164" s="150"/>
    </row>
    <row r="165" spans="1:14" ht="12.75" hidden="1" customHeight="1" x14ac:dyDescent="0.2">
      <c r="A165" s="127"/>
      <c r="B165" s="128" t="s">
        <v>166</v>
      </c>
      <c r="C165" s="121">
        <v>5000</v>
      </c>
      <c r="D165" s="121"/>
      <c r="E165" s="151"/>
      <c r="F165" s="152"/>
      <c r="G165" s="114">
        <v>0</v>
      </c>
      <c r="H165" s="88"/>
    </row>
    <row r="166" spans="1:14" ht="12.75" hidden="1" customHeight="1" x14ac:dyDescent="0.2">
      <c r="A166" s="127"/>
      <c r="B166" s="128" t="s">
        <v>167</v>
      </c>
      <c r="C166" s="121">
        <v>0</v>
      </c>
      <c r="D166" s="121">
        <v>145955.70000000001</v>
      </c>
      <c r="E166" s="151">
        <v>148964.69</v>
      </c>
      <c r="F166" s="151">
        <v>148964.69</v>
      </c>
      <c r="G166" s="114">
        <v>0</v>
      </c>
      <c r="H166" s="88"/>
    </row>
    <row r="167" spans="1:14" ht="12.75" hidden="1" customHeight="1" x14ac:dyDescent="0.2">
      <c r="A167" s="127"/>
      <c r="B167" s="128" t="s">
        <v>168</v>
      </c>
      <c r="C167" s="121">
        <v>0</v>
      </c>
      <c r="D167" s="121">
        <v>0</v>
      </c>
      <c r="E167" s="151">
        <v>57446.6</v>
      </c>
      <c r="F167" s="151">
        <v>57446.6</v>
      </c>
      <c r="G167" s="114">
        <v>0</v>
      </c>
      <c r="H167" s="88"/>
    </row>
    <row r="168" spans="1:14" ht="12.75" hidden="1" customHeight="1" x14ac:dyDescent="0.2">
      <c r="A168" s="127"/>
      <c r="B168" s="128" t="s">
        <v>169</v>
      </c>
      <c r="C168" s="121">
        <v>270000</v>
      </c>
      <c r="D168" s="121">
        <v>270000</v>
      </c>
      <c r="E168" s="151">
        <v>270000</v>
      </c>
      <c r="F168" s="152">
        <v>190060</v>
      </c>
      <c r="G168" s="114">
        <v>270000</v>
      </c>
      <c r="H168" s="88"/>
    </row>
    <row r="169" spans="1:14" ht="12.75" hidden="1" customHeight="1" x14ac:dyDescent="0.2">
      <c r="A169" s="127"/>
      <c r="B169" s="128" t="s">
        <v>170</v>
      </c>
      <c r="C169" s="121">
        <v>45000</v>
      </c>
      <c r="D169" s="121">
        <v>45000</v>
      </c>
      <c r="E169" s="151">
        <v>74865</v>
      </c>
      <c r="F169" s="152">
        <v>62807.19</v>
      </c>
      <c r="G169" s="114">
        <v>50000</v>
      </c>
      <c r="H169" s="88"/>
    </row>
    <row r="170" spans="1:14" ht="12.75" hidden="1" customHeight="1" x14ac:dyDescent="0.2">
      <c r="A170" s="127"/>
      <c r="B170" s="128" t="s">
        <v>171</v>
      </c>
      <c r="C170" s="121">
        <v>40000</v>
      </c>
      <c r="D170" s="121">
        <v>40000</v>
      </c>
      <c r="E170" s="151">
        <v>40000</v>
      </c>
      <c r="F170" s="160">
        <v>28365</v>
      </c>
      <c r="G170" s="114">
        <v>40000</v>
      </c>
      <c r="H170" s="88"/>
    </row>
    <row r="171" spans="1:14" ht="12.75" hidden="1" customHeight="1" x14ac:dyDescent="0.2">
      <c r="A171" s="127"/>
      <c r="B171" s="128" t="s">
        <v>172</v>
      </c>
      <c r="C171" s="121">
        <v>0</v>
      </c>
      <c r="D171" s="121">
        <v>0</v>
      </c>
      <c r="E171" s="151">
        <v>3056.5</v>
      </c>
      <c r="F171" s="151">
        <v>3056.5</v>
      </c>
      <c r="G171" s="114">
        <v>0</v>
      </c>
      <c r="H171" s="88"/>
    </row>
    <row r="172" spans="1:14" ht="12.75" hidden="1" customHeight="1" x14ac:dyDescent="0.2">
      <c r="A172" s="127"/>
      <c r="B172" s="128" t="s">
        <v>173</v>
      </c>
      <c r="C172" s="121">
        <v>0</v>
      </c>
      <c r="D172" s="121"/>
      <c r="E172" s="151"/>
      <c r="F172" s="160"/>
      <c r="G172" s="114">
        <v>0</v>
      </c>
      <c r="H172" s="88"/>
    </row>
    <row r="173" spans="1:14" ht="12.75" hidden="1" customHeight="1" x14ac:dyDescent="0.2">
      <c r="A173" s="127"/>
      <c r="B173" s="128" t="s">
        <v>174</v>
      </c>
      <c r="C173" s="121">
        <v>0</v>
      </c>
      <c r="D173" s="121"/>
      <c r="E173" s="151"/>
      <c r="F173" s="160"/>
      <c r="G173" s="114">
        <v>0</v>
      </c>
      <c r="H173" s="88"/>
    </row>
    <row r="174" spans="1:14" ht="12.75" hidden="1" customHeight="1" x14ac:dyDescent="0.2">
      <c r="A174" s="127"/>
      <c r="B174" s="128" t="s">
        <v>175</v>
      </c>
      <c r="C174" s="121">
        <v>0</v>
      </c>
      <c r="D174" s="121"/>
      <c r="E174" s="151"/>
      <c r="F174" s="160"/>
      <c r="G174" s="114">
        <v>0</v>
      </c>
      <c r="H174" s="88"/>
    </row>
    <row r="175" spans="1:14" ht="24.75" hidden="1" customHeight="1" x14ac:dyDescent="0.2">
      <c r="A175" s="141">
        <v>2411</v>
      </c>
      <c r="B175" s="146" t="s">
        <v>176</v>
      </c>
      <c r="C175" s="145">
        <v>0</v>
      </c>
      <c r="D175" s="145">
        <v>300000</v>
      </c>
      <c r="E175" s="109">
        <v>300000</v>
      </c>
      <c r="F175" s="109">
        <v>300000</v>
      </c>
      <c r="G175" s="105">
        <v>0</v>
      </c>
      <c r="H175" s="32"/>
    </row>
    <row r="176" spans="1:14" ht="12.75" hidden="1" customHeight="1" x14ac:dyDescent="0.2">
      <c r="A176" s="161"/>
      <c r="B176" s="162"/>
      <c r="C176" s="163"/>
      <c r="D176" s="163"/>
      <c r="E176" s="164"/>
      <c r="F176" s="165"/>
      <c r="G176" s="166"/>
      <c r="H176" s="88"/>
    </row>
    <row r="177" spans="1:8" s="98" customFormat="1" ht="18.75" hidden="1" customHeight="1" x14ac:dyDescent="0.25">
      <c r="A177" s="167"/>
      <c r="B177" s="168" t="s">
        <v>11</v>
      </c>
      <c r="C177" s="169">
        <f>SUM(C178,C179,C188:C192)</f>
        <v>52475517</v>
      </c>
      <c r="D177" s="169">
        <f>SUM(D178,D179,D188:D192)</f>
        <v>52226112.700000003</v>
      </c>
      <c r="E177" s="169">
        <f>SUM(E178,E179,E188:E192)</f>
        <v>23220062.699999999</v>
      </c>
      <c r="F177" s="169">
        <f>SUM(F178,F179,F188:F192)</f>
        <v>15702229.899999999</v>
      </c>
      <c r="G177" s="169">
        <f>SUM(G178,G179,G188:G192)</f>
        <v>109511899.31</v>
      </c>
      <c r="H177" s="88"/>
    </row>
    <row r="178" spans="1:8" s="98" customFormat="1" ht="25.5" hidden="1" x14ac:dyDescent="0.2">
      <c r="A178" s="138">
        <v>3111</v>
      </c>
      <c r="B178" s="170" t="s">
        <v>177</v>
      </c>
      <c r="C178" s="140">
        <v>37500000</v>
      </c>
      <c r="D178" s="140">
        <v>37500000</v>
      </c>
      <c r="E178" s="171">
        <v>7950000</v>
      </c>
      <c r="F178" s="172">
        <v>582367.19999999995</v>
      </c>
      <c r="G178" s="173">
        <f>(5.95+3.9+44.064+14.478+0.8+1.8+0.4+2.5)*1000000</f>
        <v>73892000</v>
      </c>
      <c r="H178" s="88"/>
    </row>
    <row r="179" spans="1:8" s="98" customFormat="1" ht="12.75" hidden="1" customHeight="1" x14ac:dyDescent="0.2">
      <c r="A179" s="141">
        <v>3112</v>
      </c>
      <c r="B179" s="141" t="s">
        <v>178</v>
      </c>
      <c r="C179" s="145">
        <f>SUM(C180:C187)</f>
        <v>10708739</v>
      </c>
      <c r="D179" s="145">
        <f>SUM(D180:D187)</f>
        <v>1875000</v>
      </c>
      <c r="E179" s="174">
        <f>SUM(E180:E187)</f>
        <v>2418950</v>
      </c>
      <c r="F179" s="175">
        <f>SUM(F180:F187)</f>
        <v>2268750</v>
      </c>
      <c r="G179" s="145">
        <f>SUM(G180:G187)</f>
        <v>19516800</v>
      </c>
      <c r="H179" s="88"/>
    </row>
    <row r="180" spans="1:8" s="98" customFormat="1" ht="12.75" hidden="1" customHeight="1" x14ac:dyDescent="0.2">
      <c r="A180" s="141"/>
      <c r="B180" s="176" t="s">
        <v>179</v>
      </c>
      <c r="C180" s="121">
        <v>2342000</v>
      </c>
      <c r="D180" s="121"/>
      <c r="E180" s="177">
        <v>0</v>
      </c>
      <c r="F180" s="178"/>
      <c r="G180" s="114">
        <v>1427000</v>
      </c>
      <c r="H180" s="88"/>
    </row>
    <row r="181" spans="1:8" s="98" customFormat="1" ht="12.75" hidden="1" customHeight="1" x14ac:dyDescent="0.2">
      <c r="A181" s="141"/>
      <c r="B181" s="176" t="s">
        <v>180</v>
      </c>
      <c r="C181" s="121">
        <v>1910000</v>
      </c>
      <c r="D181" s="121"/>
      <c r="E181" s="177">
        <v>0</v>
      </c>
      <c r="F181" s="178"/>
      <c r="G181" s="114">
        <v>0</v>
      </c>
      <c r="H181" s="88"/>
    </row>
    <row r="182" spans="1:8" s="98" customFormat="1" ht="12.75" hidden="1" customHeight="1" x14ac:dyDescent="0.2">
      <c r="A182" s="141"/>
      <c r="B182" s="176" t="s">
        <v>181</v>
      </c>
      <c r="C182" s="160">
        <v>2794000</v>
      </c>
      <c r="D182" s="179"/>
      <c r="E182" s="177">
        <v>150200</v>
      </c>
      <c r="F182" s="178"/>
      <c r="G182" s="113">
        <f>4209000-150200</f>
        <v>4058800</v>
      </c>
      <c r="H182" s="88"/>
    </row>
    <row r="183" spans="1:8" s="98" customFormat="1" ht="12.75" hidden="1" customHeight="1" x14ac:dyDescent="0.2">
      <c r="A183" s="141"/>
      <c r="B183" s="176" t="s">
        <v>182</v>
      </c>
      <c r="C183" s="179">
        <v>2364000</v>
      </c>
      <c r="D183" s="179"/>
      <c r="E183" s="177">
        <v>0</v>
      </c>
      <c r="F183" s="178"/>
      <c r="G183" s="113">
        <v>2581000</v>
      </c>
      <c r="H183" s="88"/>
    </row>
    <row r="184" spans="1:8" s="98" customFormat="1" ht="12.75" hidden="1" customHeight="1" x14ac:dyDescent="0.2">
      <c r="A184" s="141"/>
      <c r="B184" s="176" t="s">
        <v>183</v>
      </c>
      <c r="C184" s="179">
        <v>1298739</v>
      </c>
      <c r="D184" s="179"/>
      <c r="E184" s="177">
        <v>0</v>
      </c>
      <c r="F184" s="178"/>
      <c r="G184" s="114">
        <v>3000000</v>
      </c>
      <c r="H184" s="88"/>
    </row>
    <row r="185" spans="1:8" s="98" customFormat="1" ht="12.75" hidden="1" customHeight="1" x14ac:dyDescent="0.2">
      <c r="A185" s="141"/>
      <c r="B185" s="176" t="s">
        <v>184</v>
      </c>
      <c r="C185" s="179">
        <v>0</v>
      </c>
      <c r="D185" s="179">
        <v>0</v>
      </c>
      <c r="E185" s="177">
        <v>0</v>
      </c>
      <c r="F185" s="178">
        <v>0</v>
      </c>
      <c r="G185" s="114">
        <v>3000000</v>
      </c>
      <c r="H185" s="88"/>
    </row>
    <row r="186" spans="1:8" s="98" customFormat="1" ht="12.75" hidden="1" customHeight="1" x14ac:dyDescent="0.2">
      <c r="A186" s="141"/>
      <c r="B186" s="176" t="s">
        <v>185</v>
      </c>
      <c r="C186" s="179">
        <v>0</v>
      </c>
      <c r="D186" s="179"/>
      <c r="E186" s="177"/>
      <c r="F186" s="178"/>
      <c r="G186" s="114">
        <v>5450000</v>
      </c>
      <c r="H186" s="88"/>
    </row>
    <row r="187" spans="1:8" s="98" customFormat="1" ht="12.75" hidden="1" customHeight="1" x14ac:dyDescent="0.2">
      <c r="A187" s="141"/>
      <c r="B187" s="176" t="s">
        <v>186</v>
      </c>
      <c r="C187" s="179">
        <v>0</v>
      </c>
      <c r="D187" s="179">
        <v>1875000</v>
      </c>
      <c r="E187" s="177">
        <v>2268750</v>
      </c>
      <c r="F187" s="178">
        <v>2268750</v>
      </c>
      <c r="G187" s="114">
        <v>0</v>
      </c>
      <c r="H187" s="88"/>
    </row>
    <row r="188" spans="1:8" s="98" customFormat="1" ht="12.75" hidden="1" customHeight="1" x14ac:dyDescent="0.2">
      <c r="A188" s="141">
        <v>3113</v>
      </c>
      <c r="B188" s="141" t="s">
        <v>187</v>
      </c>
      <c r="C188" s="145">
        <v>0</v>
      </c>
      <c r="D188" s="145"/>
      <c r="E188" s="180"/>
      <c r="F188" s="181"/>
      <c r="G188" s="105">
        <v>0</v>
      </c>
      <c r="H188" s="88"/>
    </row>
    <row r="189" spans="1:8" s="98" customFormat="1" ht="12.75" hidden="1" customHeight="1" x14ac:dyDescent="0.2">
      <c r="A189" s="141">
        <v>3119</v>
      </c>
      <c r="B189" s="141" t="s">
        <v>188</v>
      </c>
      <c r="C189" s="145">
        <v>0</v>
      </c>
      <c r="D189" s="145">
        <v>12770000</v>
      </c>
      <c r="E189" s="174">
        <v>12770000</v>
      </c>
      <c r="F189" s="175">
        <v>12770000</v>
      </c>
      <c r="G189" s="105">
        <v>0</v>
      </c>
      <c r="H189" s="88"/>
    </row>
    <row r="190" spans="1:8" s="98" customFormat="1" ht="12.75" hidden="1" customHeight="1" x14ac:dyDescent="0.2">
      <c r="A190" s="141">
        <v>3121</v>
      </c>
      <c r="B190" s="141" t="s">
        <v>189</v>
      </c>
      <c r="C190" s="145">
        <v>0</v>
      </c>
      <c r="D190" s="145">
        <v>81112.7</v>
      </c>
      <c r="E190" s="180">
        <v>81112.7</v>
      </c>
      <c r="F190" s="181">
        <v>81112.7</v>
      </c>
      <c r="G190" s="105">
        <v>400000</v>
      </c>
      <c r="H190" s="88"/>
    </row>
    <row r="191" spans="1:8" s="98" customFormat="1" hidden="1" x14ac:dyDescent="0.2">
      <c r="A191" s="141">
        <v>3122</v>
      </c>
      <c r="B191" s="182" t="s">
        <v>190</v>
      </c>
      <c r="C191" s="145">
        <v>0</v>
      </c>
      <c r="D191" s="145"/>
      <c r="E191" s="180"/>
      <c r="F191" s="181"/>
      <c r="G191" s="105">
        <v>0</v>
      </c>
      <c r="H191" s="88"/>
    </row>
    <row r="192" spans="1:8" s="98" customFormat="1" ht="12.75" hidden="1" customHeight="1" x14ac:dyDescent="0.2">
      <c r="A192" s="141">
        <v>3129</v>
      </c>
      <c r="B192" s="141" t="s">
        <v>191</v>
      </c>
      <c r="C192" s="145">
        <f>SUM(C193:C195)</f>
        <v>4266778</v>
      </c>
      <c r="D192" s="145">
        <f>SUM(D193:D195)</f>
        <v>0</v>
      </c>
      <c r="E192" s="174">
        <f>SUM(E193:E195)</f>
        <v>0</v>
      </c>
      <c r="F192" s="175">
        <f>SUM(F193:F195)</f>
        <v>0</v>
      </c>
      <c r="G192" s="145">
        <f>SUM(G193:G196)</f>
        <v>15703099.310000001</v>
      </c>
      <c r="H192" s="88"/>
    </row>
    <row r="193" spans="1:8" s="98" customFormat="1" ht="12.75" hidden="1" customHeight="1" x14ac:dyDescent="0.2">
      <c r="A193" s="183"/>
      <c r="B193" s="176" t="s">
        <v>192</v>
      </c>
      <c r="C193" s="121">
        <v>500000</v>
      </c>
      <c r="D193" s="121"/>
      <c r="E193" s="177">
        <v>0</v>
      </c>
      <c r="F193" s="178"/>
      <c r="G193" s="114"/>
      <c r="H193" s="32"/>
    </row>
    <row r="194" spans="1:8" s="98" customFormat="1" ht="12.75" hidden="1" customHeight="1" x14ac:dyDescent="0.2">
      <c r="A194" s="183"/>
      <c r="B194" s="176" t="s">
        <v>193</v>
      </c>
      <c r="C194" s="121">
        <v>1200000</v>
      </c>
      <c r="D194" s="121"/>
      <c r="E194" s="177">
        <v>0</v>
      </c>
      <c r="F194" s="178"/>
      <c r="G194" s="114">
        <v>1053570</v>
      </c>
      <c r="H194" s="32"/>
    </row>
    <row r="195" spans="1:8" s="98" customFormat="1" ht="12" hidden="1" customHeight="1" x14ac:dyDescent="0.2">
      <c r="A195" s="141"/>
      <c r="B195" s="127" t="s">
        <v>194</v>
      </c>
      <c r="C195" s="121">
        <v>2566778</v>
      </c>
      <c r="D195" s="121"/>
      <c r="E195" s="177"/>
      <c r="F195" s="178"/>
      <c r="G195" s="113">
        <v>0</v>
      </c>
      <c r="H195" s="32"/>
    </row>
    <row r="196" spans="1:8" s="98" customFormat="1" ht="12" hidden="1" customHeight="1" x14ac:dyDescent="0.2">
      <c r="A196" s="183"/>
      <c r="B196" s="176" t="s">
        <v>195</v>
      </c>
      <c r="C196" s="121">
        <v>0</v>
      </c>
      <c r="D196" s="121">
        <v>0</v>
      </c>
      <c r="E196" s="184">
        <v>0</v>
      </c>
      <c r="F196" s="185">
        <v>0</v>
      </c>
      <c r="G196" s="114">
        <v>14649529.310000001</v>
      </c>
      <c r="H196" s="32"/>
    </row>
    <row r="197" spans="1:8" s="98" customFormat="1" hidden="1" x14ac:dyDescent="0.2">
      <c r="A197" s="183"/>
      <c r="B197" s="186"/>
      <c r="C197" s="187"/>
      <c r="D197" s="187"/>
      <c r="E197" s="184"/>
      <c r="F197" s="185"/>
      <c r="G197" s="166"/>
      <c r="H197" s="88"/>
    </row>
    <row r="198" spans="1:8" s="98" customFormat="1" ht="18.75" hidden="1" customHeight="1" x14ac:dyDescent="0.25">
      <c r="A198" s="188"/>
      <c r="B198" s="168" t="s">
        <v>196</v>
      </c>
      <c r="C198" s="169">
        <f>SUM(C199:C203,C215,C223,C229:C230,C235,C246)</f>
        <v>59771600.0035</v>
      </c>
      <c r="D198" s="169">
        <f>SUM(D199,D202:D203,D215,D223,D229:D230,D235,D246)</f>
        <v>138526988.82350001</v>
      </c>
      <c r="E198" s="169">
        <f>SUM(E199,E202:E203,E215,E223,E229:E230,E235,E246)</f>
        <v>129994865.9535</v>
      </c>
      <c r="F198" s="189">
        <f>SUM(F199,F202:F203,F215,F223,F229:F230,F235,F246)</f>
        <v>120624289.91999999</v>
      </c>
      <c r="G198" s="169">
        <f>SUM(G199,G202:G203,G215,G223,G229:G230,G235,G246)</f>
        <v>80631238.653500006</v>
      </c>
      <c r="H198" s="88"/>
    </row>
    <row r="199" spans="1:8" s="98" customFormat="1" ht="12.75" hidden="1" customHeight="1" x14ac:dyDescent="0.2">
      <c r="A199" s="190">
        <v>4111</v>
      </c>
      <c r="B199" s="190" t="s">
        <v>197</v>
      </c>
      <c r="C199" s="191">
        <f>SUM(C200:C201)</f>
        <v>0</v>
      </c>
      <c r="D199" s="191">
        <f>SUM(D200:D201)</f>
        <v>29776000</v>
      </c>
      <c r="E199" s="191">
        <f>SUM(E200:E201)</f>
        <v>29776000</v>
      </c>
      <c r="F199" s="192">
        <f>SUM(F200:F201)</f>
        <v>29776000</v>
      </c>
      <c r="G199" s="191">
        <f>SUM(G200:G201)</f>
        <v>0</v>
      </c>
      <c r="H199" s="88"/>
    </row>
    <row r="200" spans="1:8" s="98" customFormat="1" ht="12.75" hidden="1" customHeight="1" x14ac:dyDescent="0.2">
      <c r="A200" s="190"/>
      <c r="B200" s="193" t="s">
        <v>198</v>
      </c>
      <c r="C200" s="194">
        <v>0</v>
      </c>
      <c r="D200" s="194">
        <v>29075000</v>
      </c>
      <c r="E200" s="194">
        <v>29075000</v>
      </c>
      <c r="F200" s="195">
        <v>29075000</v>
      </c>
      <c r="G200" s="194">
        <v>0</v>
      </c>
      <c r="H200" s="88"/>
    </row>
    <row r="201" spans="1:8" s="98" customFormat="1" ht="12.75" hidden="1" customHeight="1" x14ac:dyDescent="0.2">
      <c r="A201" s="190"/>
      <c r="B201" s="193" t="s">
        <v>199</v>
      </c>
      <c r="C201" s="194">
        <v>0</v>
      </c>
      <c r="D201" s="194">
        <v>701000</v>
      </c>
      <c r="E201" s="194">
        <v>701000</v>
      </c>
      <c r="F201" s="195">
        <v>701000</v>
      </c>
      <c r="G201" s="194">
        <v>0</v>
      </c>
      <c r="H201" s="88"/>
    </row>
    <row r="202" spans="1:8" ht="89.25" hidden="1" x14ac:dyDescent="0.2">
      <c r="A202" s="139">
        <v>4112</v>
      </c>
      <c r="B202" s="196" t="s">
        <v>200</v>
      </c>
      <c r="C202" s="197">
        <f>958935.0949+709659.9826+520950+433320+542800+39919+4236063.649+7723640.937+23616817.65+627210+1363000+1530786+236555+42.69</f>
        <v>42539700.0035</v>
      </c>
      <c r="D202" s="197">
        <f>958935.0949+709659.9826+520950+433320+542800+39919+4236063.649+7723640.937+23616817.65+627210+1363000+1530786+236555+42.69</f>
        <v>42539700.0035</v>
      </c>
      <c r="E202" s="197">
        <f>958935.0949+709659.9826+520950+433320+542800+39919+4236063.649+7723640.937+23616817.65+627210+1363000+1530786+236555+42.69</f>
        <v>42539700.0035</v>
      </c>
      <c r="F202" s="172">
        <v>28247765</v>
      </c>
      <c r="G202" s="105">
        <f>(958935.0949+709659.9826+520950+433320+542800+39919+4236063.649+7723640.937+23616817.65+627210+1363000+1530786+236555+42.69)+918800</f>
        <v>43458500.0035</v>
      </c>
      <c r="H202" s="32"/>
    </row>
    <row r="203" spans="1:8" s="98" customFormat="1" ht="12.75" hidden="1" customHeight="1" x14ac:dyDescent="0.2">
      <c r="A203" s="144">
        <v>4116</v>
      </c>
      <c r="B203" s="144" t="s">
        <v>201</v>
      </c>
      <c r="C203" s="145">
        <f>SUM(C204:C214)</f>
        <v>7642000</v>
      </c>
      <c r="D203" s="145">
        <f>SUM(D204:D214)</f>
        <v>14769583.75</v>
      </c>
      <c r="E203" s="145">
        <f>SUM(E204:E214)</f>
        <v>10988960.879999999</v>
      </c>
      <c r="F203" s="175">
        <f>SUM(F204:F214)</f>
        <v>18582960.879999999</v>
      </c>
      <c r="G203" s="145">
        <f>SUM(G204:G214)</f>
        <v>8333206</v>
      </c>
      <c r="H203" s="88"/>
    </row>
    <row r="204" spans="1:8" ht="12.75" hidden="1" customHeight="1" x14ac:dyDescent="0.2">
      <c r="A204" s="128"/>
      <c r="B204" s="112" t="s">
        <v>202</v>
      </c>
      <c r="C204" s="113">
        <v>50000</v>
      </c>
      <c r="D204" s="113">
        <v>7594000</v>
      </c>
      <c r="E204" s="113">
        <v>0</v>
      </c>
      <c r="F204" s="178">
        <v>7594000</v>
      </c>
      <c r="G204" s="114">
        <v>50000</v>
      </c>
      <c r="H204" s="88"/>
    </row>
    <row r="205" spans="1:8" ht="12.75" hidden="1" customHeight="1" x14ac:dyDescent="0.2">
      <c r="A205" s="128"/>
      <c r="B205" s="128" t="s">
        <v>203</v>
      </c>
      <c r="C205" s="121">
        <v>192000</v>
      </c>
      <c r="D205" s="121">
        <v>120000</v>
      </c>
      <c r="E205" s="113">
        <v>120000</v>
      </c>
      <c r="F205" s="178">
        <v>120000</v>
      </c>
      <c r="G205" s="114">
        <v>0</v>
      </c>
      <c r="H205" s="88"/>
    </row>
    <row r="206" spans="1:8" ht="12.75" hidden="1" customHeight="1" x14ac:dyDescent="0.2">
      <c r="A206" s="144"/>
      <c r="B206" s="155" t="s">
        <v>204</v>
      </c>
      <c r="C206" s="121">
        <v>7400000</v>
      </c>
      <c r="D206" s="121">
        <v>3376250</v>
      </c>
      <c r="E206" s="121">
        <v>7189627.1299999999</v>
      </c>
      <c r="F206" s="198">
        <v>7189627.1299999999</v>
      </c>
      <c r="G206" s="114">
        <v>7145900</v>
      </c>
      <c r="H206" s="88"/>
    </row>
    <row r="207" spans="1:8" ht="12.75" hidden="1" customHeight="1" x14ac:dyDescent="0.2">
      <c r="A207" s="112"/>
      <c r="B207" s="112" t="s">
        <v>205</v>
      </c>
      <c r="C207" s="121">
        <v>0</v>
      </c>
      <c r="D207" s="121">
        <v>1137306</v>
      </c>
      <c r="E207" s="121">
        <v>1137306</v>
      </c>
      <c r="F207" s="198">
        <v>1137306</v>
      </c>
      <c r="G207" s="114">
        <v>1137306</v>
      </c>
      <c r="H207" s="88"/>
    </row>
    <row r="208" spans="1:8" ht="12.75" hidden="1" customHeight="1" x14ac:dyDescent="0.2">
      <c r="A208" s="199"/>
      <c r="B208" s="112" t="s">
        <v>206</v>
      </c>
      <c r="C208" s="200">
        <v>0</v>
      </c>
      <c r="D208" s="200">
        <v>554488</v>
      </c>
      <c r="E208" s="200">
        <v>554488</v>
      </c>
      <c r="F208" s="201">
        <v>554488</v>
      </c>
      <c r="G208" s="114"/>
      <c r="H208" s="88"/>
    </row>
    <row r="209" spans="1:14" s="98" customFormat="1" ht="12.75" hidden="1" customHeight="1" x14ac:dyDescent="0.2">
      <c r="A209" s="202"/>
      <c r="B209" s="112" t="s">
        <v>207</v>
      </c>
      <c r="C209" s="203">
        <v>0</v>
      </c>
      <c r="D209" s="203">
        <v>1249.8499999999999</v>
      </c>
      <c r="E209" s="203">
        <v>1249.8499999999999</v>
      </c>
      <c r="F209" s="204">
        <v>1249.8499999999999</v>
      </c>
      <c r="G209" s="114"/>
      <c r="H209" s="88"/>
      <c r="N209" s="150"/>
    </row>
    <row r="210" spans="1:14" s="98" customFormat="1" ht="12.75" hidden="1" customHeight="1" x14ac:dyDescent="0.2">
      <c r="A210" s="202"/>
      <c r="B210" s="112" t="s">
        <v>208</v>
      </c>
      <c r="C210" s="160">
        <v>0</v>
      </c>
      <c r="D210" s="160">
        <v>24996.9</v>
      </c>
      <c r="E210" s="160">
        <v>24996.9</v>
      </c>
      <c r="F210" s="205">
        <v>24996.9</v>
      </c>
      <c r="G210" s="114"/>
      <c r="H210" s="88"/>
      <c r="N210" s="150"/>
    </row>
    <row r="211" spans="1:14" s="98" customFormat="1" ht="12.75" hidden="1" customHeight="1" x14ac:dyDescent="0.2">
      <c r="A211" s="202"/>
      <c r="B211" s="112" t="s">
        <v>209</v>
      </c>
      <c r="C211" s="160">
        <v>0</v>
      </c>
      <c r="D211" s="160">
        <v>270497</v>
      </c>
      <c r="E211" s="160">
        <v>270497</v>
      </c>
      <c r="F211" s="205">
        <v>270497</v>
      </c>
      <c r="G211" s="114"/>
      <c r="H211" s="88"/>
      <c r="N211" s="150"/>
    </row>
    <row r="212" spans="1:14" s="98" customFormat="1" ht="12.75" hidden="1" customHeight="1" x14ac:dyDescent="0.2">
      <c r="A212" s="202"/>
      <c r="B212" s="112" t="s">
        <v>210</v>
      </c>
      <c r="C212" s="160">
        <v>0</v>
      </c>
      <c r="D212" s="160">
        <v>1009796</v>
      </c>
      <c r="E212" s="160">
        <v>1009796</v>
      </c>
      <c r="F212" s="205">
        <v>1009796</v>
      </c>
      <c r="G212" s="114"/>
      <c r="H212" s="88"/>
      <c r="N212" s="150"/>
    </row>
    <row r="213" spans="1:14" s="98" customFormat="1" ht="12.75" hidden="1" customHeight="1" x14ac:dyDescent="0.2">
      <c r="A213" s="202"/>
      <c r="B213" s="112" t="s">
        <v>211</v>
      </c>
      <c r="C213" s="160">
        <v>0</v>
      </c>
      <c r="D213" s="160">
        <v>89000</v>
      </c>
      <c r="E213" s="203">
        <v>89000</v>
      </c>
      <c r="F213" s="185">
        <v>89000</v>
      </c>
      <c r="G213" s="114"/>
      <c r="H213" s="88"/>
      <c r="N213" s="150"/>
    </row>
    <row r="214" spans="1:14" s="98" customFormat="1" ht="12.75" hidden="1" customHeight="1" x14ac:dyDescent="0.2">
      <c r="A214" s="202"/>
      <c r="B214" s="112" t="s">
        <v>212</v>
      </c>
      <c r="C214" s="160">
        <v>0</v>
      </c>
      <c r="D214" s="160">
        <v>592000</v>
      </c>
      <c r="E214" s="160">
        <v>592000</v>
      </c>
      <c r="F214" s="205">
        <v>592000</v>
      </c>
      <c r="G214" s="114"/>
      <c r="H214" s="88"/>
      <c r="N214" s="150"/>
    </row>
    <row r="215" spans="1:14" ht="12.75" hidden="1" customHeight="1" x14ac:dyDescent="0.2">
      <c r="A215" s="144">
        <v>4121</v>
      </c>
      <c r="B215" s="144" t="s">
        <v>213</v>
      </c>
      <c r="C215" s="145">
        <f>SUM(C216:C222)</f>
        <v>305500</v>
      </c>
      <c r="D215" s="145">
        <f>SUM(D216:D222)</f>
        <v>350000</v>
      </c>
      <c r="E215" s="145">
        <f>SUM(E216:E222)</f>
        <v>375000</v>
      </c>
      <c r="F215" s="175">
        <f>SUM(F216:F222)</f>
        <v>373564</v>
      </c>
      <c r="G215" s="145">
        <f>SUM(G216:G222)</f>
        <v>1631120</v>
      </c>
      <c r="H215" s="88"/>
    </row>
    <row r="216" spans="1:14" ht="12.75" hidden="1" customHeight="1" x14ac:dyDescent="0.2">
      <c r="A216" s="144"/>
      <c r="B216" s="128" t="s">
        <v>214</v>
      </c>
      <c r="C216" s="121">
        <v>300000</v>
      </c>
      <c r="D216" s="121">
        <v>300000</v>
      </c>
      <c r="E216" s="113">
        <v>328000</v>
      </c>
      <c r="F216" s="178">
        <v>328000</v>
      </c>
      <c r="G216" s="114">
        <v>260000</v>
      </c>
      <c r="H216" s="88"/>
    </row>
    <row r="217" spans="1:14" hidden="1" x14ac:dyDescent="0.2">
      <c r="A217" s="144"/>
      <c r="B217" s="128" t="s">
        <v>215</v>
      </c>
      <c r="C217" s="121">
        <v>5000</v>
      </c>
      <c r="D217" s="121">
        <v>5000</v>
      </c>
      <c r="E217" s="113">
        <v>2000</v>
      </c>
      <c r="F217" s="178">
        <v>564</v>
      </c>
      <c r="G217" s="114">
        <v>3000</v>
      </c>
      <c r="H217" s="88"/>
    </row>
    <row r="218" spans="1:14" ht="12.75" hidden="1" customHeight="1" x14ac:dyDescent="0.2">
      <c r="A218" s="107"/>
      <c r="B218" s="112" t="s">
        <v>216</v>
      </c>
      <c r="C218" s="113">
        <v>0</v>
      </c>
      <c r="D218" s="113"/>
      <c r="E218" s="113"/>
      <c r="F218" s="178"/>
      <c r="G218" s="114"/>
      <c r="H218" s="88"/>
      <c r="N218" s="150"/>
    </row>
    <row r="219" spans="1:14" ht="12.75" hidden="1" customHeight="1" x14ac:dyDescent="0.2">
      <c r="A219" s="107"/>
      <c r="B219" s="112" t="s">
        <v>217</v>
      </c>
      <c r="C219" s="113">
        <v>0</v>
      </c>
      <c r="D219" s="113">
        <v>45000</v>
      </c>
      <c r="E219" s="113">
        <v>45000</v>
      </c>
      <c r="F219" s="178">
        <v>45000</v>
      </c>
      <c r="G219" s="114">
        <v>735147</v>
      </c>
      <c r="H219" s="88"/>
      <c r="N219" s="150"/>
    </row>
    <row r="220" spans="1:14" ht="12.75" hidden="1" customHeight="1" x14ac:dyDescent="0.2">
      <c r="A220" s="107"/>
      <c r="B220" s="112" t="s">
        <v>218</v>
      </c>
      <c r="C220" s="113">
        <v>0</v>
      </c>
      <c r="D220" s="113">
        <v>0</v>
      </c>
      <c r="E220" s="113">
        <v>0</v>
      </c>
      <c r="F220" s="178">
        <v>0</v>
      </c>
      <c r="G220" s="114">
        <v>632973</v>
      </c>
      <c r="H220" s="88"/>
      <c r="N220" s="150"/>
    </row>
    <row r="221" spans="1:14" ht="12.75" hidden="1" customHeight="1" x14ac:dyDescent="0.2">
      <c r="A221" s="107"/>
      <c r="B221" s="112" t="s">
        <v>219</v>
      </c>
      <c r="C221" s="113">
        <v>0</v>
      </c>
      <c r="D221" s="113"/>
      <c r="E221" s="113"/>
      <c r="F221" s="178"/>
      <c r="G221" s="114"/>
      <c r="H221" s="88"/>
    </row>
    <row r="222" spans="1:14" hidden="1" x14ac:dyDescent="0.2">
      <c r="A222" s="144"/>
      <c r="B222" s="128" t="s">
        <v>220</v>
      </c>
      <c r="C222" s="121">
        <v>500</v>
      </c>
      <c r="D222" s="121"/>
      <c r="E222" s="113"/>
      <c r="F222" s="178"/>
      <c r="G222" s="114"/>
      <c r="H222" s="88"/>
    </row>
    <row r="223" spans="1:14" ht="12.75" hidden="1" customHeight="1" x14ac:dyDescent="0.2">
      <c r="A223" s="107">
        <v>4122</v>
      </c>
      <c r="B223" s="110" t="s">
        <v>221</v>
      </c>
      <c r="C223" s="109">
        <f>SUM(C224:C228)</f>
        <v>0</v>
      </c>
      <c r="D223" s="109">
        <f>SUM(D224:D228)</f>
        <v>8314467</v>
      </c>
      <c r="E223" s="109">
        <f>SUM(E224:E228)</f>
        <v>6737967</v>
      </c>
      <c r="F223" s="181">
        <f>SUM(F224:F228)</f>
        <v>6723467</v>
      </c>
      <c r="G223" s="109">
        <f>SUM(G224:G228)</f>
        <v>0</v>
      </c>
      <c r="H223" s="88"/>
      <c r="N223" s="150"/>
    </row>
    <row r="224" spans="1:14" s="98" customFormat="1" ht="12.75" hidden="1" customHeight="1" x14ac:dyDescent="0.2">
      <c r="A224" s="202"/>
      <c r="B224" s="199" t="s">
        <v>222</v>
      </c>
      <c r="C224" s="203">
        <v>0</v>
      </c>
      <c r="D224" s="203">
        <v>10000</v>
      </c>
      <c r="E224" s="203">
        <v>10000</v>
      </c>
      <c r="F224" s="204">
        <v>10000</v>
      </c>
      <c r="G224" s="114">
        <v>0</v>
      </c>
      <c r="H224" s="88"/>
      <c r="N224" s="150"/>
    </row>
    <row r="225" spans="1:14" s="98" customFormat="1" ht="12.75" hidden="1" customHeight="1" x14ac:dyDescent="0.2">
      <c r="A225" s="202"/>
      <c r="B225" s="199" t="s">
        <v>223</v>
      </c>
      <c r="C225" s="203">
        <v>0</v>
      </c>
      <c r="D225" s="203">
        <v>24467</v>
      </c>
      <c r="E225" s="203">
        <v>24467</v>
      </c>
      <c r="F225" s="204">
        <v>24467</v>
      </c>
      <c r="G225" s="114"/>
      <c r="H225" s="88"/>
      <c r="N225" s="150"/>
    </row>
    <row r="226" spans="1:14" s="98" customFormat="1" ht="12.75" hidden="1" customHeight="1" x14ac:dyDescent="0.2">
      <c r="A226" s="202"/>
      <c r="B226" s="199" t="s">
        <v>224</v>
      </c>
      <c r="C226" s="203">
        <v>0</v>
      </c>
      <c r="D226" s="203">
        <v>29000</v>
      </c>
      <c r="E226" s="160">
        <v>29000</v>
      </c>
      <c r="F226" s="178">
        <v>14500</v>
      </c>
      <c r="G226" s="114"/>
      <c r="H226" s="88"/>
      <c r="N226" s="150"/>
    </row>
    <row r="227" spans="1:14" s="98" customFormat="1" ht="12.75" hidden="1" customHeight="1" x14ac:dyDescent="0.2">
      <c r="A227" s="202"/>
      <c r="B227" s="199" t="s">
        <v>225</v>
      </c>
      <c r="C227" s="203">
        <v>0</v>
      </c>
      <c r="D227" s="203">
        <v>3153000</v>
      </c>
      <c r="E227" s="160">
        <f>3153000/2</f>
        <v>1576500</v>
      </c>
      <c r="F227" s="205">
        <f>3153000/2</f>
        <v>1576500</v>
      </c>
      <c r="G227" s="114">
        <v>0</v>
      </c>
      <c r="H227" s="88"/>
      <c r="N227" s="150"/>
    </row>
    <row r="228" spans="1:14" ht="12.75" hidden="1" customHeight="1" x14ac:dyDescent="0.2">
      <c r="A228" s="107"/>
      <c r="B228" s="112" t="s">
        <v>226</v>
      </c>
      <c r="C228" s="121">
        <v>0</v>
      </c>
      <c r="D228" s="121">
        <v>5098000</v>
      </c>
      <c r="E228" s="121">
        <v>5098000</v>
      </c>
      <c r="F228" s="198">
        <v>5098000</v>
      </c>
      <c r="G228" s="114">
        <v>0</v>
      </c>
      <c r="H228" s="88"/>
      <c r="N228" s="150"/>
    </row>
    <row r="229" spans="1:14" s="98" customFormat="1" ht="12.75" hidden="1" customHeight="1" x14ac:dyDescent="0.2">
      <c r="A229" s="206" t="s">
        <v>227</v>
      </c>
      <c r="B229" s="144" t="s">
        <v>228</v>
      </c>
      <c r="C229" s="145">
        <v>6084400</v>
      </c>
      <c r="D229" s="145">
        <v>6084400</v>
      </c>
      <c r="E229" s="145">
        <v>6084400</v>
      </c>
      <c r="F229" s="207">
        <v>4563402.03</v>
      </c>
      <c r="G229" s="105">
        <v>5900000</v>
      </c>
      <c r="H229" s="88"/>
    </row>
    <row r="230" spans="1:14" s="98" customFormat="1" ht="12.75" hidden="1" customHeight="1" x14ac:dyDescent="0.2">
      <c r="A230" s="144">
        <v>4213</v>
      </c>
      <c r="B230" s="144" t="s">
        <v>229</v>
      </c>
      <c r="C230" s="145">
        <f>SUM(C231:C234)</f>
        <v>0</v>
      </c>
      <c r="D230" s="145">
        <f>SUM(D231:D234)</f>
        <v>1018657.06</v>
      </c>
      <c r="E230" s="145">
        <f>SUM(E231:E234)</f>
        <v>1018657.06</v>
      </c>
      <c r="F230" s="175">
        <f>SUM(F231:F234)</f>
        <v>0</v>
      </c>
      <c r="G230" s="145">
        <f>SUM(G231:G234)</f>
        <v>450000</v>
      </c>
      <c r="H230" s="88"/>
    </row>
    <row r="231" spans="1:14" s="2" customFormat="1" ht="12.75" hidden="1" customHeight="1" x14ac:dyDescent="0.2">
      <c r="A231" s="155"/>
      <c r="B231" s="119" t="s">
        <v>230</v>
      </c>
      <c r="C231" s="121">
        <v>0</v>
      </c>
      <c r="D231" s="121">
        <v>420000</v>
      </c>
      <c r="E231" s="121">
        <v>420000</v>
      </c>
      <c r="F231" s="208">
        <v>0</v>
      </c>
      <c r="G231" s="114">
        <v>250000</v>
      </c>
      <c r="H231" s="88"/>
    </row>
    <row r="232" spans="1:14" s="2" customFormat="1" ht="12.75" hidden="1" customHeight="1" x14ac:dyDescent="0.2">
      <c r="A232" s="155"/>
      <c r="B232" s="119" t="s">
        <v>231</v>
      </c>
      <c r="C232" s="121">
        <v>0</v>
      </c>
      <c r="D232" s="121">
        <v>0</v>
      </c>
      <c r="E232" s="121">
        <v>0</v>
      </c>
      <c r="F232" s="208">
        <v>0</v>
      </c>
      <c r="G232" s="114">
        <v>200000</v>
      </c>
      <c r="H232" s="88"/>
    </row>
    <row r="233" spans="1:14" s="2" customFormat="1" ht="12.75" hidden="1" customHeight="1" x14ac:dyDescent="0.2">
      <c r="A233" s="155"/>
      <c r="B233" s="119" t="s">
        <v>232</v>
      </c>
      <c r="C233" s="121">
        <v>0</v>
      </c>
      <c r="D233" s="121">
        <v>215516.54</v>
      </c>
      <c r="E233" s="121">
        <v>215516.54</v>
      </c>
      <c r="F233" s="208">
        <v>0</v>
      </c>
      <c r="G233" s="114"/>
      <c r="H233" s="88"/>
    </row>
    <row r="234" spans="1:14" s="2" customFormat="1" ht="12.75" hidden="1" customHeight="1" x14ac:dyDescent="0.2">
      <c r="A234" s="155"/>
      <c r="B234" s="119" t="s">
        <v>233</v>
      </c>
      <c r="C234" s="121">
        <v>0</v>
      </c>
      <c r="D234" s="121">
        <v>383140.52</v>
      </c>
      <c r="E234" s="121">
        <v>383140.52</v>
      </c>
      <c r="F234" s="208">
        <v>0</v>
      </c>
      <c r="G234" s="114"/>
      <c r="H234" s="88"/>
    </row>
    <row r="235" spans="1:14" s="98" customFormat="1" ht="12.75" hidden="1" customHeight="1" x14ac:dyDescent="0.2">
      <c r="A235" s="107">
        <v>4216</v>
      </c>
      <c r="B235" s="209" t="s">
        <v>234</v>
      </c>
      <c r="C235" s="210">
        <f>SUM(C238:C244)</f>
        <v>0</v>
      </c>
      <c r="D235" s="210">
        <f>SUM(D238:D245)</f>
        <v>32060081.009999998</v>
      </c>
      <c r="E235" s="210">
        <f>SUM(E238:E245)</f>
        <v>32060081.009999998</v>
      </c>
      <c r="F235" s="211">
        <f>SUM(F238:F245)</f>
        <v>32060081.009999998</v>
      </c>
      <c r="G235" s="210">
        <f>SUM(G236:G245)</f>
        <v>11598412.65</v>
      </c>
      <c r="H235" s="88"/>
      <c r="N235" s="150"/>
    </row>
    <row r="236" spans="1:14" s="98" customFormat="1" ht="12.75" hidden="1" customHeight="1" x14ac:dyDescent="0.2">
      <c r="A236" s="202"/>
      <c r="B236" s="199" t="s">
        <v>235</v>
      </c>
      <c r="C236" s="212">
        <v>0</v>
      </c>
      <c r="D236" s="212">
        <v>0</v>
      </c>
      <c r="E236" s="113">
        <v>0</v>
      </c>
      <c r="F236" s="178">
        <v>0</v>
      </c>
      <c r="G236" s="114">
        <v>5992790.4299999997</v>
      </c>
      <c r="H236" s="88"/>
      <c r="N236" s="150"/>
    </row>
    <row r="237" spans="1:14" s="98" customFormat="1" ht="12.75" hidden="1" customHeight="1" x14ac:dyDescent="0.2">
      <c r="A237" s="202"/>
      <c r="B237" s="199" t="s">
        <v>236</v>
      </c>
      <c r="C237" s="212">
        <v>0</v>
      </c>
      <c r="D237" s="212">
        <v>0</v>
      </c>
      <c r="E237" s="113">
        <v>0</v>
      </c>
      <c r="F237" s="178">
        <v>0</v>
      </c>
      <c r="G237" s="114">
        <v>3605622.22</v>
      </c>
      <c r="H237" s="88"/>
      <c r="N237" s="150"/>
    </row>
    <row r="238" spans="1:14" s="98" customFormat="1" ht="12.75" hidden="1" customHeight="1" x14ac:dyDescent="0.2">
      <c r="A238" s="202"/>
      <c r="B238" s="199" t="s">
        <v>237</v>
      </c>
      <c r="C238" s="203">
        <v>0</v>
      </c>
      <c r="D238" s="203"/>
      <c r="E238" s="160"/>
      <c r="F238" s="178"/>
      <c r="G238" s="114"/>
      <c r="H238" s="88"/>
      <c r="N238" s="150"/>
    </row>
    <row r="239" spans="1:14" s="98" customFormat="1" ht="12.75" hidden="1" customHeight="1" x14ac:dyDescent="0.2">
      <c r="A239" s="202"/>
      <c r="B239" s="112" t="s">
        <v>238</v>
      </c>
      <c r="C239" s="203">
        <v>0</v>
      </c>
      <c r="D239" s="203">
        <v>192679.67</v>
      </c>
      <c r="E239" s="203">
        <v>192679.67</v>
      </c>
      <c r="F239" s="204">
        <v>192679.67</v>
      </c>
      <c r="G239" s="114"/>
      <c r="H239" s="88"/>
      <c r="N239" s="150"/>
    </row>
    <row r="240" spans="1:14" s="98" customFormat="1" ht="12.75" hidden="1" customHeight="1" x14ac:dyDescent="0.2">
      <c r="A240" s="202"/>
      <c r="B240" s="112" t="s">
        <v>239</v>
      </c>
      <c r="C240" s="203">
        <v>0</v>
      </c>
      <c r="D240" s="203">
        <v>6386647.3399999999</v>
      </c>
      <c r="E240" s="203">
        <v>6386647.3399999999</v>
      </c>
      <c r="F240" s="204">
        <v>6386647.3399999999</v>
      </c>
      <c r="G240" s="114"/>
      <c r="H240" s="88"/>
      <c r="N240" s="150"/>
    </row>
    <row r="241" spans="1:14" ht="12.75" hidden="1" customHeight="1" x14ac:dyDescent="0.2">
      <c r="A241" s="112"/>
      <c r="B241" s="112" t="s">
        <v>240</v>
      </c>
      <c r="C241" s="160">
        <v>0</v>
      </c>
      <c r="D241" s="160">
        <v>5887.5</v>
      </c>
      <c r="E241" s="160">
        <v>5887.5</v>
      </c>
      <c r="F241" s="178">
        <v>5887.5</v>
      </c>
      <c r="G241" s="114"/>
      <c r="H241" s="88"/>
      <c r="N241" s="150"/>
    </row>
    <row r="242" spans="1:14" ht="12.75" hidden="1" customHeight="1" x14ac:dyDescent="0.2">
      <c r="A242" s="112"/>
      <c r="B242" s="112" t="s">
        <v>241</v>
      </c>
      <c r="C242" s="160">
        <v>0</v>
      </c>
      <c r="D242" s="160">
        <v>100087.5</v>
      </c>
      <c r="E242" s="160">
        <v>100087.5</v>
      </c>
      <c r="F242" s="178">
        <v>100087.5</v>
      </c>
      <c r="G242" s="114"/>
      <c r="H242" s="88"/>
      <c r="N242" s="150"/>
    </row>
    <row r="243" spans="1:14" s="98" customFormat="1" ht="12.75" hidden="1" customHeight="1" x14ac:dyDescent="0.2">
      <c r="A243" s="183"/>
      <c r="B243" s="213" t="s">
        <v>242</v>
      </c>
      <c r="C243" s="214">
        <v>0</v>
      </c>
      <c r="D243" s="214">
        <v>0</v>
      </c>
      <c r="E243" s="214">
        <v>0</v>
      </c>
      <c r="F243" s="215">
        <v>0</v>
      </c>
      <c r="G243" s="179">
        <v>2000000</v>
      </c>
    </row>
    <row r="244" spans="1:14" ht="12.75" hidden="1" customHeight="1" x14ac:dyDescent="0.2">
      <c r="A244" s="112"/>
      <c r="B244" s="111" t="s">
        <v>243</v>
      </c>
      <c r="C244" s="160">
        <v>0</v>
      </c>
      <c r="D244" s="160">
        <v>25326779</v>
      </c>
      <c r="E244" s="160">
        <v>25326779</v>
      </c>
      <c r="F244" s="205">
        <v>25326779</v>
      </c>
      <c r="G244" s="114"/>
      <c r="H244" s="88"/>
      <c r="N244" s="150"/>
    </row>
    <row r="245" spans="1:14" ht="12.75" hidden="1" customHeight="1" x14ac:dyDescent="0.2">
      <c r="A245" s="112"/>
      <c r="B245" s="111" t="s">
        <v>244</v>
      </c>
      <c r="C245" s="160">
        <v>0</v>
      </c>
      <c r="D245" s="160">
        <v>48000</v>
      </c>
      <c r="E245" s="160">
        <v>48000</v>
      </c>
      <c r="F245" s="205">
        <v>48000</v>
      </c>
      <c r="G245" s="114"/>
      <c r="H245" s="88"/>
      <c r="N245" s="150"/>
    </row>
    <row r="246" spans="1:14" s="98" customFormat="1" ht="12.75" hidden="1" customHeight="1" x14ac:dyDescent="0.2">
      <c r="A246" s="144">
        <v>4222</v>
      </c>
      <c r="B246" s="182" t="s">
        <v>245</v>
      </c>
      <c r="C246" s="216">
        <f>SUM(C247:C250)</f>
        <v>3200000</v>
      </c>
      <c r="D246" s="216">
        <f>SUM(D247:D250)</f>
        <v>3614100</v>
      </c>
      <c r="E246" s="216">
        <f>SUM(E247:E250)</f>
        <v>414100</v>
      </c>
      <c r="F246" s="217">
        <f>SUM(F247:F250)</f>
        <v>297050</v>
      </c>
      <c r="G246" s="216">
        <f>SUM(G247:G250)</f>
        <v>9260000</v>
      </c>
      <c r="H246" s="32"/>
    </row>
    <row r="247" spans="1:14" s="2" customFormat="1" ht="12.75" hidden="1" customHeight="1" x14ac:dyDescent="0.2">
      <c r="A247" s="218"/>
      <c r="B247" s="219" t="s">
        <v>246</v>
      </c>
      <c r="C247" s="220">
        <v>3200000</v>
      </c>
      <c r="D247" s="220">
        <v>3200000</v>
      </c>
      <c r="E247" s="113"/>
      <c r="F247" s="178">
        <v>0</v>
      </c>
      <c r="G247" s="114">
        <v>3700000</v>
      </c>
      <c r="H247" s="32"/>
    </row>
    <row r="248" spans="1:14" s="98" customFormat="1" ht="12.75" hidden="1" customHeight="1" x14ac:dyDescent="0.2">
      <c r="A248" s="202"/>
      <c r="B248" s="199" t="s">
        <v>247</v>
      </c>
      <c r="C248" s="203">
        <v>0</v>
      </c>
      <c r="D248" s="203">
        <v>114100</v>
      </c>
      <c r="E248" s="160">
        <v>114100</v>
      </c>
      <c r="F248" s="178">
        <v>57050</v>
      </c>
      <c r="G248" s="114">
        <v>0</v>
      </c>
      <c r="H248" s="88"/>
      <c r="N248" s="150"/>
    </row>
    <row r="249" spans="1:14" s="98" customFormat="1" ht="12.75" hidden="1" customHeight="1" x14ac:dyDescent="0.2">
      <c r="A249" s="202"/>
      <c r="B249" s="199" t="s">
        <v>248</v>
      </c>
      <c r="C249" s="203">
        <v>0</v>
      </c>
      <c r="D249" s="203">
        <v>0</v>
      </c>
      <c r="E249" s="160">
        <v>0</v>
      </c>
      <c r="F249" s="178">
        <v>0</v>
      </c>
      <c r="G249" s="114">
        <v>5500000</v>
      </c>
      <c r="H249" s="88"/>
      <c r="N249" s="150"/>
    </row>
    <row r="250" spans="1:14" s="2" customFormat="1" ht="12.75" hidden="1" customHeight="1" x14ac:dyDescent="0.2">
      <c r="A250" s="218"/>
      <c r="B250" s="219" t="s">
        <v>249</v>
      </c>
      <c r="C250" s="220">
        <v>0</v>
      </c>
      <c r="D250" s="220">
        <v>300000</v>
      </c>
      <c r="E250" s="113">
        <v>300000</v>
      </c>
      <c r="F250" s="178">
        <v>240000</v>
      </c>
      <c r="G250" s="114">
        <v>60000</v>
      </c>
      <c r="H250" s="32"/>
    </row>
    <row r="251" spans="1:14" s="98" customFormat="1" ht="12.75" hidden="1" customHeight="1" x14ac:dyDescent="0.2">
      <c r="A251" s="221"/>
      <c r="B251" s="222"/>
      <c r="C251" s="163"/>
      <c r="D251" s="163"/>
      <c r="E251" s="223"/>
      <c r="F251" s="224"/>
      <c r="G251" s="223"/>
      <c r="H251" s="32"/>
    </row>
    <row r="252" spans="1:14" s="98" customFormat="1" ht="20.25" hidden="1" x14ac:dyDescent="0.3">
      <c r="A252" s="225"/>
      <c r="B252" s="90" t="s">
        <v>13</v>
      </c>
      <c r="C252" s="226">
        <f>SUM(C53+C87+C177+C198)</f>
        <v>684758000.00349998</v>
      </c>
      <c r="D252" s="226">
        <f>SUM(D53+D87+D177+D198)</f>
        <v>631052499.44350004</v>
      </c>
      <c r="E252" s="226">
        <f>SUM(E53+E87+E177+E198)</f>
        <v>646319550.84350002</v>
      </c>
      <c r="F252" s="226">
        <f>SUM(F53+F87+F177+F198)</f>
        <v>478397673.65999997</v>
      </c>
      <c r="G252" s="226">
        <f>SUM(G53+G87+G177+G198)</f>
        <v>705456679.22349989</v>
      </c>
      <c r="H252" s="32"/>
    </row>
    <row r="253" spans="1:14" s="98" customFormat="1" ht="12.75" hidden="1" customHeight="1" x14ac:dyDescent="0.25">
      <c r="A253" s="227"/>
      <c r="B253" s="228"/>
      <c r="C253" s="188"/>
      <c r="D253" s="188"/>
      <c r="E253" s="229"/>
      <c r="F253" s="230"/>
      <c r="G253" s="231"/>
      <c r="H253" s="32"/>
    </row>
    <row r="254" spans="1:14" s="98" customFormat="1" ht="15.75" hidden="1" x14ac:dyDescent="0.25">
      <c r="A254" s="167"/>
      <c r="B254" s="168" t="s">
        <v>14</v>
      </c>
      <c r="C254" s="232">
        <f>SUM(C255:C259)</f>
        <v>185331265.00000003</v>
      </c>
      <c r="D254" s="232">
        <f>SUM(D255:D259)</f>
        <v>169553420.91000003</v>
      </c>
      <c r="E254" s="232">
        <f>SUM(E255:E259)</f>
        <v>126483312.56</v>
      </c>
      <c r="F254" s="232">
        <f>SUM(F255:F259)</f>
        <v>-56083079.149999999</v>
      </c>
      <c r="G254" s="232">
        <f>SUM(G255:G259)</f>
        <v>180864066.03</v>
      </c>
      <c r="H254" s="32"/>
    </row>
    <row r="255" spans="1:14" ht="24.75" hidden="1" x14ac:dyDescent="0.2">
      <c r="A255" s="138">
        <v>8115</v>
      </c>
      <c r="B255" s="233" t="s">
        <v>250</v>
      </c>
      <c r="C255" s="140">
        <f>65936477.92+70000000</f>
        <v>135936477.92000002</v>
      </c>
      <c r="D255" s="140">
        <f>(65936477.92+70000000)-15777844.09</f>
        <v>120158633.83000001</v>
      </c>
      <c r="E255" s="105">
        <v>79088525.480000004</v>
      </c>
      <c r="F255" s="105">
        <v>-104450283.08</v>
      </c>
      <c r="G255" s="105">
        <f>34176081.95-197003+150200-1160000</f>
        <v>32969278.950000003</v>
      </c>
      <c r="H255" s="32"/>
    </row>
    <row r="256" spans="1:14" hidden="1" x14ac:dyDescent="0.2">
      <c r="A256" s="102">
        <v>8117</v>
      </c>
      <c r="B256" s="234" t="s">
        <v>251</v>
      </c>
      <c r="C256" s="197">
        <v>50000000</v>
      </c>
      <c r="D256" s="197">
        <v>50000000</v>
      </c>
      <c r="E256" s="197">
        <v>0</v>
      </c>
      <c r="F256" s="197">
        <v>50000000</v>
      </c>
      <c r="G256" s="105">
        <v>0</v>
      </c>
      <c r="H256" s="32"/>
    </row>
    <row r="257" spans="1:8" ht="24.75" hidden="1" x14ac:dyDescent="0.2">
      <c r="A257" s="102">
        <v>8123</v>
      </c>
      <c r="B257" s="234" t="s">
        <v>252</v>
      </c>
      <c r="C257" s="197">
        <v>0</v>
      </c>
      <c r="D257" s="197">
        <v>0</v>
      </c>
      <c r="E257" s="197">
        <v>0</v>
      </c>
      <c r="F257" s="197">
        <v>0</v>
      </c>
      <c r="G257" s="105">
        <v>100000000</v>
      </c>
      <c r="H257" s="32"/>
    </row>
    <row r="258" spans="1:8" ht="12.75" hidden="1" customHeight="1" x14ac:dyDescent="0.2">
      <c r="A258" s="102">
        <v>8125</v>
      </c>
      <c r="B258" s="234" t="s">
        <v>253</v>
      </c>
      <c r="C258" s="197">
        <v>0</v>
      </c>
      <c r="D258" s="197">
        <v>0</v>
      </c>
      <c r="E258" s="197">
        <v>50000000</v>
      </c>
      <c r="F258" s="197">
        <v>0</v>
      </c>
      <c r="G258" s="105">
        <v>50000000</v>
      </c>
      <c r="H258" s="32"/>
    </row>
    <row r="259" spans="1:8" s="235" customFormat="1" ht="12.75" hidden="1" customHeight="1" x14ac:dyDescent="0.4">
      <c r="A259" s="141">
        <v>8901</v>
      </c>
      <c r="B259" s="182" t="s">
        <v>254</v>
      </c>
      <c r="C259" s="145">
        <f>SUM(C260:C261)</f>
        <v>-605212.92000000004</v>
      </c>
      <c r="D259" s="145">
        <f>SUM(D260:D261)</f>
        <v>-605212.92000000004</v>
      </c>
      <c r="E259" s="145">
        <f>SUM(E260:E261)</f>
        <v>-2605212.92</v>
      </c>
      <c r="F259" s="145">
        <f>SUM(F260:F261)</f>
        <v>-1632796.07</v>
      </c>
      <c r="G259" s="145">
        <f>SUM(G260:G261)</f>
        <v>-2105212.92</v>
      </c>
      <c r="H259" s="32"/>
    </row>
    <row r="260" spans="1:8" s="236" customFormat="1" ht="12.75" hidden="1" customHeight="1" x14ac:dyDescent="0.35">
      <c r="A260" s="119"/>
      <c r="B260" s="237" t="s">
        <v>255</v>
      </c>
      <c r="C260" s="121">
        <v>-605212.92000000004</v>
      </c>
      <c r="D260" s="121">
        <v>-605212.92000000004</v>
      </c>
      <c r="E260" s="121">
        <v>-605212.92000000004</v>
      </c>
      <c r="F260" s="113">
        <v>-302606.46000000002</v>
      </c>
      <c r="G260" s="121">
        <v>-605212.92000000004</v>
      </c>
      <c r="H260" s="32"/>
    </row>
    <row r="261" spans="1:8" ht="12.75" hidden="1" customHeight="1" x14ac:dyDescent="0.2">
      <c r="A261" s="127"/>
      <c r="B261" s="127" t="s">
        <v>256</v>
      </c>
      <c r="C261" s="179">
        <v>0</v>
      </c>
      <c r="D261" s="179">
        <v>0</v>
      </c>
      <c r="E261" s="121">
        <v>-2000000</v>
      </c>
      <c r="F261" s="121">
        <f>-1632796.07+302606.46</f>
        <v>-1330189.6100000001</v>
      </c>
      <c r="G261" s="114">
        <v>-1500000</v>
      </c>
      <c r="H261" s="32"/>
    </row>
    <row r="262" spans="1:8" ht="12.75" hidden="1" customHeight="1" x14ac:dyDescent="0.2">
      <c r="A262" s="238"/>
      <c r="B262" s="238"/>
      <c r="C262" s="239"/>
      <c r="D262" s="239"/>
      <c r="E262" s="240"/>
      <c r="F262" s="240"/>
      <c r="G262" s="241"/>
      <c r="H262" s="32"/>
    </row>
    <row r="263" spans="1:8" s="85" customFormat="1" ht="24" hidden="1" customHeight="1" x14ac:dyDescent="0.4">
      <c r="A263" s="242"/>
      <c r="B263" s="35" t="s">
        <v>15</v>
      </c>
      <c r="C263" s="243">
        <f>SUM(C252+C254)</f>
        <v>870089265.00349998</v>
      </c>
      <c r="D263" s="243">
        <f>SUM(D252+D254)</f>
        <v>800605920.35350013</v>
      </c>
      <c r="E263" s="243">
        <f>SUM(E252+E254)</f>
        <v>772802863.40350008</v>
      </c>
      <c r="F263" s="243">
        <f>SUM(F252+F254)</f>
        <v>422314594.50999999</v>
      </c>
      <c r="G263" s="243">
        <f>SUM(G252+G254)</f>
        <v>886320745.25349987</v>
      </c>
      <c r="H263" s="32"/>
    </row>
    <row r="264" spans="1:8" s="244" customFormat="1" ht="26.25" hidden="1" x14ac:dyDescent="0.4">
      <c r="A264" s="245"/>
      <c r="B264" s="246"/>
      <c r="C264" s="247"/>
      <c r="D264" s="247"/>
      <c r="E264" s="248"/>
      <c r="F264" s="248"/>
      <c r="G264" s="249"/>
      <c r="H264" s="32"/>
    </row>
    <row r="265" spans="1:8" s="98" customFormat="1" ht="20.25" hidden="1" x14ac:dyDescent="0.3">
      <c r="A265" s="250"/>
      <c r="B265" s="90" t="s">
        <v>257</v>
      </c>
      <c r="C265" s="90"/>
      <c r="D265" s="90"/>
      <c r="E265" s="230"/>
      <c r="F265" s="230"/>
      <c r="G265" s="231"/>
      <c r="H265" s="32"/>
    </row>
    <row r="266" spans="1:8" ht="20.25" hidden="1" x14ac:dyDescent="0.3">
      <c r="A266" s="251"/>
      <c r="B266" s="90" t="s">
        <v>258</v>
      </c>
      <c r="C266" s="91">
        <f>C267+C280+C301+C315</f>
        <v>52448677</v>
      </c>
      <c r="D266" s="91">
        <f>D267+D280+D301+D315</f>
        <v>50917338</v>
      </c>
      <c r="E266" s="91">
        <f>E267+E280+E301+E315</f>
        <v>47778764.609999999</v>
      </c>
      <c r="F266" s="91">
        <f>F267+F280+F301+F315</f>
        <v>26310888.520000003</v>
      </c>
      <c r="G266" s="91">
        <f>G267+G280+G301+G315</f>
        <v>47057788.329999998</v>
      </c>
      <c r="H266" s="32"/>
    </row>
    <row r="267" spans="1:8" ht="15.75" hidden="1" x14ac:dyDescent="0.2">
      <c r="A267" s="252"/>
      <c r="B267" s="252" t="s">
        <v>259</v>
      </c>
      <c r="C267" s="253">
        <f>SUM(C268+C272+C277)</f>
        <v>1895000</v>
      </c>
      <c r="D267" s="253">
        <f>SUM(D268+D272+D277)</f>
        <v>1895000</v>
      </c>
      <c r="E267" s="253">
        <f>SUM(E268+E272+E277)</f>
        <v>1895000</v>
      </c>
      <c r="F267" s="253">
        <f>SUM(F268+F272+F277)</f>
        <v>440288.54000000004</v>
      </c>
      <c r="G267" s="253">
        <f>SUM(G268+G272+G277)</f>
        <v>1985000</v>
      </c>
      <c r="H267" s="32"/>
    </row>
    <row r="268" spans="1:8" hidden="1" x14ac:dyDescent="0.2">
      <c r="A268" s="254">
        <v>2310</v>
      </c>
      <c r="B268" s="254" t="s">
        <v>260</v>
      </c>
      <c r="C268" s="255">
        <f>SUM(C269:C271)</f>
        <v>495000</v>
      </c>
      <c r="D268" s="255">
        <f>SUM(D269:D271)</f>
        <v>495000</v>
      </c>
      <c r="E268" s="255">
        <f>SUM(E269:E271)</f>
        <v>495000</v>
      </c>
      <c r="F268" s="255">
        <f>SUM(F269:F271)</f>
        <v>71678</v>
      </c>
      <c r="G268" s="140">
        <f>SUM(G269:G271)</f>
        <v>265000</v>
      </c>
      <c r="H268" s="32"/>
    </row>
    <row r="269" spans="1:8" hidden="1" x14ac:dyDescent="0.2">
      <c r="A269" s="256" t="s">
        <v>261</v>
      </c>
      <c r="B269" s="128" t="s">
        <v>262</v>
      </c>
      <c r="C269" s="121">
        <v>15000</v>
      </c>
      <c r="D269" s="121">
        <v>15000</v>
      </c>
      <c r="E269" s="113">
        <v>15000</v>
      </c>
      <c r="F269" s="113">
        <v>0</v>
      </c>
      <c r="G269" s="114">
        <v>15000</v>
      </c>
      <c r="H269" s="32"/>
    </row>
    <row r="270" spans="1:8" hidden="1" x14ac:dyDescent="0.2">
      <c r="A270" s="256" t="s">
        <v>263</v>
      </c>
      <c r="B270" s="128" t="s">
        <v>264</v>
      </c>
      <c r="C270" s="257">
        <f>350000+30000</f>
        <v>380000</v>
      </c>
      <c r="D270" s="257">
        <v>380000</v>
      </c>
      <c r="E270" s="113">
        <v>380000</v>
      </c>
      <c r="F270" s="113">
        <v>0</v>
      </c>
      <c r="G270" s="114">
        <v>150000</v>
      </c>
      <c r="H270" s="32"/>
    </row>
    <row r="271" spans="1:8" hidden="1" x14ac:dyDescent="0.2">
      <c r="A271" s="256" t="s">
        <v>265</v>
      </c>
      <c r="B271" s="128" t="s">
        <v>266</v>
      </c>
      <c r="C271" s="121">
        <v>100000</v>
      </c>
      <c r="D271" s="121">
        <v>100000</v>
      </c>
      <c r="E271" s="114">
        <v>100000</v>
      </c>
      <c r="F271" s="114">
        <v>71678</v>
      </c>
      <c r="G271" s="114">
        <v>100000</v>
      </c>
      <c r="H271" s="88"/>
    </row>
    <row r="272" spans="1:8" hidden="1" x14ac:dyDescent="0.2">
      <c r="A272" s="144">
        <v>2321</v>
      </c>
      <c r="B272" s="144" t="s">
        <v>267</v>
      </c>
      <c r="C272" s="145">
        <f>SUM(C273+C274+C275+C276)</f>
        <v>1400000</v>
      </c>
      <c r="D272" s="145">
        <f>SUM(D273:D276)</f>
        <v>1400000</v>
      </c>
      <c r="E272" s="145">
        <f>SUM(E273:E276)</f>
        <v>1400000</v>
      </c>
      <c r="F272" s="145">
        <f>SUM(F273:F276)</f>
        <v>368610.54000000004</v>
      </c>
      <c r="G272" s="145">
        <f>SUM(G273:G276)</f>
        <v>1470000</v>
      </c>
      <c r="H272" s="32"/>
    </row>
    <row r="273" spans="1:8" hidden="1" x14ac:dyDescent="0.2">
      <c r="A273" s="256" t="s">
        <v>268</v>
      </c>
      <c r="B273" s="128" t="s">
        <v>269</v>
      </c>
      <c r="C273" s="121">
        <v>170000</v>
      </c>
      <c r="D273" s="121">
        <v>170000</v>
      </c>
      <c r="E273" s="113">
        <v>170000</v>
      </c>
      <c r="F273" s="113">
        <v>89294.34</v>
      </c>
      <c r="G273" s="114">
        <v>170000</v>
      </c>
      <c r="H273" s="88"/>
    </row>
    <row r="274" spans="1:8" hidden="1" x14ac:dyDescent="0.2">
      <c r="A274" s="256" t="s">
        <v>270</v>
      </c>
      <c r="B274" s="128" t="s">
        <v>271</v>
      </c>
      <c r="C274" s="121">
        <f>330000+100000</f>
        <v>430000</v>
      </c>
      <c r="D274" s="121">
        <v>730000</v>
      </c>
      <c r="E274" s="121">
        <v>730000</v>
      </c>
      <c r="F274" s="121">
        <v>188262.2</v>
      </c>
      <c r="G274" s="114">
        <v>500000</v>
      </c>
      <c r="H274" s="88"/>
    </row>
    <row r="275" spans="1:8" hidden="1" x14ac:dyDescent="0.2">
      <c r="A275" s="256" t="s">
        <v>272</v>
      </c>
      <c r="B275" s="128" t="s">
        <v>273</v>
      </c>
      <c r="C275" s="121">
        <v>500000</v>
      </c>
      <c r="D275" s="121">
        <v>200000</v>
      </c>
      <c r="E275" s="121">
        <v>200000</v>
      </c>
      <c r="F275" s="121">
        <v>91054</v>
      </c>
      <c r="G275" s="114">
        <v>500000</v>
      </c>
      <c r="H275" s="88"/>
    </row>
    <row r="276" spans="1:8" s="2" customFormat="1" ht="24.75" hidden="1" x14ac:dyDescent="0.2">
      <c r="A276" s="256" t="s">
        <v>272</v>
      </c>
      <c r="B276" s="120" t="s">
        <v>274</v>
      </c>
      <c r="C276" s="121">
        <v>300000</v>
      </c>
      <c r="D276" s="121">
        <v>300000</v>
      </c>
      <c r="E276" s="113">
        <v>300000</v>
      </c>
      <c r="F276" s="113">
        <v>0</v>
      </c>
      <c r="G276" s="114">
        <v>300000</v>
      </c>
      <c r="H276" s="32"/>
    </row>
    <row r="277" spans="1:8" hidden="1" x14ac:dyDescent="0.2">
      <c r="A277" s="144">
        <v>2333</v>
      </c>
      <c r="B277" s="144" t="s">
        <v>275</v>
      </c>
      <c r="C277" s="145">
        <f>SUM(C278:C279)</f>
        <v>0</v>
      </c>
      <c r="D277" s="145">
        <f>SUM(D278:D279)</f>
        <v>0</v>
      </c>
      <c r="E277" s="145">
        <f>SUM(E278:E279)</f>
        <v>0</v>
      </c>
      <c r="F277" s="145">
        <f>SUM(F278:F279)</f>
        <v>0</v>
      </c>
      <c r="G277" s="145">
        <f>SUM(G278:G279)</f>
        <v>250000</v>
      </c>
      <c r="H277" s="32"/>
    </row>
    <row r="278" spans="1:8" hidden="1" x14ac:dyDescent="0.2">
      <c r="A278" s="256" t="s">
        <v>276</v>
      </c>
      <c r="B278" s="128" t="s">
        <v>277</v>
      </c>
      <c r="C278" s="121">
        <v>0</v>
      </c>
      <c r="D278" s="121">
        <v>0</v>
      </c>
      <c r="E278" s="113">
        <v>0</v>
      </c>
      <c r="F278" s="113">
        <v>0</v>
      </c>
      <c r="G278" s="114">
        <v>100000</v>
      </c>
      <c r="H278" s="88"/>
    </row>
    <row r="279" spans="1:8" hidden="1" x14ac:dyDescent="0.2">
      <c r="A279" s="256" t="s">
        <v>278</v>
      </c>
      <c r="B279" s="128" t="s">
        <v>273</v>
      </c>
      <c r="C279" s="121">
        <v>0</v>
      </c>
      <c r="D279" s="121">
        <v>0</v>
      </c>
      <c r="E279" s="121">
        <v>0</v>
      </c>
      <c r="F279" s="121">
        <v>0</v>
      </c>
      <c r="G279" s="114">
        <v>150000</v>
      </c>
      <c r="H279" s="88"/>
    </row>
    <row r="280" spans="1:8" s="98" customFormat="1" ht="15.75" hidden="1" x14ac:dyDescent="0.25">
      <c r="A280" s="168"/>
      <c r="B280" s="168" t="s">
        <v>279</v>
      </c>
      <c r="C280" s="253">
        <f>SUM(C281+C293+C298)</f>
        <v>28251000</v>
      </c>
      <c r="D280" s="253">
        <f>SUM(D281+D293+D298)</f>
        <v>26869575</v>
      </c>
      <c r="E280" s="253">
        <f>SUM(E281+E293+E298)</f>
        <v>24033615</v>
      </c>
      <c r="F280" s="253">
        <f>SUM(F281+F293+F298)</f>
        <v>14287648.27</v>
      </c>
      <c r="G280" s="253">
        <f>SUM(G281+G293+G298)</f>
        <v>27050000</v>
      </c>
      <c r="H280" s="88"/>
    </row>
    <row r="281" spans="1:8" s="98" customFormat="1" hidden="1" x14ac:dyDescent="0.2">
      <c r="A281" s="258">
        <v>2212</v>
      </c>
      <c r="B281" s="259" t="s">
        <v>280</v>
      </c>
      <c r="C281" s="140">
        <f>SUM(C282,C286:C292)</f>
        <v>27881000</v>
      </c>
      <c r="D281" s="140">
        <f>SUM(D282,D286:D292)</f>
        <v>26496875</v>
      </c>
      <c r="E281" s="140">
        <f>SUM(E282,E286:E292)</f>
        <v>23660915</v>
      </c>
      <c r="F281" s="140">
        <f>SUM(F282,F286:F292)</f>
        <v>14197571.84</v>
      </c>
      <c r="G281" s="140">
        <f>SUM(G282,G286:G292)</f>
        <v>26600000</v>
      </c>
      <c r="H281" s="88"/>
    </row>
    <row r="282" spans="1:8" s="2" customFormat="1" hidden="1" x14ac:dyDescent="0.2">
      <c r="A282" s="155"/>
      <c r="B282" s="260" t="s">
        <v>281</v>
      </c>
      <c r="C282" s="121">
        <f>SUM(C283:C285)</f>
        <v>5025000</v>
      </c>
      <c r="D282" s="121">
        <f>SUM(D283:D285)</f>
        <v>5025000</v>
      </c>
      <c r="E282" s="121">
        <v>2200000</v>
      </c>
      <c r="F282" s="121">
        <f>SUM(F283:F285)</f>
        <v>0</v>
      </c>
      <c r="G282" s="121">
        <f>SUM(G283:G285)</f>
        <v>2400000</v>
      </c>
      <c r="H282" s="88"/>
    </row>
    <row r="283" spans="1:8" s="98" customFormat="1" hidden="1" x14ac:dyDescent="0.2">
      <c r="A283" s="256" t="s">
        <v>282</v>
      </c>
      <c r="B283" s="261" t="s">
        <v>283</v>
      </c>
      <c r="C283" s="121">
        <v>2500000</v>
      </c>
      <c r="D283" s="121">
        <v>2500000</v>
      </c>
      <c r="E283" s="160">
        <v>0</v>
      </c>
      <c r="F283" s="113">
        <v>0</v>
      </c>
      <c r="G283" s="114">
        <v>2200000</v>
      </c>
      <c r="H283" s="88"/>
    </row>
    <row r="284" spans="1:8" s="98" customFormat="1" hidden="1" x14ac:dyDescent="0.2">
      <c r="A284" s="256" t="s">
        <v>282</v>
      </c>
      <c r="B284" s="261" t="s">
        <v>284</v>
      </c>
      <c r="C284" s="121">
        <v>2525000</v>
      </c>
      <c r="D284" s="121">
        <v>2525000</v>
      </c>
      <c r="E284" s="160">
        <v>2525000</v>
      </c>
      <c r="F284" s="113">
        <v>0</v>
      </c>
      <c r="G284" s="114">
        <v>0</v>
      </c>
      <c r="H284" s="88"/>
    </row>
    <row r="285" spans="1:8" s="98" customFormat="1" hidden="1" x14ac:dyDescent="0.2">
      <c r="A285" s="256" t="s">
        <v>282</v>
      </c>
      <c r="B285" s="261" t="s">
        <v>285</v>
      </c>
      <c r="C285" s="123">
        <v>0</v>
      </c>
      <c r="D285" s="123">
        <v>0</v>
      </c>
      <c r="E285" s="160">
        <v>0</v>
      </c>
      <c r="F285" s="113">
        <v>0</v>
      </c>
      <c r="G285" s="114">
        <v>200000</v>
      </c>
      <c r="H285" s="88"/>
    </row>
    <row r="286" spans="1:8" s="98" customFormat="1" hidden="1" x14ac:dyDescent="0.2">
      <c r="A286" s="256" t="s">
        <v>286</v>
      </c>
      <c r="B286" s="127" t="s">
        <v>287</v>
      </c>
      <c r="C286" s="123">
        <v>2700000</v>
      </c>
      <c r="D286" s="123">
        <v>2711375</v>
      </c>
      <c r="E286" s="160">
        <v>2711375</v>
      </c>
      <c r="F286" s="113">
        <v>2036375</v>
      </c>
      <c r="G286" s="114">
        <v>3500000</v>
      </c>
      <c r="H286" s="88"/>
    </row>
    <row r="287" spans="1:8" s="98" customFormat="1" hidden="1" x14ac:dyDescent="0.2">
      <c r="A287" s="256" t="s">
        <v>286</v>
      </c>
      <c r="B287" s="127" t="s">
        <v>288</v>
      </c>
      <c r="C287" s="200">
        <v>17616000</v>
      </c>
      <c r="D287" s="200">
        <v>17720500</v>
      </c>
      <c r="E287" s="160">
        <v>17720500</v>
      </c>
      <c r="F287" s="113">
        <v>11848500</v>
      </c>
      <c r="G287" s="114">
        <v>18200000</v>
      </c>
      <c r="H287" s="88"/>
    </row>
    <row r="288" spans="1:8" s="98" customFormat="1" hidden="1" x14ac:dyDescent="0.2">
      <c r="A288" s="256" t="s">
        <v>289</v>
      </c>
      <c r="B288" s="127" t="s">
        <v>290</v>
      </c>
      <c r="C288" s="200">
        <v>0</v>
      </c>
      <c r="D288" s="200">
        <v>29040</v>
      </c>
      <c r="E288" s="160">
        <v>29040</v>
      </c>
      <c r="F288" s="113">
        <v>29040</v>
      </c>
      <c r="G288" s="114">
        <v>0</v>
      </c>
      <c r="H288" s="88"/>
    </row>
    <row r="289" spans="1:8" s="98" customFormat="1" hidden="1" x14ac:dyDescent="0.2">
      <c r="A289" s="256" t="s">
        <v>291</v>
      </c>
      <c r="B289" s="127" t="s">
        <v>292</v>
      </c>
      <c r="C289" s="121">
        <v>500000</v>
      </c>
      <c r="D289" s="121">
        <v>500000</v>
      </c>
      <c r="E289" s="179">
        <v>500000</v>
      </c>
      <c r="F289" s="121">
        <v>188197.84</v>
      </c>
      <c r="G289" s="114">
        <v>500000</v>
      </c>
      <c r="H289" s="88"/>
    </row>
    <row r="290" spans="1:8" s="98" customFormat="1" hidden="1" x14ac:dyDescent="0.2">
      <c r="A290" s="256" t="s">
        <v>293</v>
      </c>
      <c r="B290" s="127" t="s">
        <v>294</v>
      </c>
      <c r="C290" s="121">
        <v>500000</v>
      </c>
      <c r="D290" s="121">
        <v>470960</v>
      </c>
      <c r="E290" s="179">
        <v>500000</v>
      </c>
      <c r="F290" s="121">
        <v>95459</v>
      </c>
      <c r="G290" s="114">
        <v>500000</v>
      </c>
      <c r="H290" s="88"/>
    </row>
    <row r="291" spans="1:8" s="98" customFormat="1" hidden="1" x14ac:dyDescent="0.2">
      <c r="A291" s="256" t="s">
        <v>293</v>
      </c>
      <c r="B291" s="127" t="s">
        <v>295</v>
      </c>
      <c r="C291" s="121">
        <v>1500000</v>
      </c>
      <c r="D291" s="121">
        <v>0</v>
      </c>
      <c r="E291" s="179">
        <v>0</v>
      </c>
      <c r="F291" s="121">
        <v>0</v>
      </c>
      <c r="G291" s="114">
        <v>1500000</v>
      </c>
      <c r="H291" s="88"/>
    </row>
    <row r="292" spans="1:8" s="98" customFormat="1" hidden="1" x14ac:dyDescent="0.2">
      <c r="A292" s="256" t="s">
        <v>296</v>
      </c>
      <c r="B292" s="127" t="s">
        <v>297</v>
      </c>
      <c r="C292" s="121">
        <v>40000</v>
      </c>
      <c r="D292" s="121">
        <v>40000</v>
      </c>
      <c r="E292" s="179">
        <v>0</v>
      </c>
      <c r="F292" s="121">
        <v>0</v>
      </c>
      <c r="G292" s="114">
        <v>0</v>
      </c>
      <c r="H292" s="88"/>
    </row>
    <row r="293" spans="1:8" s="98" customFormat="1" hidden="1" x14ac:dyDescent="0.2">
      <c r="A293" s="144">
        <v>2219</v>
      </c>
      <c r="B293" s="262" t="s">
        <v>298</v>
      </c>
      <c r="C293" s="145">
        <f>SUM(C294:C297)</f>
        <v>220000</v>
      </c>
      <c r="D293" s="145">
        <f>SUM(D294:D297)</f>
        <v>222700</v>
      </c>
      <c r="E293" s="145">
        <f>SUM(E294:E297)</f>
        <v>222700</v>
      </c>
      <c r="F293" s="145">
        <f>SUM(F294:F297)</f>
        <v>66091.81</v>
      </c>
      <c r="G293" s="145">
        <f>SUM(G294:G297)</f>
        <v>300000</v>
      </c>
      <c r="H293" s="88"/>
    </row>
    <row r="294" spans="1:8" s="98" customFormat="1" hidden="1" x14ac:dyDescent="0.2">
      <c r="A294" s="256" t="s">
        <v>299</v>
      </c>
      <c r="B294" s="127" t="s">
        <v>300</v>
      </c>
      <c r="C294" s="121">
        <v>0</v>
      </c>
      <c r="D294" s="121">
        <v>0</v>
      </c>
      <c r="E294" s="160">
        <v>0</v>
      </c>
      <c r="F294" s="113">
        <v>0</v>
      </c>
      <c r="G294" s="114">
        <v>100000</v>
      </c>
      <c r="H294" s="88"/>
    </row>
    <row r="295" spans="1:8" s="98" customFormat="1" hidden="1" x14ac:dyDescent="0.2">
      <c r="A295" s="256" t="s">
        <v>301</v>
      </c>
      <c r="B295" s="127" t="s">
        <v>302</v>
      </c>
      <c r="C295" s="123">
        <v>200000</v>
      </c>
      <c r="D295" s="123">
        <v>200000</v>
      </c>
      <c r="E295" s="160">
        <v>200000</v>
      </c>
      <c r="F295" s="113">
        <v>63391.81</v>
      </c>
      <c r="G295" s="114">
        <v>200000</v>
      </c>
      <c r="H295" s="88"/>
    </row>
    <row r="296" spans="1:8" s="98" customFormat="1" hidden="1" x14ac:dyDescent="0.2">
      <c r="A296" s="256" t="s">
        <v>303</v>
      </c>
      <c r="B296" s="127" t="s">
        <v>304</v>
      </c>
      <c r="C296" s="123">
        <v>20000</v>
      </c>
      <c r="D296" s="123">
        <v>20000</v>
      </c>
      <c r="E296" s="160">
        <v>20000</v>
      </c>
      <c r="F296" s="113">
        <v>0</v>
      </c>
      <c r="G296" s="114">
        <v>0</v>
      </c>
      <c r="H296" s="88"/>
    </row>
    <row r="297" spans="1:8" s="98" customFormat="1" hidden="1" x14ac:dyDescent="0.2">
      <c r="A297" s="256" t="s">
        <v>305</v>
      </c>
      <c r="B297" s="127" t="s">
        <v>306</v>
      </c>
      <c r="C297" s="123">
        <v>0</v>
      </c>
      <c r="D297" s="123">
        <v>2700</v>
      </c>
      <c r="E297" s="160">
        <v>2700</v>
      </c>
      <c r="F297" s="113">
        <v>2700</v>
      </c>
      <c r="G297" s="114">
        <v>0</v>
      </c>
      <c r="H297" s="88"/>
    </row>
    <row r="298" spans="1:8" hidden="1" x14ac:dyDescent="0.2">
      <c r="A298" s="144">
        <v>2221</v>
      </c>
      <c r="B298" s="141" t="s">
        <v>307</v>
      </c>
      <c r="C298" s="197">
        <f>SUM(C299:C300)</f>
        <v>150000</v>
      </c>
      <c r="D298" s="197">
        <f>SUM(D299:D300)</f>
        <v>150000</v>
      </c>
      <c r="E298" s="197">
        <f>SUM(E299:E300)</f>
        <v>150000</v>
      </c>
      <c r="F298" s="197">
        <f>SUM(F299:F300)</f>
        <v>23984.62</v>
      </c>
      <c r="G298" s="197">
        <f>SUM(G299:G300)</f>
        <v>150000</v>
      </c>
      <c r="H298" s="88"/>
    </row>
    <row r="299" spans="1:8" hidden="1" x14ac:dyDescent="0.2">
      <c r="A299" s="256" t="s">
        <v>308</v>
      </c>
      <c r="B299" s="119" t="s">
        <v>309</v>
      </c>
      <c r="C299" s="121">
        <v>60000</v>
      </c>
      <c r="D299" s="121">
        <v>60000</v>
      </c>
      <c r="E299" s="121">
        <v>60000</v>
      </c>
      <c r="F299" s="113">
        <v>0</v>
      </c>
      <c r="G299" s="114">
        <v>60000</v>
      </c>
      <c r="H299" s="88"/>
    </row>
    <row r="300" spans="1:8" hidden="1" x14ac:dyDescent="0.2">
      <c r="A300" s="263" t="s">
        <v>310</v>
      </c>
      <c r="B300" s="264" t="s">
        <v>311</v>
      </c>
      <c r="C300" s="265">
        <v>90000</v>
      </c>
      <c r="D300" s="265">
        <v>90000</v>
      </c>
      <c r="E300" s="265">
        <v>90000</v>
      </c>
      <c r="F300" s="266">
        <v>23984.62</v>
      </c>
      <c r="G300" s="114">
        <v>90000</v>
      </c>
      <c r="H300" s="32"/>
    </row>
    <row r="301" spans="1:8" ht="15.75" hidden="1" x14ac:dyDescent="0.25">
      <c r="A301" s="168"/>
      <c r="B301" s="168" t="s">
        <v>312</v>
      </c>
      <c r="C301" s="169">
        <f>C302</f>
        <v>6934000</v>
      </c>
      <c r="D301" s="169">
        <f>D302</f>
        <v>6934000</v>
      </c>
      <c r="E301" s="169">
        <f>E302</f>
        <v>6639123.5999999996</v>
      </c>
      <c r="F301" s="169">
        <f>F302</f>
        <v>3111784.6</v>
      </c>
      <c r="G301" s="169">
        <f>G302</f>
        <v>2334000</v>
      </c>
      <c r="H301" s="88"/>
    </row>
    <row r="302" spans="1:8" hidden="1" x14ac:dyDescent="0.2">
      <c r="A302" s="254">
        <v>3639</v>
      </c>
      <c r="B302" s="254" t="s">
        <v>313</v>
      </c>
      <c r="C302" s="140">
        <f>SUM(C303:C314)</f>
        <v>6934000</v>
      </c>
      <c r="D302" s="140">
        <f>SUM(D303:D314)</f>
        <v>6934000</v>
      </c>
      <c r="E302" s="140">
        <f>SUM(E303:E314)</f>
        <v>6639123.5999999996</v>
      </c>
      <c r="F302" s="140">
        <f>SUM(F303:F314)</f>
        <v>3111784.6</v>
      </c>
      <c r="G302" s="140">
        <f>SUM(G303:G314)</f>
        <v>2334000</v>
      </c>
      <c r="H302" s="88"/>
    </row>
    <row r="303" spans="1:8" hidden="1" x14ac:dyDescent="0.2">
      <c r="A303" s="256" t="s">
        <v>314</v>
      </c>
      <c r="B303" s="155" t="s">
        <v>315</v>
      </c>
      <c r="C303" s="121">
        <v>6200000</v>
      </c>
      <c r="D303" s="121">
        <v>6200000</v>
      </c>
      <c r="E303" s="160">
        <v>5700000</v>
      </c>
      <c r="F303" s="113">
        <v>2900000</v>
      </c>
      <c r="G303" s="267">
        <v>1600000</v>
      </c>
      <c r="H303" s="88"/>
    </row>
    <row r="304" spans="1:8" hidden="1" x14ac:dyDescent="0.2">
      <c r="A304" s="256" t="s">
        <v>316</v>
      </c>
      <c r="B304" s="128" t="s">
        <v>317</v>
      </c>
      <c r="C304" s="121">
        <v>150000</v>
      </c>
      <c r="D304" s="121">
        <v>150000</v>
      </c>
      <c r="E304" s="203">
        <v>150000</v>
      </c>
      <c r="F304" s="113">
        <v>3206.5</v>
      </c>
      <c r="G304" s="114">
        <v>150000</v>
      </c>
      <c r="H304" s="88"/>
    </row>
    <row r="305" spans="1:8" hidden="1" x14ac:dyDescent="0.2">
      <c r="A305" s="268" t="s">
        <v>316</v>
      </c>
      <c r="B305" s="213" t="s">
        <v>318</v>
      </c>
      <c r="C305" s="121">
        <v>50000</v>
      </c>
      <c r="D305" s="121">
        <v>50000</v>
      </c>
      <c r="E305" s="121">
        <v>50000</v>
      </c>
      <c r="F305" s="121">
        <v>0</v>
      </c>
      <c r="G305" s="114">
        <v>50000</v>
      </c>
      <c r="H305" s="88"/>
    </row>
    <row r="306" spans="1:8" hidden="1" x14ac:dyDescent="0.2">
      <c r="A306" s="269" t="s">
        <v>319</v>
      </c>
      <c r="B306" s="128" t="s">
        <v>320</v>
      </c>
      <c r="C306" s="200">
        <v>50000</v>
      </c>
      <c r="D306" s="200">
        <v>15000</v>
      </c>
      <c r="E306" s="121">
        <v>15000</v>
      </c>
      <c r="F306" s="121">
        <v>0</v>
      </c>
      <c r="G306" s="114">
        <v>50000</v>
      </c>
      <c r="H306" s="88"/>
    </row>
    <row r="307" spans="1:8" hidden="1" x14ac:dyDescent="0.2">
      <c r="A307" s="269" t="s">
        <v>321</v>
      </c>
      <c r="B307" s="128" t="s">
        <v>322</v>
      </c>
      <c r="C307" s="121">
        <v>10000</v>
      </c>
      <c r="D307" s="200">
        <v>10000</v>
      </c>
      <c r="E307" s="121">
        <v>10000</v>
      </c>
      <c r="F307" s="121">
        <v>0</v>
      </c>
      <c r="G307" s="114">
        <v>10000</v>
      </c>
      <c r="H307" s="88"/>
    </row>
    <row r="308" spans="1:8" hidden="1" x14ac:dyDescent="0.2">
      <c r="A308" s="269" t="s">
        <v>323</v>
      </c>
      <c r="B308" s="128" t="s">
        <v>324</v>
      </c>
      <c r="C308" s="200">
        <v>4000</v>
      </c>
      <c r="D308" s="200">
        <v>4000</v>
      </c>
      <c r="E308" s="121">
        <v>4000</v>
      </c>
      <c r="F308" s="121">
        <v>0</v>
      </c>
      <c r="G308" s="114">
        <v>4000</v>
      </c>
      <c r="H308" s="88"/>
    </row>
    <row r="309" spans="1:8" hidden="1" x14ac:dyDescent="0.2">
      <c r="A309" s="269" t="s">
        <v>325</v>
      </c>
      <c r="B309" s="128" t="s">
        <v>326</v>
      </c>
      <c r="C309" s="200">
        <v>50000</v>
      </c>
      <c r="D309" s="200">
        <v>50000</v>
      </c>
      <c r="E309" s="121">
        <v>40123.599999999999</v>
      </c>
      <c r="F309" s="121">
        <v>40123.599999999999</v>
      </c>
      <c r="G309" s="114">
        <v>50000</v>
      </c>
      <c r="H309" s="88"/>
    </row>
    <row r="310" spans="1:8" hidden="1" x14ac:dyDescent="0.2">
      <c r="A310" s="269" t="s">
        <v>321</v>
      </c>
      <c r="B310" s="128" t="s">
        <v>327</v>
      </c>
      <c r="C310" s="200">
        <v>110000</v>
      </c>
      <c r="D310" s="200">
        <v>110000</v>
      </c>
      <c r="E310" s="121">
        <v>110000</v>
      </c>
      <c r="F310" s="121">
        <v>51689.5</v>
      </c>
      <c r="G310" s="114">
        <v>110000</v>
      </c>
      <c r="H310" s="88"/>
    </row>
    <row r="311" spans="1:8" hidden="1" x14ac:dyDescent="0.2">
      <c r="A311" s="269" t="s">
        <v>323</v>
      </c>
      <c r="B311" s="128" t="s">
        <v>328</v>
      </c>
      <c r="C311" s="200">
        <v>250000</v>
      </c>
      <c r="D311" s="200">
        <v>250000</v>
      </c>
      <c r="E311" s="121">
        <v>250000</v>
      </c>
      <c r="F311" s="121">
        <v>58704</v>
      </c>
      <c r="G311" s="114">
        <v>250000</v>
      </c>
      <c r="H311" s="88"/>
    </row>
    <row r="312" spans="1:8" hidden="1" x14ac:dyDescent="0.2">
      <c r="A312" s="269" t="s">
        <v>329</v>
      </c>
      <c r="B312" s="128" t="s">
        <v>330</v>
      </c>
      <c r="C312" s="200">
        <v>0</v>
      </c>
      <c r="D312" s="200">
        <v>35000</v>
      </c>
      <c r="E312" s="121">
        <v>250000</v>
      </c>
      <c r="F312" s="121">
        <v>35000</v>
      </c>
      <c r="G312" s="114">
        <v>0</v>
      </c>
      <c r="H312" s="88"/>
    </row>
    <row r="313" spans="1:8" hidden="1" x14ac:dyDescent="0.2">
      <c r="A313" s="269" t="s">
        <v>331</v>
      </c>
      <c r="B313" s="128" t="s">
        <v>332</v>
      </c>
      <c r="C313" s="200">
        <v>20000</v>
      </c>
      <c r="D313" s="200">
        <v>20000</v>
      </c>
      <c r="E313" s="121">
        <v>20000</v>
      </c>
      <c r="F313" s="121">
        <v>10000</v>
      </c>
      <c r="G313" s="114">
        <v>20000</v>
      </c>
      <c r="H313" s="88"/>
    </row>
    <row r="314" spans="1:8" hidden="1" x14ac:dyDescent="0.2">
      <c r="A314" s="256" t="s">
        <v>333</v>
      </c>
      <c r="B314" s="128" t="s">
        <v>334</v>
      </c>
      <c r="C314" s="200">
        <v>40000</v>
      </c>
      <c r="D314" s="200">
        <v>40000</v>
      </c>
      <c r="E314" s="121">
        <v>40000</v>
      </c>
      <c r="F314" s="121">
        <v>13061</v>
      </c>
      <c r="G314" s="114">
        <v>40000</v>
      </c>
      <c r="H314" s="88"/>
    </row>
    <row r="315" spans="1:8" ht="15.75" hidden="1" x14ac:dyDescent="0.25">
      <c r="A315" s="168"/>
      <c r="B315" s="168" t="s">
        <v>335</v>
      </c>
      <c r="C315" s="169">
        <f>SUM(C316,C319,C325,C333,C338,C348,C351)</f>
        <v>15368677</v>
      </c>
      <c r="D315" s="270">
        <f>SUM(D316,D319,D325,D333,D338,D348,D351)</f>
        <v>15218763</v>
      </c>
      <c r="E315" s="270">
        <f>SUM(E316,E319,E325,E333,E338,E348,E351)</f>
        <v>15211026.01</v>
      </c>
      <c r="F315" s="270">
        <f>SUM(F316,F319,F325,F333,F338,F348,F351)</f>
        <v>8471167.1100000013</v>
      </c>
      <c r="G315" s="270">
        <f>SUM(G316,G319,G325,G333,G338,G348,G351)</f>
        <v>15688788.33</v>
      </c>
      <c r="H315" s="88"/>
    </row>
    <row r="316" spans="1:8" hidden="1" x14ac:dyDescent="0.2">
      <c r="A316" s="254">
        <v>3341</v>
      </c>
      <c r="B316" s="254" t="s">
        <v>336</v>
      </c>
      <c r="C316" s="140">
        <f>SUM(C317:C318)</f>
        <v>150000</v>
      </c>
      <c r="D316" s="140">
        <f>SUM(D317:D318)</f>
        <v>150000</v>
      </c>
      <c r="E316" s="140">
        <f>SUM(E317:E318)</f>
        <v>150000</v>
      </c>
      <c r="F316" s="140">
        <f>SUM(F317:F318)</f>
        <v>12799.96</v>
      </c>
      <c r="G316" s="140">
        <f>SUM(G317:G318)</f>
        <v>150000</v>
      </c>
      <c r="H316" s="88"/>
    </row>
    <row r="317" spans="1:8" hidden="1" x14ac:dyDescent="0.2">
      <c r="A317" s="256" t="s">
        <v>337</v>
      </c>
      <c r="B317" s="155" t="s">
        <v>338</v>
      </c>
      <c r="C317" s="121">
        <v>150000</v>
      </c>
      <c r="D317" s="121">
        <v>146125</v>
      </c>
      <c r="E317" s="160">
        <v>146125</v>
      </c>
      <c r="F317" s="113">
        <v>8924.9599999999991</v>
      </c>
      <c r="G317" s="114">
        <v>145000</v>
      </c>
      <c r="H317" s="88"/>
    </row>
    <row r="318" spans="1:8" hidden="1" x14ac:dyDescent="0.2">
      <c r="A318" s="256" t="s">
        <v>339</v>
      </c>
      <c r="B318" s="155" t="s">
        <v>340</v>
      </c>
      <c r="C318" s="121">
        <v>0</v>
      </c>
      <c r="D318" s="121">
        <v>3875</v>
      </c>
      <c r="E318" s="160">
        <v>3875</v>
      </c>
      <c r="F318" s="113">
        <v>3875</v>
      </c>
      <c r="G318" s="114">
        <v>5000</v>
      </c>
      <c r="H318" s="88"/>
    </row>
    <row r="319" spans="1:8" hidden="1" x14ac:dyDescent="0.2">
      <c r="A319" s="139">
        <v>3421</v>
      </c>
      <c r="B319" s="144" t="s">
        <v>341</v>
      </c>
      <c r="C319" s="145">
        <f>SUM(C320:C324)</f>
        <v>830000</v>
      </c>
      <c r="D319" s="145">
        <f>SUM(D320:D324)</f>
        <v>830000</v>
      </c>
      <c r="E319" s="145">
        <f>SUM(E320:E324)</f>
        <v>830000</v>
      </c>
      <c r="F319" s="145">
        <f>SUM(F320:F324)</f>
        <v>315449.28000000003</v>
      </c>
      <c r="G319" s="145">
        <f>SUM(G320:G324)</f>
        <v>1880000</v>
      </c>
      <c r="H319" s="88"/>
    </row>
    <row r="320" spans="1:8" hidden="1" x14ac:dyDescent="0.2">
      <c r="A320" s="256" t="s">
        <v>342</v>
      </c>
      <c r="B320" s="271" t="s">
        <v>343</v>
      </c>
      <c r="C320" s="121">
        <v>10000</v>
      </c>
      <c r="D320" s="121">
        <v>10000</v>
      </c>
      <c r="E320" s="160">
        <v>10000</v>
      </c>
      <c r="F320" s="113">
        <v>0</v>
      </c>
      <c r="G320" s="123">
        <v>1000000</v>
      </c>
      <c r="H320" s="88"/>
    </row>
    <row r="321" spans="1:8" hidden="1" x14ac:dyDescent="0.2">
      <c r="A321" s="256" t="s">
        <v>344</v>
      </c>
      <c r="B321" s="271" t="s">
        <v>345</v>
      </c>
      <c r="C321" s="121">
        <v>100000</v>
      </c>
      <c r="D321" s="121">
        <v>100000</v>
      </c>
      <c r="E321" s="160">
        <v>100000</v>
      </c>
      <c r="F321" s="113">
        <v>0</v>
      </c>
      <c r="G321" s="123">
        <v>110000</v>
      </c>
      <c r="H321" s="88"/>
    </row>
    <row r="322" spans="1:8" hidden="1" x14ac:dyDescent="0.2">
      <c r="A322" s="268" t="s">
        <v>346</v>
      </c>
      <c r="B322" s="271" t="s">
        <v>347</v>
      </c>
      <c r="C322" s="121">
        <v>120000</v>
      </c>
      <c r="D322" s="121">
        <v>140000</v>
      </c>
      <c r="E322" s="160">
        <v>140000</v>
      </c>
      <c r="F322" s="113">
        <v>120456</v>
      </c>
      <c r="G322" s="123">
        <v>120000</v>
      </c>
      <c r="H322" s="88"/>
    </row>
    <row r="323" spans="1:8" hidden="1" x14ac:dyDescent="0.2">
      <c r="A323" s="256" t="s">
        <v>348</v>
      </c>
      <c r="B323" s="271" t="s">
        <v>349</v>
      </c>
      <c r="C323" s="121">
        <v>300000</v>
      </c>
      <c r="D323" s="121">
        <v>280000</v>
      </c>
      <c r="E323" s="160">
        <v>280000</v>
      </c>
      <c r="F323" s="113">
        <v>14520</v>
      </c>
      <c r="G323" s="123">
        <v>300000</v>
      </c>
      <c r="H323" s="88"/>
    </row>
    <row r="324" spans="1:8" hidden="1" x14ac:dyDescent="0.2">
      <c r="A324" s="256" t="s">
        <v>350</v>
      </c>
      <c r="B324" s="272" t="s">
        <v>351</v>
      </c>
      <c r="C324" s="121">
        <v>300000</v>
      </c>
      <c r="D324" s="121">
        <v>300000</v>
      </c>
      <c r="E324" s="160">
        <v>300000</v>
      </c>
      <c r="F324" s="113">
        <v>180473.28</v>
      </c>
      <c r="G324" s="114">
        <v>350000</v>
      </c>
      <c r="H324" s="88"/>
    </row>
    <row r="325" spans="1:8" hidden="1" x14ac:dyDescent="0.2">
      <c r="A325" s="144">
        <v>3613</v>
      </c>
      <c r="B325" s="144" t="s">
        <v>352</v>
      </c>
      <c r="C325" s="145">
        <f>SUM(C326:C332)</f>
        <v>895000</v>
      </c>
      <c r="D325" s="145">
        <f>SUM(D326:D332)</f>
        <v>995000</v>
      </c>
      <c r="E325" s="145">
        <f>SUM(E326:E332)</f>
        <v>995000</v>
      </c>
      <c r="F325" s="145">
        <f>SUM(F326:F332)</f>
        <v>349404.45</v>
      </c>
      <c r="G325" s="145">
        <f>SUM(G326:G332)</f>
        <v>995000</v>
      </c>
      <c r="H325" s="88"/>
    </row>
    <row r="326" spans="1:8" hidden="1" x14ac:dyDescent="0.2">
      <c r="A326" s="273" t="s">
        <v>353</v>
      </c>
      <c r="B326" s="274" t="s">
        <v>354</v>
      </c>
      <c r="C326" s="121">
        <v>5000</v>
      </c>
      <c r="D326" s="121">
        <v>5000</v>
      </c>
      <c r="E326" s="160">
        <v>5000</v>
      </c>
      <c r="F326" s="113">
        <v>0</v>
      </c>
      <c r="G326" s="114">
        <v>5000</v>
      </c>
      <c r="H326" s="88"/>
    </row>
    <row r="327" spans="1:8" hidden="1" x14ac:dyDescent="0.2">
      <c r="A327" s="273" t="s">
        <v>355</v>
      </c>
      <c r="B327" s="274" t="s">
        <v>356</v>
      </c>
      <c r="C327" s="121">
        <v>5000</v>
      </c>
      <c r="D327" s="121">
        <v>5000</v>
      </c>
      <c r="E327" s="160">
        <v>5000</v>
      </c>
      <c r="F327" s="113">
        <v>0</v>
      </c>
      <c r="G327" s="114">
        <v>5000</v>
      </c>
      <c r="H327" s="88"/>
    </row>
    <row r="328" spans="1:8" ht="12.75" hidden="1" customHeight="1" x14ac:dyDescent="0.2">
      <c r="A328" s="273" t="s">
        <v>357</v>
      </c>
      <c r="B328" s="128" t="s">
        <v>358</v>
      </c>
      <c r="C328" s="121">
        <v>175000</v>
      </c>
      <c r="D328" s="121">
        <v>175000</v>
      </c>
      <c r="E328" s="152">
        <v>175000</v>
      </c>
      <c r="F328" s="152">
        <v>33982.589999999997</v>
      </c>
      <c r="G328" s="114">
        <v>175000</v>
      </c>
      <c r="H328" s="88"/>
    </row>
    <row r="329" spans="1:8" hidden="1" x14ac:dyDescent="0.2">
      <c r="A329" s="273" t="s">
        <v>359</v>
      </c>
      <c r="B329" s="128" t="s">
        <v>360</v>
      </c>
      <c r="C329" s="121">
        <v>200000</v>
      </c>
      <c r="D329" s="121">
        <v>200000</v>
      </c>
      <c r="E329" s="114">
        <v>200000</v>
      </c>
      <c r="F329" s="114">
        <v>172638.85</v>
      </c>
      <c r="G329" s="114">
        <v>200000</v>
      </c>
      <c r="H329" s="88"/>
    </row>
    <row r="330" spans="1:8" hidden="1" x14ac:dyDescent="0.2">
      <c r="A330" s="273" t="s">
        <v>361</v>
      </c>
      <c r="B330" s="128" t="s">
        <v>362</v>
      </c>
      <c r="C330" s="121">
        <v>250000</v>
      </c>
      <c r="D330" s="121">
        <v>350000</v>
      </c>
      <c r="E330" s="114">
        <v>350000</v>
      </c>
      <c r="F330" s="114">
        <v>106312</v>
      </c>
      <c r="G330" s="114">
        <v>250000</v>
      </c>
      <c r="H330" s="88"/>
    </row>
    <row r="331" spans="1:8" hidden="1" x14ac:dyDescent="0.2">
      <c r="A331" s="273" t="s">
        <v>361</v>
      </c>
      <c r="B331" s="128" t="s">
        <v>363</v>
      </c>
      <c r="C331" s="121">
        <v>60000</v>
      </c>
      <c r="D331" s="121">
        <v>60000</v>
      </c>
      <c r="E331" s="114">
        <v>60000</v>
      </c>
      <c r="F331" s="114">
        <v>0</v>
      </c>
      <c r="G331" s="114">
        <v>60000</v>
      </c>
      <c r="H331" s="88"/>
    </row>
    <row r="332" spans="1:8" hidden="1" x14ac:dyDescent="0.2">
      <c r="A332" s="273" t="s">
        <v>364</v>
      </c>
      <c r="B332" s="128" t="s">
        <v>365</v>
      </c>
      <c r="C332" s="121">
        <v>200000</v>
      </c>
      <c r="D332" s="121">
        <v>200000</v>
      </c>
      <c r="E332" s="114">
        <v>200000</v>
      </c>
      <c r="F332" s="114">
        <v>36471.01</v>
      </c>
      <c r="G332" s="114">
        <v>300000</v>
      </c>
      <c r="H332" s="88"/>
    </row>
    <row r="333" spans="1:8" hidden="1" x14ac:dyDescent="0.2">
      <c r="A333" s="144">
        <v>3631</v>
      </c>
      <c r="B333" s="144" t="s">
        <v>366</v>
      </c>
      <c r="C333" s="145">
        <f>SUM(C334:C337)</f>
        <v>9150000</v>
      </c>
      <c r="D333" s="145">
        <f>SUM(D334:D337)</f>
        <v>9176125</v>
      </c>
      <c r="E333" s="145">
        <f>SUM(E334:E337)</f>
        <v>9176125</v>
      </c>
      <c r="F333" s="145">
        <f>SUM(F334:F337)</f>
        <v>6071448.4100000001</v>
      </c>
      <c r="G333" s="145">
        <f>SUM(G334:G337)</f>
        <v>9200000</v>
      </c>
      <c r="H333" s="88"/>
    </row>
    <row r="334" spans="1:8" hidden="1" x14ac:dyDescent="0.2">
      <c r="A334" s="273" t="s">
        <v>367</v>
      </c>
      <c r="B334" s="128" t="s">
        <v>368</v>
      </c>
      <c r="C334" s="121">
        <v>0</v>
      </c>
      <c r="D334" s="121">
        <v>100000</v>
      </c>
      <c r="E334" s="113">
        <v>100000</v>
      </c>
      <c r="F334" s="113">
        <v>16456</v>
      </c>
      <c r="G334" s="114">
        <v>600000</v>
      </c>
      <c r="H334" s="88"/>
    </row>
    <row r="335" spans="1:8" hidden="1" x14ac:dyDescent="0.2">
      <c r="A335" s="273" t="s">
        <v>369</v>
      </c>
      <c r="B335" s="128" t="s">
        <v>370</v>
      </c>
      <c r="C335" s="121">
        <v>700000</v>
      </c>
      <c r="D335" s="121">
        <v>600000</v>
      </c>
      <c r="E335" s="113">
        <v>600000</v>
      </c>
      <c r="F335" s="113">
        <v>8418.58</v>
      </c>
      <c r="G335" s="114">
        <v>100000</v>
      </c>
      <c r="H335" s="88"/>
    </row>
    <row r="336" spans="1:8" hidden="1" x14ac:dyDescent="0.2">
      <c r="A336" s="256" t="s">
        <v>371</v>
      </c>
      <c r="B336" s="128" t="s">
        <v>372</v>
      </c>
      <c r="C336" s="121">
        <v>3950000</v>
      </c>
      <c r="D336" s="121">
        <v>3976125</v>
      </c>
      <c r="E336" s="152">
        <v>3976125</v>
      </c>
      <c r="F336" s="152">
        <v>2666125</v>
      </c>
      <c r="G336" s="114">
        <v>4000000</v>
      </c>
      <c r="H336" s="88"/>
    </row>
    <row r="337" spans="1:8" hidden="1" x14ac:dyDescent="0.2">
      <c r="A337" s="256" t="s">
        <v>373</v>
      </c>
      <c r="B337" s="128" t="s">
        <v>374</v>
      </c>
      <c r="C337" s="121">
        <v>4500000</v>
      </c>
      <c r="D337" s="121">
        <v>4500000</v>
      </c>
      <c r="E337" s="117">
        <v>4500000</v>
      </c>
      <c r="F337" s="152">
        <v>3380448.83</v>
      </c>
      <c r="G337" s="114">
        <v>4500000</v>
      </c>
      <c r="H337" s="88"/>
    </row>
    <row r="338" spans="1:8" hidden="1" x14ac:dyDescent="0.2">
      <c r="A338" s="144">
        <v>3632</v>
      </c>
      <c r="B338" s="144" t="s">
        <v>375</v>
      </c>
      <c r="C338" s="145">
        <f>SUM(C339,C345:C347)</f>
        <v>4130000</v>
      </c>
      <c r="D338" s="145">
        <f>SUM(D339,D345:D347)</f>
        <v>3853961</v>
      </c>
      <c r="E338" s="145">
        <f>SUM(E339,E345:E347)</f>
        <v>3846112.6799999997</v>
      </c>
      <c r="F338" s="145">
        <f>SUM(F339,F345:F347)</f>
        <v>1713276.68</v>
      </c>
      <c r="G338" s="145">
        <f>SUM(G339,G345:G347)</f>
        <v>3250000</v>
      </c>
      <c r="H338" s="88"/>
    </row>
    <row r="339" spans="1:8" hidden="1" x14ac:dyDescent="0.2">
      <c r="A339" s="155"/>
      <c r="B339" s="155" t="s">
        <v>376</v>
      </c>
      <c r="C339" s="121">
        <f>SUM(C340:C344)</f>
        <v>1530000</v>
      </c>
      <c r="D339" s="121">
        <f>SUM(D340:D344)</f>
        <v>730000</v>
      </c>
      <c r="E339" s="121">
        <f>SUM(E340:E344)</f>
        <v>722151.67999999993</v>
      </c>
      <c r="F339" s="121">
        <f>SUM(F340:F344)</f>
        <v>351151.68</v>
      </c>
      <c r="G339" s="121">
        <f>SUM(G340:G344)</f>
        <v>650000</v>
      </c>
      <c r="H339" s="88"/>
    </row>
    <row r="340" spans="1:8" hidden="1" x14ac:dyDescent="0.2">
      <c r="A340" s="256" t="s">
        <v>377</v>
      </c>
      <c r="B340" s="128" t="s">
        <v>378</v>
      </c>
      <c r="C340" s="121">
        <v>371000</v>
      </c>
      <c r="D340" s="121">
        <v>371000</v>
      </c>
      <c r="E340" s="220">
        <v>371000</v>
      </c>
      <c r="F340" s="220">
        <v>0</v>
      </c>
      <c r="G340" s="114">
        <v>0</v>
      </c>
      <c r="H340" s="88"/>
    </row>
    <row r="341" spans="1:8" s="2" customFormat="1" hidden="1" x14ac:dyDescent="0.2">
      <c r="A341" s="256" t="s">
        <v>377</v>
      </c>
      <c r="B341" s="128" t="s">
        <v>379</v>
      </c>
      <c r="C341" s="121">
        <v>240000</v>
      </c>
      <c r="D341" s="121">
        <v>240000</v>
      </c>
      <c r="E341" s="121">
        <v>232571.68</v>
      </c>
      <c r="F341" s="275">
        <v>232571.68</v>
      </c>
      <c r="G341" s="114">
        <v>0</v>
      </c>
      <c r="H341" s="88"/>
    </row>
    <row r="342" spans="1:8" hidden="1" x14ac:dyDescent="0.2">
      <c r="A342" s="256" t="s">
        <v>377</v>
      </c>
      <c r="B342" s="128" t="s">
        <v>380</v>
      </c>
      <c r="C342" s="121">
        <v>119000</v>
      </c>
      <c r="D342" s="121">
        <v>119000</v>
      </c>
      <c r="E342" s="148">
        <v>118580</v>
      </c>
      <c r="F342" s="148">
        <v>118580</v>
      </c>
      <c r="G342" s="114">
        <v>0</v>
      </c>
      <c r="H342" s="88"/>
    </row>
    <row r="343" spans="1:8" hidden="1" x14ac:dyDescent="0.2">
      <c r="A343" s="256" t="s">
        <v>377</v>
      </c>
      <c r="B343" s="128" t="s">
        <v>381</v>
      </c>
      <c r="C343" s="121">
        <v>500000</v>
      </c>
      <c r="D343" s="121">
        <v>0</v>
      </c>
      <c r="E343" s="275">
        <v>0</v>
      </c>
      <c r="F343" s="275">
        <v>0</v>
      </c>
      <c r="G343" s="114">
        <v>0</v>
      </c>
      <c r="H343" s="88"/>
    </row>
    <row r="344" spans="1:8" hidden="1" x14ac:dyDescent="0.2">
      <c r="A344" s="256" t="s">
        <v>377</v>
      </c>
      <c r="B344" s="128" t="s">
        <v>382</v>
      </c>
      <c r="C344" s="121">
        <v>300000</v>
      </c>
      <c r="D344" s="121">
        <v>0</v>
      </c>
      <c r="E344" s="177">
        <v>0</v>
      </c>
      <c r="F344" s="177">
        <v>0</v>
      </c>
      <c r="G344" s="114">
        <v>650000</v>
      </c>
      <c r="H344" s="88"/>
    </row>
    <row r="345" spans="1:8" hidden="1" x14ac:dyDescent="0.2">
      <c r="A345" s="256" t="s">
        <v>383</v>
      </c>
      <c r="B345" s="128" t="s">
        <v>384</v>
      </c>
      <c r="C345" s="121">
        <v>2000000</v>
      </c>
      <c r="D345" s="121">
        <v>2523961</v>
      </c>
      <c r="E345" s="177">
        <v>2523961</v>
      </c>
      <c r="F345" s="177">
        <v>1362125</v>
      </c>
      <c r="G345" s="114">
        <v>2500000</v>
      </c>
      <c r="H345" s="88"/>
    </row>
    <row r="346" spans="1:8" s="98" customFormat="1" hidden="1" x14ac:dyDescent="0.2">
      <c r="A346" s="256" t="s">
        <v>385</v>
      </c>
      <c r="B346" s="128" t="s">
        <v>386</v>
      </c>
      <c r="C346" s="121">
        <v>500000</v>
      </c>
      <c r="D346" s="121">
        <v>500000</v>
      </c>
      <c r="E346" s="177">
        <v>500000</v>
      </c>
      <c r="F346" s="177">
        <v>0</v>
      </c>
      <c r="G346" s="123">
        <v>0</v>
      </c>
      <c r="H346" s="88"/>
    </row>
    <row r="347" spans="1:8" s="98" customFormat="1" hidden="1" x14ac:dyDescent="0.2">
      <c r="A347" s="256" t="s">
        <v>387</v>
      </c>
      <c r="B347" s="128" t="s">
        <v>388</v>
      </c>
      <c r="C347" s="121">
        <v>100000</v>
      </c>
      <c r="D347" s="121">
        <v>100000</v>
      </c>
      <c r="E347" s="177">
        <v>100000</v>
      </c>
      <c r="F347" s="177">
        <v>0</v>
      </c>
      <c r="G347" s="114">
        <v>100000</v>
      </c>
      <c r="H347" s="88"/>
    </row>
    <row r="348" spans="1:8" s="98" customFormat="1" hidden="1" x14ac:dyDescent="0.2">
      <c r="A348" s="144">
        <v>3639</v>
      </c>
      <c r="B348" s="144" t="s">
        <v>389</v>
      </c>
      <c r="C348" s="145">
        <f>SUM(C349:C350)</f>
        <v>13677</v>
      </c>
      <c r="D348" s="145">
        <f>SUM(D349:D350)</f>
        <v>13677</v>
      </c>
      <c r="E348" s="145">
        <f>SUM(E349:E350)</f>
        <v>13788.33</v>
      </c>
      <c r="F348" s="145">
        <f>SUM(F349:F350)</f>
        <v>8788.33</v>
      </c>
      <c r="G348" s="145">
        <f>SUM(G349:G350)</f>
        <v>13788.33</v>
      </c>
      <c r="H348" s="88"/>
    </row>
    <row r="349" spans="1:8" s="98" customFormat="1" hidden="1" x14ac:dyDescent="0.2">
      <c r="A349" s="256" t="s">
        <v>390</v>
      </c>
      <c r="B349" s="274" t="s">
        <v>391</v>
      </c>
      <c r="C349" s="121">
        <v>8677</v>
      </c>
      <c r="D349" s="121">
        <v>8788.33</v>
      </c>
      <c r="E349" s="121">
        <v>8788.33</v>
      </c>
      <c r="F349" s="121">
        <v>8788.33</v>
      </c>
      <c r="G349" s="121">
        <v>8788.33</v>
      </c>
      <c r="H349" s="88"/>
    </row>
    <row r="350" spans="1:8" s="98" customFormat="1" hidden="1" x14ac:dyDescent="0.2">
      <c r="A350" s="273" t="s">
        <v>392</v>
      </c>
      <c r="B350" s="128" t="s">
        <v>393</v>
      </c>
      <c r="C350" s="121">
        <v>5000</v>
      </c>
      <c r="D350" s="121">
        <v>4888.67</v>
      </c>
      <c r="E350" s="275">
        <v>5000</v>
      </c>
      <c r="F350" s="275">
        <v>0</v>
      </c>
      <c r="G350" s="114">
        <v>5000</v>
      </c>
      <c r="H350" s="88"/>
    </row>
    <row r="351" spans="1:8" s="98" customFormat="1" hidden="1" x14ac:dyDescent="0.2">
      <c r="A351" s="144">
        <v>3699</v>
      </c>
      <c r="B351" s="144" t="s">
        <v>394</v>
      </c>
      <c r="C351" s="145">
        <f>SUM(C352)</f>
        <v>200000</v>
      </c>
      <c r="D351" s="145">
        <f>SUM(D352)</f>
        <v>200000</v>
      </c>
      <c r="E351" s="145">
        <f>SUM(E352)</f>
        <v>200000</v>
      </c>
      <c r="F351" s="145">
        <f>SUM(F352)</f>
        <v>0</v>
      </c>
      <c r="G351" s="145">
        <f>SUM(G352)</f>
        <v>200000</v>
      </c>
      <c r="H351" s="88"/>
    </row>
    <row r="352" spans="1:8" s="98" customFormat="1" hidden="1" x14ac:dyDescent="0.2">
      <c r="A352" s="256" t="s">
        <v>395</v>
      </c>
      <c r="B352" s="128" t="s">
        <v>396</v>
      </c>
      <c r="C352" s="121">
        <v>200000</v>
      </c>
      <c r="D352" s="121">
        <v>200000</v>
      </c>
      <c r="E352" s="177">
        <v>200000</v>
      </c>
      <c r="F352" s="177">
        <v>0</v>
      </c>
      <c r="G352" s="114">
        <v>200000</v>
      </c>
      <c r="H352" s="88"/>
    </row>
    <row r="353" spans="1:8" s="98" customFormat="1" hidden="1" x14ac:dyDescent="0.2">
      <c r="A353" s="268"/>
      <c r="B353" s="276"/>
      <c r="C353" s="200"/>
      <c r="D353" s="200"/>
      <c r="E353" s="184"/>
      <c r="F353" s="184"/>
      <c r="G353" s="266"/>
      <c r="H353" s="88"/>
    </row>
    <row r="354" spans="1:8" s="98" customFormat="1" ht="20.25" hidden="1" x14ac:dyDescent="0.2">
      <c r="A354" s="277"/>
      <c r="B354" s="278" t="s">
        <v>397</v>
      </c>
      <c r="C354" s="279">
        <f>SUM(C355+C370+C432+C445+C476)</f>
        <v>79701343</v>
      </c>
      <c r="D354" s="280">
        <f>SUM(D355+D370+D432+D445+D476)</f>
        <v>69000343</v>
      </c>
      <c r="E354" s="281">
        <f>SUM(E355+E370+E432+E445+E476)</f>
        <v>1689192.23</v>
      </c>
      <c r="F354" s="279">
        <f>SUM(F355+F370+F432+F445+F476)</f>
        <v>5818563.0100000007</v>
      </c>
      <c r="G354" s="282">
        <f>SUM(G355+G370+G432+G445+G476)</f>
        <v>106524000</v>
      </c>
      <c r="H354" s="88"/>
    </row>
    <row r="355" spans="1:8" s="98" customFormat="1" ht="15.75" hidden="1" x14ac:dyDescent="0.2">
      <c r="A355" s="283"/>
      <c r="B355" s="284" t="s">
        <v>398</v>
      </c>
      <c r="C355" s="285">
        <f>SUM(C356+C361+C368)</f>
        <v>1000000</v>
      </c>
      <c r="D355" s="286">
        <f>SUM(D356+D361+D368)</f>
        <v>1004840</v>
      </c>
      <c r="E355" s="287">
        <f>SUM(E356+E361+E368)</f>
        <v>374258.72</v>
      </c>
      <c r="F355" s="288">
        <f>SUM(F356+F361+F368)</f>
        <v>380258.72</v>
      </c>
      <c r="G355" s="287">
        <f>SUM(G356+G361+G368)</f>
        <v>5530000</v>
      </c>
      <c r="H355" s="88"/>
    </row>
    <row r="356" spans="1:8" s="98" customFormat="1" hidden="1" x14ac:dyDescent="0.2">
      <c r="A356" s="289">
        <v>2310</v>
      </c>
      <c r="B356" s="290" t="s">
        <v>260</v>
      </c>
      <c r="C356" s="291">
        <f>SUM(C357:C360)</f>
        <v>150000</v>
      </c>
      <c r="D356" s="292">
        <f>SUM(D357:D360)</f>
        <v>150000</v>
      </c>
      <c r="E356" s="173">
        <f>SUM(E357:E360)</f>
        <v>0</v>
      </c>
      <c r="F356" s="293">
        <f>SUM(F357:F360)</f>
        <v>6000</v>
      </c>
      <c r="G356" s="173">
        <f>SUM(G357:G360)</f>
        <v>4950000</v>
      </c>
      <c r="H356" s="88"/>
    </row>
    <row r="357" spans="1:8" s="98" customFormat="1" hidden="1" x14ac:dyDescent="0.2">
      <c r="A357" s="294" t="s">
        <v>399</v>
      </c>
      <c r="B357" s="159" t="s">
        <v>400</v>
      </c>
      <c r="C357" s="295">
        <v>0</v>
      </c>
      <c r="D357" s="296">
        <v>8420</v>
      </c>
      <c r="E357" s="113"/>
      <c r="F357" s="297">
        <v>6000</v>
      </c>
      <c r="G357" s="113">
        <v>4800000</v>
      </c>
      <c r="H357" s="88"/>
    </row>
    <row r="358" spans="1:8" s="98" customFormat="1" hidden="1" x14ac:dyDescent="0.2">
      <c r="A358" s="294" t="s">
        <v>401</v>
      </c>
      <c r="B358" s="159" t="s">
        <v>402</v>
      </c>
      <c r="C358" s="295">
        <v>50000</v>
      </c>
      <c r="D358" s="296">
        <v>50000</v>
      </c>
      <c r="E358" s="113"/>
      <c r="F358" s="297">
        <v>0</v>
      </c>
      <c r="G358" s="113">
        <v>0</v>
      </c>
      <c r="H358" s="88"/>
    </row>
    <row r="359" spans="1:8" s="98" customFormat="1" hidden="1" x14ac:dyDescent="0.2">
      <c r="A359" s="294" t="s">
        <v>403</v>
      </c>
      <c r="B359" s="159" t="s">
        <v>404</v>
      </c>
      <c r="C359" s="295">
        <v>50000</v>
      </c>
      <c r="D359" s="296">
        <v>50000</v>
      </c>
      <c r="E359" s="113"/>
      <c r="F359" s="297">
        <v>0</v>
      </c>
      <c r="G359" s="113">
        <v>100000</v>
      </c>
      <c r="H359" s="88"/>
    </row>
    <row r="360" spans="1:8" s="98" customFormat="1" hidden="1" x14ac:dyDescent="0.2">
      <c r="A360" s="294" t="s">
        <v>405</v>
      </c>
      <c r="B360" s="159" t="s">
        <v>406</v>
      </c>
      <c r="C360" s="295">
        <v>50000</v>
      </c>
      <c r="D360" s="298">
        <v>41580</v>
      </c>
      <c r="E360" s="113"/>
      <c r="F360" s="299">
        <v>0</v>
      </c>
      <c r="G360" s="113">
        <v>50000</v>
      </c>
      <c r="H360" s="88"/>
    </row>
    <row r="361" spans="1:8" s="98" customFormat="1" hidden="1" x14ac:dyDescent="0.2">
      <c r="A361" s="106">
        <v>2321</v>
      </c>
      <c r="B361" s="107" t="s">
        <v>267</v>
      </c>
      <c r="C361" s="300">
        <f>SUM(C362:C366)</f>
        <v>850000</v>
      </c>
      <c r="D361" s="301">
        <f>SUM(D362:D366)</f>
        <v>850000</v>
      </c>
      <c r="E361" s="109">
        <f>SUM(E362:E366)</f>
        <v>369418.72</v>
      </c>
      <c r="F361" s="302">
        <f>SUM(F362:F366)</f>
        <v>369418.72</v>
      </c>
      <c r="G361" s="105">
        <f>SUM(G362:G367)</f>
        <v>580000</v>
      </c>
      <c r="H361" s="88"/>
    </row>
    <row r="362" spans="1:8" s="98" customFormat="1" hidden="1" x14ac:dyDescent="0.2">
      <c r="A362" s="294" t="s">
        <v>407</v>
      </c>
      <c r="B362" s="159" t="s">
        <v>408</v>
      </c>
      <c r="C362" s="303">
        <v>400000</v>
      </c>
      <c r="D362" s="304">
        <v>400000</v>
      </c>
      <c r="E362" s="113">
        <v>369418.72</v>
      </c>
      <c r="F362" s="305">
        <v>369418.72</v>
      </c>
      <c r="G362" s="113">
        <v>0</v>
      </c>
      <c r="H362" s="88"/>
    </row>
    <row r="363" spans="1:8" s="98" customFormat="1" hidden="1" x14ac:dyDescent="0.2">
      <c r="A363" s="294" t="s">
        <v>409</v>
      </c>
      <c r="B363" s="306" t="s">
        <v>410</v>
      </c>
      <c r="C363" s="295">
        <v>300000</v>
      </c>
      <c r="D363" s="304">
        <v>300000</v>
      </c>
      <c r="E363" s="114">
        <v>0</v>
      </c>
      <c r="F363" s="305">
        <v>0</v>
      </c>
      <c r="G363" s="113">
        <v>0</v>
      </c>
      <c r="H363" s="88"/>
    </row>
    <row r="364" spans="1:8" s="98" customFormat="1" hidden="1" x14ac:dyDescent="0.2">
      <c r="A364" s="294" t="s">
        <v>411</v>
      </c>
      <c r="B364" s="159" t="s">
        <v>412</v>
      </c>
      <c r="C364" s="303">
        <v>0</v>
      </c>
      <c r="D364" s="304">
        <v>0</v>
      </c>
      <c r="E364" s="113">
        <v>0</v>
      </c>
      <c r="F364" s="305">
        <v>0</v>
      </c>
      <c r="G364" s="113">
        <v>30000</v>
      </c>
      <c r="H364" s="88"/>
    </row>
    <row r="365" spans="1:8" s="98" customFormat="1" hidden="1" x14ac:dyDescent="0.2">
      <c r="A365" s="294" t="s">
        <v>413</v>
      </c>
      <c r="B365" s="159" t="s">
        <v>414</v>
      </c>
      <c r="C365" s="303">
        <v>100000</v>
      </c>
      <c r="D365" s="304">
        <v>100000</v>
      </c>
      <c r="E365" s="113"/>
      <c r="F365" s="305">
        <v>0</v>
      </c>
      <c r="G365" s="113">
        <v>400000</v>
      </c>
      <c r="H365" s="88"/>
    </row>
    <row r="366" spans="1:8" s="98" customFormat="1" hidden="1" x14ac:dyDescent="0.2">
      <c r="A366" s="294" t="s">
        <v>415</v>
      </c>
      <c r="B366" s="159" t="s">
        <v>416</v>
      </c>
      <c r="C366" s="303">
        <v>50000</v>
      </c>
      <c r="D366" s="304">
        <v>50000</v>
      </c>
      <c r="E366" s="113"/>
      <c r="F366" s="305">
        <v>0</v>
      </c>
      <c r="G366" s="114">
        <v>50000</v>
      </c>
      <c r="H366" s="88"/>
    </row>
    <row r="367" spans="1:8" s="98" customFormat="1" hidden="1" x14ac:dyDescent="0.2">
      <c r="A367" s="294" t="s">
        <v>417</v>
      </c>
      <c r="B367" s="159" t="s">
        <v>418</v>
      </c>
      <c r="C367" s="303">
        <v>0</v>
      </c>
      <c r="D367" s="304">
        <v>0</v>
      </c>
      <c r="E367" s="113">
        <v>0</v>
      </c>
      <c r="F367" s="305">
        <v>0</v>
      </c>
      <c r="G367" s="113">
        <v>100000</v>
      </c>
      <c r="H367" s="88"/>
    </row>
    <row r="368" spans="1:8" hidden="1" x14ac:dyDescent="0.2">
      <c r="A368" s="106">
        <v>2333</v>
      </c>
      <c r="B368" s="107" t="s">
        <v>419</v>
      </c>
      <c r="C368" s="300">
        <f>SUM(C369)</f>
        <v>0</v>
      </c>
      <c r="D368" s="301">
        <f>SUM(D369)</f>
        <v>4840</v>
      </c>
      <c r="E368" s="109">
        <f>SUM(E369)</f>
        <v>4840</v>
      </c>
      <c r="F368" s="302">
        <f>SUM(F369)</f>
        <v>4840</v>
      </c>
      <c r="G368" s="109">
        <f>SUM(G369)</f>
        <v>0</v>
      </c>
      <c r="H368" s="88"/>
    </row>
    <row r="369" spans="1:8" hidden="1" x14ac:dyDescent="0.2">
      <c r="A369" s="307" t="s">
        <v>420</v>
      </c>
      <c r="B369" s="308" t="s">
        <v>421</v>
      </c>
      <c r="C369" s="309">
        <v>0</v>
      </c>
      <c r="D369" s="310">
        <v>4840</v>
      </c>
      <c r="E369" s="143">
        <v>4840</v>
      </c>
      <c r="F369" s="311">
        <v>4840</v>
      </c>
      <c r="G369" s="143">
        <v>0</v>
      </c>
      <c r="H369" s="88"/>
    </row>
    <row r="370" spans="1:8" ht="15.75" hidden="1" x14ac:dyDescent="0.25">
      <c r="A370" s="312"/>
      <c r="B370" s="64" t="s">
        <v>422</v>
      </c>
      <c r="C370" s="285">
        <f>SUM(C371+C392+C427)</f>
        <v>28360000</v>
      </c>
      <c r="D370" s="286">
        <f>SUM(D371+D392+D427)</f>
        <v>26188160</v>
      </c>
      <c r="E370" s="287">
        <f>SUM(E371+E392+E427)</f>
        <v>850886.86</v>
      </c>
      <c r="F370" s="288">
        <f>SUM(F371+F392+F427)</f>
        <v>3217923.7600000002</v>
      </c>
      <c r="G370" s="287">
        <f>SUM(G371+G392+G427)</f>
        <v>41500500</v>
      </c>
      <c r="H370" s="88"/>
    </row>
    <row r="371" spans="1:8" hidden="1" x14ac:dyDescent="0.2">
      <c r="A371" s="289">
        <v>2212</v>
      </c>
      <c r="B371" s="290" t="s">
        <v>423</v>
      </c>
      <c r="C371" s="291">
        <f>SUM(C372:C387)</f>
        <v>8970000</v>
      </c>
      <c r="D371" s="292">
        <f>SUM(D372:D387)</f>
        <v>6790000</v>
      </c>
      <c r="E371" s="173">
        <f>SUM(E372:E387)</f>
        <v>104410.5</v>
      </c>
      <c r="F371" s="293">
        <f>SUM(F372:F387)</f>
        <v>2229037.41</v>
      </c>
      <c r="G371" s="173">
        <f>SUM(G372:G391)</f>
        <v>14360000</v>
      </c>
      <c r="H371" s="88"/>
    </row>
    <row r="372" spans="1:8" hidden="1" x14ac:dyDescent="0.2">
      <c r="A372" s="294" t="s">
        <v>293</v>
      </c>
      <c r="B372" s="159" t="s">
        <v>424</v>
      </c>
      <c r="C372" s="295">
        <v>200000</v>
      </c>
      <c r="D372" s="296">
        <v>200000</v>
      </c>
      <c r="E372" s="113"/>
      <c r="F372" s="297">
        <v>68480</v>
      </c>
      <c r="G372" s="113">
        <v>250000</v>
      </c>
      <c r="H372" s="88"/>
    </row>
    <row r="373" spans="1:8" hidden="1" x14ac:dyDescent="0.2">
      <c r="A373" s="294" t="s">
        <v>291</v>
      </c>
      <c r="B373" s="159" t="s">
        <v>425</v>
      </c>
      <c r="C373" s="295">
        <v>6000000</v>
      </c>
      <c r="D373" s="296">
        <v>4470000</v>
      </c>
      <c r="E373" s="113"/>
      <c r="F373" s="297">
        <v>1948524.91</v>
      </c>
      <c r="G373" s="113">
        <v>5000000</v>
      </c>
      <c r="H373" s="88"/>
    </row>
    <row r="374" spans="1:8" hidden="1" x14ac:dyDescent="0.2">
      <c r="A374" s="294" t="s">
        <v>426</v>
      </c>
      <c r="B374" s="159" t="s">
        <v>427</v>
      </c>
      <c r="C374" s="295">
        <v>600000</v>
      </c>
      <c r="D374" s="296">
        <v>600000</v>
      </c>
      <c r="E374" s="113"/>
      <c r="F374" s="297">
        <v>0</v>
      </c>
      <c r="G374" s="113">
        <v>700000</v>
      </c>
      <c r="H374" s="88"/>
    </row>
    <row r="375" spans="1:8" hidden="1" x14ac:dyDescent="0.2">
      <c r="A375" s="294" t="s">
        <v>428</v>
      </c>
      <c r="B375" s="159" t="s">
        <v>429</v>
      </c>
      <c r="C375" s="295">
        <v>150000</v>
      </c>
      <c r="D375" s="296">
        <v>150000</v>
      </c>
      <c r="E375" s="113"/>
      <c r="F375" s="297">
        <v>0</v>
      </c>
      <c r="G375" s="113">
        <v>2300000</v>
      </c>
      <c r="H375" s="88"/>
    </row>
    <row r="376" spans="1:8" hidden="1" x14ac:dyDescent="0.2">
      <c r="A376" s="294" t="s">
        <v>430</v>
      </c>
      <c r="B376" s="159" t="s">
        <v>431</v>
      </c>
      <c r="C376" s="295">
        <v>50000</v>
      </c>
      <c r="D376" s="296">
        <v>48648</v>
      </c>
      <c r="E376" s="113">
        <v>48327</v>
      </c>
      <c r="F376" s="297">
        <v>48327</v>
      </c>
      <c r="G376" s="113">
        <v>0</v>
      </c>
      <c r="H376" s="88"/>
    </row>
    <row r="377" spans="1:8" hidden="1" x14ac:dyDescent="0.2">
      <c r="A377" s="294" t="s">
        <v>432</v>
      </c>
      <c r="B377" s="159" t="s">
        <v>433</v>
      </c>
      <c r="C377" s="295">
        <v>300000</v>
      </c>
      <c r="D377" s="296">
        <v>104000</v>
      </c>
      <c r="E377" s="113"/>
      <c r="F377" s="297">
        <v>0</v>
      </c>
      <c r="G377" s="113">
        <v>0</v>
      </c>
      <c r="H377" s="88"/>
    </row>
    <row r="378" spans="1:8" hidden="1" x14ac:dyDescent="0.2">
      <c r="A378" s="294" t="s">
        <v>434</v>
      </c>
      <c r="B378" s="159" t="s">
        <v>435</v>
      </c>
      <c r="C378" s="295">
        <v>50000</v>
      </c>
      <c r="D378" s="296">
        <v>110352</v>
      </c>
      <c r="E378" s="113"/>
      <c r="F378" s="297">
        <v>20449</v>
      </c>
      <c r="G378" s="113">
        <v>1500000</v>
      </c>
      <c r="H378" s="88"/>
    </row>
    <row r="379" spans="1:8" hidden="1" x14ac:dyDescent="0.2">
      <c r="A379" s="294" t="s">
        <v>436</v>
      </c>
      <c r="B379" s="159" t="s">
        <v>437</v>
      </c>
      <c r="C379" s="295">
        <v>200000</v>
      </c>
      <c r="D379" s="296">
        <v>200000</v>
      </c>
      <c r="E379" s="113"/>
      <c r="F379" s="297">
        <v>44770</v>
      </c>
      <c r="G379" s="113">
        <v>170000</v>
      </c>
      <c r="H379" s="88"/>
    </row>
    <row r="380" spans="1:8" hidden="1" x14ac:dyDescent="0.2">
      <c r="A380" s="294" t="s">
        <v>438</v>
      </c>
      <c r="B380" s="159" t="s">
        <v>439</v>
      </c>
      <c r="C380" s="295">
        <v>600000</v>
      </c>
      <c r="D380" s="296">
        <v>50000</v>
      </c>
      <c r="E380" s="113"/>
      <c r="F380" s="297">
        <v>0</v>
      </c>
      <c r="G380" s="113">
        <v>200000</v>
      </c>
      <c r="H380" s="88"/>
    </row>
    <row r="381" spans="1:8" hidden="1" x14ac:dyDescent="0.2">
      <c r="A381" s="294" t="s">
        <v>440</v>
      </c>
      <c r="B381" s="159" t="s">
        <v>441</v>
      </c>
      <c r="C381" s="295">
        <v>70000</v>
      </c>
      <c r="D381" s="296">
        <v>70000</v>
      </c>
      <c r="E381" s="113"/>
      <c r="F381" s="297">
        <v>29335</v>
      </c>
      <c r="G381" s="113">
        <v>0</v>
      </c>
      <c r="H381" s="88"/>
    </row>
    <row r="382" spans="1:8" hidden="1" x14ac:dyDescent="0.2">
      <c r="A382" s="294" t="s">
        <v>442</v>
      </c>
      <c r="B382" s="159" t="s">
        <v>443</v>
      </c>
      <c r="C382" s="295">
        <v>150000</v>
      </c>
      <c r="D382" s="296">
        <v>150000</v>
      </c>
      <c r="E382" s="113"/>
      <c r="F382" s="297">
        <v>13068</v>
      </c>
      <c r="G382" s="113">
        <v>1400000</v>
      </c>
      <c r="H382" s="88"/>
    </row>
    <row r="383" spans="1:8" hidden="1" x14ac:dyDescent="0.2">
      <c r="A383" s="294" t="s">
        <v>444</v>
      </c>
      <c r="B383" s="159" t="s">
        <v>445</v>
      </c>
      <c r="C383" s="295">
        <v>0</v>
      </c>
      <c r="D383" s="296">
        <v>80000</v>
      </c>
      <c r="E383" s="113" t="s">
        <v>446</v>
      </c>
      <c r="F383" s="297">
        <v>0</v>
      </c>
      <c r="G383" s="113">
        <f>350000+300000</f>
        <v>650000</v>
      </c>
      <c r="H383" s="88"/>
    </row>
    <row r="384" spans="1:8" hidden="1" x14ac:dyDescent="0.2">
      <c r="A384" s="294" t="s">
        <v>447</v>
      </c>
      <c r="B384" s="159" t="s">
        <v>448</v>
      </c>
      <c r="C384" s="295">
        <v>0</v>
      </c>
      <c r="D384" s="296">
        <v>57000</v>
      </c>
      <c r="E384" s="113">
        <v>56083.5</v>
      </c>
      <c r="F384" s="297">
        <v>56083.5</v>
      </c>
      <c r="G384" s="113">
        <v>650000</v>
      </c>
      <c r="H384" s="88"/>
    </row>
    <row r="385" spans="1:8" hidden="1" x14ac:dyDescent="0.2">
      <c r="A385" s="294" t="s">
        <v>449</v>
      </c>
      <c r="B385" s="159" t="s">
        <v>450</v>
      </c>
      <c r="C385" s="295">
        <v>0</v>
      </c>
      <c r="D385" s="296">
        <v>0</v>
      </c>
      <c r="E385" s="113">
        <v>0</v>
      </c>
      <c r="F385" s="297">
        <v>0</v>
      </c>
      <c r="G385" s="113">
        <v>90000</v>
      </c>
      <c r="H385" s="88"/>
    </row>
    <row r="386" spans="1:8" hidden="1" x14ac:dyDescent="0.2">
      <c r="A386" s="294" t="s">
        <v>451</v>
      </c>
      <c r="B386" s="159" t="s">
        <v>452</v>
      </c>
      <c r="C386" s="295">
        <v>100000</v>
      </c>
      <c r="D386" s="296">
        <v>100000</v>
      </c>
      <c r="E386" s="113"/>
      <c r="F386" s="297">
        <v>0</v>
      </c>
      <c r="G386" s="113">
        <v>350000</v>
      </c>
      <c r="H386" s="88"/>
    </row>
    <row r="387" spans="1:8" hidden="1" x14ac:dyDescent="0.2">
      <c r="A387" s="294" t="s">
        <v>453</v>
      </c>
      <c r="B387" s="159" t="s">
        <v>454</v>
      </c>
      <c r="C387" s="295">
        <v>500000</v>
      </c>
      <c r="D387" s="296">
        <v>400000</v>
      </c>
      <c r="E387" s="113"/>
      <c r="F387" s="297">
        <v>0</v>
      </c>
      <c r="G387" s="113">
        <v>500000</v>
      </c>
      <c r="H387" s="88"/>
    </row>
    <row r="388" spans="1:8" hidden="1" x14ac:dyDescent="0.2">
      <c r="A388" s="294" t="s">
        <v>455</v>
      </c>
      <c r="B388" s="159" t="s">
        <v>456</v>
      </c>
      <c r="C388" s="295">
        <v>0</v>
      </c>
      <c r="D388" s="296">
        <v>0</v>
      </c>
      <c r="E388" s="113">
        <v>0</v>
      </c>
      <c r="F388" s="297">
        <v>0</v>
      </c>
      <c r="G388" s="113">
        <v>100000</v>
      </c>
      <c r="H388" s="88"/>
    </row>
    <row r="389" spans="1:8" hidden="1" x14ac:dyDescent="0.2">
      <c r="A389" s="294" t="s">
        <v>455</v>
      </c>
      <c r="B389" s="159" t="s">
        <v>457</v>
      </c>
      <c r="C389" s="295">
        <v>0</v>
      </c>
      <c r="D389" s="296">
        <v>0</v>
      </c>
      <c r="E389" s="113">
        <v>0</v>
      </c>
      <c r="F389" s="297">
        <v>0</v>
      </c>
      <c r="G389" s="113">
        <v>400000</v>
      </c>
      <c r="H389" s="88"/>
    </row>
    <row r="390" spans="1:8" hidden="1" x14ac:dyDescent="0.2">
      <c r="A390" s="294" t="s">
        <v>455</v>
      </c>
      <c r="B390" s="159" t="s">
        <v>458</v>
      </c>
      <c r="C390" s="295">
        <v>0</v>
      </c>
      <c r="D390" s="296">
        <v>0</v>
      </c>
      <c r="E390" s="113">
        <v>0</v>
      </c>
      <c r="F390" s="297">
        <v>0</v>
      </c>
      <c r="G390" s="113">
        <v>0</v>
      </c>
      <c r="H390" s="88"/>
    </row>
    <row r="391" spans="1:8" hidden="1" x14ac:dyDescent="0.2">
      <c r="A391" s="294" t="s">
        <v>455</v>
      </c>
      <c r="B391" s="159" t="s">
        <v>459</v>
      </c>
      <c r="C391" s="295">
        <v>0</v>
      </c>
      <c r="D391" s="296">
        <v>0</v>
      </c>
      <c r="E391" s="113">
        <v>0</v>
      </c>
      <c r="F391" s="297">
        <v>0</v>
      </c>
      <c r="G391" s="113">
        <v>100000</v>
      </c>
      <c r="H391" s="88"/>
    </row>
    <row r="392" spans="1:8" hidden="1" x14ac:dyDescent="0.2">
      <c r="A392" s="106">
        <v>2219</v>
      </c>
      <c r="B392" s="107" t="s">
        <v>298</v>
      </c>
      <c r="C392" s="300">
        <f>SUM(C393:C426)</f>
        <v>19390000</v>
      </c>
      <c r="D392" s="313">
        <f>SUM(D393:D426)</f>
        <v>18843480</v>
      </c>
      <c r="E392" s="109">
        <f>SUM(E393:E426)</f>
        <v>206710.5</v>
      </c>
      <c r="F392" s="153">
        <f>SUM(F393:F426)</f>
        <v>724205.41999999993</v>
      </c>
      <c r="G392" s="109">
        <f>SUM(G393:G426)</f>
        <v>27080500</v>
      </c>
      <c r="H392" s="88"/>
    </row>
    <row r="393" spans="1:8" hidden="1" x14ac:dyDescent="0.2">
      <c r="A393" s="294" t="s">
        <v>299</v>
      </c>
      <c r="B393" s="159" t="s">
        <v>460</v>
      </c>
      <c r="C393" s="295">
        <v>200000</v>
      </c>
      <c r="D393" s="296">
        <v>200000</v>
      </c>
      <c r="E393" s="113"/>
      <c r="F393" s="297">
        <v>19688</v>
      </c>
      <c r="G393" s="113">
        <v>200000</v>
      </c>
      <c r="H393" s="88"/>
    </row>
    <row r="394" spans="1:8" hidden="1" x14ac:dyDescent="0.2">
      <c r="A394" s="294" t="s">
        <v>301</v>
      </c>
      <c r="B394" s="159" t="s">
        <v>461</v>
      </c>
      <c r="C394" s="295">
        <v>3000000</v>
      </c>
      <c r="D394" s="296">
        <v>3000000</v>
      </c>
      <c r="E394" s="113"/>
      <c r="F394" s="297">
        <v>0</v>
      </c>
      <c r="G394" s="113">
        <v>3000000</v>
      </c>
      <c r="H394" s="88"/>
    </row>
    <row r="395" spans="1:8" hidden="1" x14ac:dyDescent="0.2">
      <c r="A395" s="294" t="s">
        <v>462</v>
      </c>
      <c r="B395" s="159" t="s">
        <v>463</v>
      </c>
      <c r="C395" s="295">
        <v>100000</v>
      </c>
      <c r="D395" s="296">
        <v>100000</v>
      </c>
      <c r="E395" s="113" t="s">
        <v>446</v>
      </c>
      <c r="F395" s="297">
        <v>0</v>
      </c>
      <c r="G395" s="113">
        <v>0</v>
      </c>
      <c r="H395" s="88"/>
    </row>
    <row r="396" spans="1:8" hidden="1" x14ac:dyDescent="0.2">
      <c r="A396" s="294" t="s">
        <v>464</v>
      </c>
      <c r="B396" s="159" t="s">
        <v>465</v>
      </c>
      <c r="C396" s="295">
        <v>200000</v>
      </c>
      <c r="D396" s="296">
        <v>233530</v>
      </c>
      <c r="E396" s="113"/>
      <c r="F396" s="297">
        <v>0</v>
      </c>
      <c r="G396" s="113">
        <v>200000</v>
      </c>
      <c r="H396" s="88"/>
    </row>
    <row r="397" spans="1:8" hidden="1" x14ac:dyDescent="0.2">
      <c r="A397" s="294" t="s">
        <v>466</v>
      </c>
      <c r="B397" s="159" t="s">
        <v>467</v>
      </c>
      <c r="C397" s="295">
        <v>600000</v>
      </c>
      <c r="D397" s="296">
        <v>600000</v>
      </c>
      <c r="E397" s="113"/>
      <c r="F397" s="297">
        <v>9680</v>
      </c>
      <c r="G397" s="113">
        <v>8650000</v>
      </c>
      <c r="H397" s="88"/>
    </row>
    <row r="398" spans="1:8" hidden="1" x14ac:dyDescent="0.2">
      <c r="A398" s="294" t="s">
        <v>468</v>
      </c>
      <c r="B398" s="159" t="s">
        <v>469</v>
      </c>
      <c r="C398" s="295">
        <v>100000</v>
      </c>
      <c r="D398" s="296">
        <v>100000</v>
      </c>
      <c r="E398" s="113"/>
      <c r="F398" s="297">
        <v>0</v>
      </c>
      <c r="G398" s="113">
        <v>300000</v>
      </c>
      <c r="H398" s="88"/>
    </row>
    <row r="399" spans="1:8" hidden="1" x14ac:dyDescent="0.2">
      <c r="A399" s="294" t="s">
        <v>470</v>
      </c>
      <c r="B399" s="159" t="s">
        <v>471</v>
      </c>
      <c r="C399" s="295">
        <v>500000</v>
      </c>
      <c r="D399" s="296">
        <v>50000</v>
      </c>
      <c r="E399" s="113" t="s">
        <v>446</v>
      </c>
      <c r="F399" s="297">
        <v>0</v>
      </c>
      <c r="G399" s="113">
        <v>50000</v>
      </c>
      <c r="H399" s="88"/>
    </row>
    <row r="400" spans="1:8" hidden="1" x14ac:dyDescent="0.2">
      <c r="A400" s="294" t="s">
        <v>472</v>
      </c>
      <c r="B400" s="159" t="s">
        <v>473</v>
      </c>
      <c r="C400" s="295">
        <v>80000</v>
      </c>
      <c r="D400" s="296">
        <v>80000</v>
      </c>
      <c r="E400" s="113" t="s">
        <v>446</v>
      </c>
      <c r="F400" s="297">
        <v>0</v>
      </c>
      <c r="G400" s="113">
        <v>150000</v>
      </c>
      <c r="H400" s="88"/>
    </row>
    <row r="401" spans="1:8" hidden="1" x14ac:dyDescent="0.2">
      <c r="A401" s="294" t="s">
        <v>474</v>
      </c>
      <c r="B401" s="159" t="s">
        <v>475</v>
      </c>
      <c r="C401" s="295">
        <v>70000</v>
      </c>
      <c r="D401" s="296">
        <v>70000</v>
      </c>
      <c r="E401" s="113" t="s">
        <v>446</v>
      </c>
      <c r="F401" s="297">
        <v>3000</v>
      </c>
      <c r="G401" s="113">
        <v>0</v>
      </c>
      <c r="H401" s="88"/>
    </row>
    <row r="402" spans="1:8" hidden="1" x14ac:dyDescent="0.2">
      <c r="A402" s="294" t="s">
        <v>476</v>
      </c>
      <c r="B402" s="159" t="s">
        <v>477</v>
      </c>
      <c r="C402" s="295">
        <v>120000</v>
      </c>
      <c r="D402" s="296">
        <v>120000</v>
      </c>
      <c r="E402" s="113" t="s">
        <v>446</v>
      </c>
      <c r="F402" s="297">
        <v>0</v>
      </c>
      <c r="G402" s="113">
        <v>0</v>
      </c>
      <c r="H402" s="88"/>
    </row>
    <row r="403" spans="1:8" hidden="1" x14ac:dyDescent="0.2">
      <c r="A403" s="294" t="s">
        <v>478</v>
      </c>
      <c r="B403" s="159" t="s">
        <v>479</v>
      </c>
      <c r="C403" s="295">
        <v>500000</v>
      </c>
      <c r="D403" s="296">
        <v>500000</v>
      </c>
      <c r="E403" s="113" t="s">
        <v>446</v>
      </c>
      <c r="F403" s="297">
        <v>3100</v>
      </c>
      <c r="G403" s="113">
        <v>50000</v>
      </c>
      <c r="H403" s="88"/>
    </row>
    <row r="404" spans="1:8" hidden="1" x14ac:dyDescent="0.2">
      <c r="A404" s="294" t="s">
        <v>480</v>
      </c>
      <c r="B404" s="159" t="s">
        <v>481</v>
      </c>
      <c r="C404" s="295">
        <v>2050000</v>
      </c>
      <c r="D404" s="296">
        <v>2950000</v>
      </c>
      <c r="E404" s="113"/>
      <c r="F404" s="297">
        <v>296291.92</v>
      </c>
      <c r="G404" s="113">
        <v>0</v>
      </c>
      <c r="H404" s="88"/>
    </row>
    <row r="405" spans="1:8" hidden="1" x14ac:dyDescent="0.2">
      <c r="A405" s="294" t="s">
        <v>482</v>
      </c>
      <c r="B405" s="159" t="s">
        <v>483</v>
      </c>
      <c r="C405" s="295">
        <v>500000</v>
      </c>
      <c r="D405" s="296">
        <v>16950</v>
      </c>
      <c r="E405" s="113">
        <v>7000</v>
      </c>
      <c r="F405" s="297">
        <v>7000</v>
      </c>
      <c r="G405" s="113">
        <v>0</v>
      </c>
      <c r="H405" s="88"/>
    </row>
    <row r="406" spans="1:8" hidden="1" x14ac:dyDescent="0.2">
      <c r="A406" s="294" t="s">
        <v>484</v>
      </c>
      <c r="B406" s="159" t="s">
        <v>485</v>
      </c>
      <c r="C406" s="295">
        <v>500000</v>
      </c>
      <c r="D406" s="296">
        <v>0</v>
      </c>
      <c r="E406" s="113">
        <v>0</v>
      </c>
      <c r="F406" s="297">
        <v>0</v>
      </c>
      <c r="G406" s="113">
        <v>0</v>
      </c>
      <c r="H406" s="88"/>
    </row>
    <row r="407" spans="1:8" hidden="1" x14ac:dyDescent="0.2">
      <c r="A407" s="294" t="s">
        <v>486</v>
      </c>
      <c r="B407" s="159" t="s">
        <v>487</v>
      </c>
      <c r="C407" s="295">
        <v>0</v>
      </c>
      <c r="D407" s="296">
        <v>0</v>
      </c>
      <c r="E407" s="113">
        <v>0</v>
      </c>
      <c r="F407" s="297">
        <v>0</v>
      </c>
      <c r="G407" s="113">
        <v>1200000</v>
      </c>
      <c r="H407" s="88"/>
    </row>
    <row r="408" spans="1:8" hidden="1" x14ac:dyDescent="0.2">
      <c r="A408" s="294" t="s">
        <v>488</v>
      </c>
      <c r="B408" s="159" t="s">
        <v>489</v>
      </c>
      <c r="C408" s="295">
        <v>500000</v>
      </c>
      <c r="D408" s="296">
        <v>500000</v>
      </c>
      <c r="E408" s="113"/>
      <c r="F408" s="297">
        <v>169642</v>
      </c>
      <c r="G408" s="113">
        <v>160500</v>
      </c>
      <c r="H408" s="88"/>
    </row>
    <row r="409" spans="1:8" hidden="1" x14ac:dyDescent="0.2">
      <c r="A409" s="294" t="s">
        <v>490</v>
      </c>
      <c r="B409" s="159" t="s">
        <v>491</v>
      </c>
      <c r="C409" s="295">
        <v>10000000</v>
      </c>
      <c r="D409" s="296">
        <v>10000000</v>
      </c>
      <c r="E409" s="113"/>
      <c r="F409" s="297">
        <v>0</v>
      </c>
      <c r="G409" s="113">
        <v>8500000</v>
      </c>
      <c r="H409" s="88"/>
    </row>
    <row r="410" spans="1:8" hidden="1" x14ac:dyDescent="0.2">
      <c r="A410" s="294" t="s">
        <v>492</v>
      </c>
      <c r="B410" s="159" t="s">
        <v>493</v>
      </c>
      <c r="C410" s="295">
        <v>100000</v>
      </c>
      <c r="D410" s="296">
        <v>0</v>
      </c>
      <c r="E410" s="113">
        <v>0</v>
      </c>
      <c r="F410" s="297">
        <v>0</v>
      </c>
      <c r="G410" s="113">
        <v>100000</v>
      </c>
      <c r="H410" s="88"/>
    </row>
    <row r="411" spans="1:8" hidden="1" x14ac:dyDescent="0.2">
      <c r="A411" s="294" t="s">
        <v>494</v>
      </c>
      <c r="B411" s="159" t="s">
        <v>495</v>
      </c>
      <c r="C411" s="295">
        <v>0</v>
      </c>
      <c r="D411" s="296">
        <v>0</v>
      </c>
      <c r="E411" s="113">
        <v>0</v>
      </c>
      <c r="F411" s="297">
        <v>0</v>
      </c>
      <c r="G411" s="113">
        <v>550000</v>
      </c>
      <c r="H411" s="88"/>
    </row>
    <row r="412" spans="1:8" hidden="1" x14ac:dyDescent="0.2">
      <c r="A412" s="294" t="s">
        <v>496</v>
      </c>
      <c r="B412" s="159" t="s">
        <v>497</v>
      </c>
      <c r="C412" s="295">
        <v>0</v>
      </c>
      <c r="D412" s="296">
        <v>20000</v>
      </c>
      <c r="E412" s="113" t="s">
        <v>446</v>
      </c>
      <c r="F412" s="297">
        <v>16093</v>
      </c>
      <c r="G412" s="113">
        <v>1500000</v>
      </c>
      <c r="H412" s="88"/>
    </row>
    <row r="413" spans="1:8" hidden="1" x14ac:dyDescent="0.2">
      <c r="A413" s="294" t="s">
        <v>498</v>
      </c>
      <c r="B413" s="159" t="s">
        <v>499</v>
      </c>
      <c r="C413" s="295">
        <v>200000</v>
      </c>
      <c r="D413" s="296">
        <v>233000</v>
      </c>
      <c r="E413" s="113">
        <v>199710.5</v>
      </c>
      <c r="F413" s="297">
        <v>199710.5</v>
      </c>
      <c r="G413" s="113">
        <v>200000</v>
      </c>
      <c r="H413" s="88"/>
    </row>
    <row r="414" spans="1:8" hidden="1" x14ac:dyDescent="0.2">
      <c r="A414" s="294" t="s">
        <v>500</v>
      </c>
      <c r="B414" s="159" t="s">
        <v>501</v>
      </c>
      <c r="C414" s="295">
        <v>70000</v>
      </c>
      <c r="D414" s="296">
        <v>70000</v>
      </c>
      <c r="E414" s="113"/>
      <c r="F414" s="297">
        <v>0</v>
      </c>
      <c r="G414" s="113">
        <v>70000</v>
      </c>
      <c r="H414" s="88"/>
    </row>
    <row r="415" spans="1:8" hidden="1" x14ac:dyDescent="0.2">
      <c r="A415" s="294" t="s">
        <v>502</v>
      </c>
      <c r="B415" s="159" t="s">
        <v>503</v>
      </c>
      <c r="C415" s="295">
        <v>0</v>
      </c>
      <c r="D415" s="296">
        <v>0</v>
      </c>
      <c r="E415" s="113">
        <v>0</v>
      </c>
      <c r="F415" s="297">
        <v>0</v>
      </c>
      <c r="G415" s="113">
        <v>500000</v>
      </c>
      <c r="H415" s="88"/>
    </row>
    <row r="416" spans="1:8" hidden="1" x14ac:dyDescent="0.2">
      <c r="A416" s="294" t="s">
        <v>502</v>
      </c>
      <c r="B416" s="159" t="s">
        <v>504</v>
      </c>
      <c r="C416" s="295">
        <v>0</v>
      </c>
      <c r="D416" s="296">
        <v>0</v>
      </c>
      <c r="E416" s="113">
        <v>0</v>
      </c>
      <c r="F416" s="297">
        <v>0</v>
      </c>
      <c r="G416" s="113">
        <v>200000</v>
      </c>
      <c r="H416" s="88"/>
    </row>
    <row r="417" spans="1:8" hidden="1" x14ac:dyDescent="0.2">
      <c r="A417" s="294" t="s">
        <v>502</v>
      </c>
      <c r="B417" s="159" t="s">
        <v>505</v>
      </c>
      <c r="C417" s="295">
        <v>0</v>
      </c>
      <c r="D417" s="296">
        <v>0</v>
      </c>
      <c r="E417" s="113">
        <v>0</v>
      </c>
      <c r="F417" s="297">
        <v>0</v>
      </c>
      <c r="G417" s="113">
        <v>100000</v>
      </c>
      <c r="H417" s="88"/>
    </row>
    <row r="418" spans="1:8" hidden="1" x14ac:dyDescent="0.2">
      <c r="A418" s="294" t="s">
        <v>502</v>
      </c>
      <c r="B418" s="159" t="s">
        <v>506</v>
      </c>
      <c r="C418" s="295">
        <v>0</v>
      </c>
      <c r="D418" s="296">
        <v>0</v>
      </c>
      <c r="E418" s="113">
        <v>0</v>
      </c>
      <c r="F418" s="297">
        <v>0</v>
      </c>
      <c r="G418" s="113">
        <v>100000</v>
      </c>
      <c r="H418" s="88"/>
    </row>
    <row r="419" spans="1:8" hidden="1" x14ac:dyDescent="0.2">
      <c r="A419" s="294" t="s">
        <v>502</v>
      </c>
      <c r="B419" s="159" t="s">
        <v>507</v>
      </c>
      <c r="C419" s="295">
        <v>0</v>
      </c>
      <c r="D419" s="296">
        <v>0</v>
      </c>
      <c r="E419" s="113">
        <v>0</v>
      </c>
      <c r="F419" s="297">
        <v>0</v>
      </c>
      <c r="G419" s="113">
        <v>100000</v>
      </c>
      <c r="H419" s="88"/>
    </row>
    <row r="420" spans="1:8" hidden="1" x14ac:dyDescent="0.2">
      <c r="A420" s="294" t="s">
        <v>502</v>
      </c>
      <c r="B420" s="159" t="s">
        <v>508</v>
      </c>
      <c r="C420" s="295">
        <v>0</v>
      </c>
      <c r="D420" s="296">
        <v>0</v>
      </c>
      <c r="E420" s="113">
        <v>0</v>
      </c>
      <c r="F420" s="297">
        <v>0</v>
      </c>
      <c r="G420" s="113">
        <v>150000</v>
      </c>
      <c r="H420" s="88"/>
    </row>
    <row r="421" spans="1:8" hidden="1" x14ac:dyDescent="0.2">
      <c r="A421" s="294" t="s">
        <v>502</v>
      </c>
      <c r="B421" s="159" t="s">
        <v>509</v>
      </c>
      <c r="C421" s="295">
        <v>0</v>
      </c>
      <c r="D421" s="296">
        <v>0</v>
      </c>
      <c r="E421" s="113">
        <v>0</v>
      </c>
      <c r="F421" s="297">
        <v>0</v>
      </c>
      <c r="G421" s="113">
        <v>100000</v>
      </c>
      <c r="H421" s="88"/>
    </row>
    <row r="422" spans="1:8" hidden="1" x14ac:dyDescent="0.2">
      <c r="A422" s="294" t="s">
        <v>502</v>
      </c>
      <c r="B422" s="159" t="s">
        <v>510</v>
      </c>
      <c r="C422" s="295">
        <v>0</v>
      </c>
      <c r="D422" s="296">
        <v>0</v>
      </c>
      <c r="E422" s="113">
        <v>0</v>
      </c>
      <c r="F422" s="297">
        <v>0</v>
      </c>
      <c r="G422" s="113">
        <v>100000</v>
      </c>
      <c r="H422" s="32"/>
    </row>
    <row r="423" spans="1:8" hidden="1" x14ac:dyDescent="0.2">
      <c r="A423" s="294" t="s">
        <v>502</v>
      </c>
      <c r="B423" s="159" t="s">
        <v>511</v>
      </c>
      <c r="C423" s="295">
        <v>0</v>
      </c>
      <c r="D423" s="296">
        <v>0</v>
      </c>
      <c r="E423" s="113">
        <v>0</v>
      </c>
      <c r="F423" s="297">
        <v>0</v>
      </c>
      <c r="G423" s="113">
        <v>150000</v>
      </c>
      <c r="H423" s="88"/>
    </row>
    <row r="424" spans="1:8" hidden="1" x14ac:dyDescent="0.2">
      <c r="A424" s="294" t="s">
        <v>502</v>
      </c>
      <c r="B424" s="159" t="s">
        <v>512</v>
      </c>
      <c r="C424" s="295">
        <v>0</v>
      </c>
      <c r="D424" s="296">
        <v>0</v>
      </c>
      <c r="E424" s="113">
        <v>0</v>
      </c>
      <c r="F424" s="297">
        <v>0</v>
      </c>
      <c r="G424" s="113">
        <v>700000</v>
      </c>
      <c r="H424" s="88"/>
    </row>
    <row r="425" spans="1:8" hidden="1" x14ac:dyDescent="0.2">
      <c r="A425" s="294" t="s">
        <v>502</v>
      </c>
      <c r="B425" s="159" t="s">
        <v>513</v>
      </c>
      <c r="C425" s="295">
        <v>0</v>
      </c>
      <c r="D425" s="296">
        <v>0</v>
      </c>
      <c r="E425" s="113">
        <v>0</v>
      </c>
      <c r="F425" s="297">
        <v>0</v>
      </c>
      <c r="G425" s="113">
        <v>0</v>
      </c>
      <c r="H425" s="88"/>
    </row>
    <row r="426" spans="1:8" hidden="1" x14ac:dyDescent="0.2">
      <c r="A426" s="294" t="s">
        <v>502</v>
      </c>
      <c r="B426" s="159" t="s">
        <v>514</v>
      </c>
      <c r="C426" s="295">
        <v>0</v>
      </c>
      <c r="D426" s="296">
        <v>0</v>
      </c>
      <c r="E426" s="113">
        <v>0</v>
      </c>
      <c r="F426" s="297">
        <v>0</v>
      </c>
      <c r="G426" s="113">
        <v>0</v>
      </c>
      <c r="H426" s="88"/>
    </row>
    <row r="427" spans="1:8" hidden="1" x14ac:dyDescent="0.2">
      <c r="A427" s="106">
        <v>2221</v>
      </c>
      <c r="B427" s="107" t="s">
        <v>307</v>
      </c>
      <c r="C427" s="300">
        <f>SUM(C428:C430)</f>
        <v>0</v>
      </c>
      <c r="D427" s="313">
        <f>SUM(D428:D430)</f>
        <v>554680</v>
      </c>
      <c r="E427" s="109">
        <f>SUM(E428:E430)</f>
        <v>539765.86</v>
      </c>
      <c r="F427" s="153">
        <f>SUM(F428:F430)</f>
        <v>264680.93</v>
      </c>
      <c r="G427" s="109">
        <f>SUM(G428:G431)</f>
        <v>60000</v>
      </c>
      <c r="H427" s="88"/>
    </row>
    <row r="428" spans="1:8" hidden="1" x14ac:dyDescent="0.2">
      <c r="A428" s="294" t="s">
        <v>515</v>
      </c>
      <c r="B428" s="159" t="s">
        <v>516</v>
      </c>
      <c r="C428" s="295">
        <v>0</v>
      </c>
      <c r="D428" s="296">
        <v>4840</v>
      </c>
      <c r="E428" s="113">
        <v>4840</v>
      </c>
      <c r="F428" s="297">
        <v>4840</v>
      </c>
      <c r="G428" s="113">
        <v>0</v>
      </c>
      <c r="H428" s="88"/>
    </row>
    <row r="429" spans="1:8" hidden="1" x14ac:dyDescent="0.2">
      <c r="A429" s="294" t="s">
        <v>517</v>
      </c>
      <c r="B429" s="159" t="s">
        <v>518</v>
      </c>
      <c r="C429" s="295">
        <v>0</v>
      </c>
      <c r="D429" s="296">
        <v>4840</v>
      </c>
      <c r="E429" s="113">
        <v>4840</v>
      </c>
      <c r="F429" s="297">
        <v>4840</v>
      </c>
      <c r="G429" s="113">
        <v>0</v>
      </c>
      <c r="H429" s="88"/>
    </row>
    <row r="430" spans="1:8" hidden="1" x14ac:dyDescent="0.2">
      <c r="A430" s="294" t="s">
        <v>519</v>
      </c>
      <c r="B430" s="159" t="s">
        <v>520</v>
      </c>
      <c r="C430" s="295">
        <v>0</v>
      </c>
      <c r="D430" s="296">
        <v>545000</v>
      </c>
      <c r="E430" s="113">
        <v>530085.86</v>
      </c>
      <c r="F430" s="297">
        <v>255000.93</v>
      </c>
      <c r="G430" s="113">
        <v>0</v>
      </c>
      <c r="H430" s="88"/>
    </row>
    <row r="431" spans="1:8" hidden="1" x14ac:dyDescent="0.2">
      <c r="A431" s="307" t="s">
        <v>521</v>
      </c>
      <c r="B431" s="314" t="s">
        <v>522</v>
      </c>
      <c r="C431" s="315">
        <v>0</v>
      </c>
      <c r="D431" s="316">
        <v>0</v>
      </c>
      <c r="E431" s="241">
        <v>0</v>
      </c>
      <c r="F431" s="317">
        <v>0</v>
      </c>
      <c r="G431" s="241">
        <v>60000</v>
      </c>
      <c r="H431" s="88"/>
    </row>
    <row r="432" spans="1:8" ht="15.75" hidden="1" x14ac:dyDescent="0.25">
      <c r="A432" s="312"/>
      <c r="B432" s="64" t="s">
        <v>523</v>
      </c>
      <c r="C432" s="285">
        <f>SUM(C433+C435)</f>
        <v>10270000</v>
      </c>
      <c r="D432" s="286">
        <f>SUM(D433+D435)</f>
        <v>4360000</v>
      </c>
      <c r="E432" s="287">
        <f>SUM(E433+E435)</f>
        <v>1000</v>
      </c>
      <c r="F432" s="288">
        <f>SUM(F433+F435)</f>
        <v>1152211.8800000001</v>
      </c>
      <c r="G432" s="287">
        <f>SUM(G433+G435)</f>
        <v>6295000</v>
      </c>
      <c r="H432" s="88"/>
    </row>
    <row r="433" spans="1:8" hidden="1" x14ac:dyDescent="0.2">
      <c r="A433" s="289">
        <v>3613</v>
      </c>
      <c r="B433" s="290" t="s">
        <v>524</v>
      </c>
      <c r="C433" s="291">
        <f>C434</f>
        <v>900000</v>
      </c>
      <c r="D433" s="292">
        <f>D434</f>
        <v>400000</v>
      </c>
      <c r="E433" s="173">
        <f>E434</f>
        <v>0</v>
      </c>
      <c r="F433" s="293">
        <f>F434</f>
        <v>8000</v>
      </c>
      <c r="G433" s="173">
        <f>G434</f>
        <v>550000</v>
      </c>
      <c r="H433" s="88"/>
    </row>
    <row r="434" spans="1:8" hidden="1" x14ac:dyDescent="0.2">
      <c r="A434" s="294" t="s">
        <v>525</v>
      </c>
      <c r="B434" s="159" t="s">
        <v>526</v>
      </c>
      <c r="C434" s="295">
        <v>900000</v>
      </c>
      <c r="D434" s="296">
        <v>400000</v>
      </c>
      <c r="E434" s="113">
        <v>0</v>
      </c>
      <c r="F434" s="297">
        <v>8000</v>
      </c>
      <c r="G434" s="113">
        <v>550000</v>
      </c>
      <c r="H434" s="88"/>
    </row>
    <row r="435" spans="1:8" hidden="1" x14ac:dyDescent="0.2">
      <c r="A435" s="106">
        <v>3639</v>
      </c>
      <c r="B435" s="107" t="s">
        <v>527</v>
      </c>
      <c r="C435" s="300">
        <f>SUM(C436:C444)</f>
        <v>9370000</v>
      </c>
      <c r="D435" s="313">
        <f>SUM(D436:D444)</f>
        <v>3960000</v>
      </c>
      <c r="E435" s="109">
        <f>SUM(E436:E444)</f>
        <v>1000</v>
      </c>
      <c r="F435" s="153">
        <f>SUM(F436:F444)</f>
        <v>1144211.8800000001</v>
      </c>
      <c r="G435" s="109">
        <f>SUM(G436:G444)</f>
        <v>5745000</v>
      </c>
      <c r="H435" s="88"/>
    </row>
    <row r="436" spans="1:8" hidden="1" x14ac:dyDescent="0.2">
      <c r="A436" s="294" t="s">
        <v>528</v>
      </c>
      <c r="B436" s="159" t="s">
        <v>529</v>
      </c>
      <c r="C436" s="295">
        <v>260000</v>
      </c>
      <c r="D436" s="296">
        <v>0</v>
      </c>
      <c r="E436" s="113">
        <v>0</v>
      </c>
      <c r="F436" s="297">
        <v>0</v>
      </c>
      <c r="G436" s="113">
        <v>650000</v>
      </c>
      <c r="H436" s="88"/>
    </row>
    <row r="437" spans="1:8" hidden="1" x14ac:dyDescent="0.2">
      <c r="A437" s="294" t="s">
        <v>530</v>
      </c>
      <c r="B437" s="159" t="s">
        <v>531</v>
      </c>
      <c r="C437" s="295">
        <v>50000</v>
      </c>
      <c r="D437" s="296">
        <v>50000</v>
      </c>
      <c r="E437" s="113"/>
      <c r="F437" s="297">
        <v>12717.55</v>
      </c>
      <c r="G437" s="113">
        <v>20000</v>
      </c>
      <c r="H437" s="88"/>
    </row>
    <row r="438" spans="1:8" hidden="1" x14ac:dyDescent="0.2">
      <c r="A438" s="294" t="s">
        <v>532</v>
      </c>
      <c r="B438" s="159" t="s">
        <v>533</v>
      </c>
      <c r="C438" s="295">
        <v>0</v>
      </c>
      <c r="D438" s="296">
        <v>0</v>
      </c>
      <c r="E438" s="113">
        <v>0</v>
      </c>
      <c r="F438" s="297">
        <v>0</v>
      </c>
      <c r="G438" s="113">
        <v>20000</v>
      </c>
      <c r="H438" s="88"/>
    </row>
    <row r="439" spans="1:8" hidden="1" x14ac:dyDescent="0.2">
      <c r="A439" s="294" t="s">
        <v>534</v>
      </c>
      <c r="B439" s="159" t="s">
        <v>535</v>
      </c>
      <c r="C439" s="295">
        <v>0</v>
      </c>
      <c r="D439" s="296">
        <v>1000</v>
      </c>
      <c r="E439" s="113">
        <v>1000</v>
      </c>
      <c r="F439" s="297">
        <v>1000</v>
      </c>
      <c r="G439" s="113">
        <v>470000</v>
      </c>
      <c r="H439" s="88"/>
    </row>
    <row r="440" spans="1:8" ht="36" hidden="1" x14ac:dyDescent="0.2">
      <c r="A440" s="294" t="s">
        <v>536</v>
      </c>
      <c r="B440" s="318" t="s">
        <v>537</v>
      </c>
      <c r="C440" s="295">
        <v>8950000</v>
      </c>
      <c r="D440" s="296">
        <v>3756600</v>
      </c>
      <c r="E440" s="113" t="s">
        <v>446</v>
      </c>
      <c r="F440" s="297">
        <v>1129022.33</v>
      </c>
      <c r="G440" s="113">
        <v>4540000</v>
      </c>
      <c r="H440" s="88"/>
    </row>
    <row r="441" spans="1:8" hidden="1" x14ac:dyDescent="0.2">
      <c r="A441" s="294" t="s">
        <v>538</v>
      </c>
      <c r="B441" s="159" t="s">
        <v>539</v>
      </c>
      <c r="C441" s="295">
        <v>10000</v>
      </c>
      <c r="D441" s="296">
        <v>10000</v>
      </c>
      <c r="E441" s="113" t="s">
        <v>446</v>
      </c>
      <c r="F441" s="297">
        <v>1472</v>
      </c>
      <c r="G441" s="113">
        <v>45000</v>
      </c>
      <c r="H441" s="88"/>
    </row>
    <row r="442" spans="1:8" hidden="1" x14ac:dyDescent="0.2">
      <c r="A442" s="294" t="s">
        <v>540</v>
      </c>
      <c r="B442" s="159" t="s">
        <v>541</v>
      </c>
      <c r="C442" s="295">
        <v>50000</v>
      </c>
      <c r="D442" s="296">
        <v>0</v>
      </c>
      <c r="E442" s="113">
        <v>0</v>
      </c>
      <c r="F442" s="297">
        <v>0</v>
      </c>
      <c r="G442" s="113">
        <v>0</v>
      </c>
      <c r="H442" s="88"/>
    </row>
    <row r="443" spans="1:8" hidden="1" x14ac:dyDescent="0.2">
      <c r="A443" s="294" t="s">
        <v>542</v>
      </c>
      <c r="B443" s="159" t="s">
        <v>543</v>
      </c>
      <c r="C443" s="295">
        <v>50000</v>
      </c>
      <c r="D443" s="296">
        <v>50000</v>
      </c>
      <c r="E443" s="113" t="s">
        <v>446</v>
      </c>
      <c r="F443" s="297">
        <v>0</v>
      </c>
      <c r="G443" s="113">
        <v>0</v>
      </c>
      <c r="H443" s="88"/>
    </row>
    <row r="444" spans="1:8" hidden="1" x14ac:dyDescent="0.2">
      <c r="A444" s="307" t="s">
        <v>544</v>
      </c>
      <c r="B444" s="314" t="s">
        <v>545</v>
      </c>
      <c r="C444" s="315">
        <v>0</v>
      </c>
      <c r="D444" s="316">
        <v>92400</v>
      </c>
      <c r="E444" s="241"/>
      <c r="F444" s="317">
        <v>0</v>
      </c>
      <c r="G444" s="241">
        <v>0</v>
      </c>
      <c r="H444" s="88"/>
    </row>
    <row r="445" spans="1:8" ht="15.75" hidden="1" x14ac:dyDescent="0.25">
      <c r="A445" s="312"/>
      <c r="B445" s="64" t="s">
        <v>546</v>
      </c>
      <c r="C445" s="319">
        <f>SUM(C446,C449,C455,C469,C472)</f>
        <v>38897343</v>
      </c>
      <c r="D445" s="320">
        <f>SUM(D446,D449,D455,D469,D472)</f>
        <v>36797343</v>
      </c>
      <c r="E445" s="137">
        <f>SUM(E446,E449,E455,E469,E472)</f>
        <v>313046.65000000002</v>
      </c>
      <c r="F445" s="321">
        <f>SUM(F446,F449,F455,F469,F472)</f>
        <v>963168.65</v>
      </c>
      <c r="G445" s="137">
        <f>SUM(G446,G449,G455,G469,G472)</f>
        <v>52726000</v>
      </c>
      <c r="H445" s="88"/>
    </row>
    <row r="446" spans="1:8" hidden="1" x14ac:dyDescent="0.2">
      <c r="A446" s="289">
        <v>3412</v>
      </c>
      <c r="B446" s="290" t="s">
        <v>547</v>
      </c>
      <c r="C446" s="291">
        <f>SUM(C447:C448)</f>
        <v>0</v>
      </c>
      <c r="D446" s="292">
        <f>SUM(D447:D448)</f>
        <v>0</v>
      </c>
      <c r="E446" s="173">
        <f>SUM(E447:E448)</f>
        <v>0</v>
      </c>
      <c r="F446" s="293">
        <f>SUM(F447:F448)</f>
        <v>0</v>
      </c>
      <c r="G446" s="173">
        <f>SUM(G447:G448)</f>
        <v>2500000</v>
      </c>
      <c r="H446" s="88"/>
    </row>
    <row r="447" spans="1:8" hidden="1" x14ac:dyDescent="0.2">
      <c r="A447" s="294" t="s">
        <v>548</v>
      </c>
      <c r="B447" s="159" t="s">
        <v>549</v>
      </c>
      <c r="C447" s="295">
        <v>0</v>
      </c>
      <c r="D447" s="296">
        <v>0</v>
      </c>
      <c r="E447" s="113">
        <v>0</v>
      </c>
      <c r="F447" s="297">
        <v>0</v>
      </c>
      <c r="G447" s="113">
        <v>500000</v>
      </c>
      <c r="H447" s="88"/>
    </row>
    <row r="448" spans="1:8" hidden="1" x14ac:dyDescent="0.2">
      <c r="A448" s="294" t="s">
        <v>548</v>
      </c>
      <c r="B448" s="159" t="s">
        <v>550</v>
      </c>
      <c r="C448" s="295">
        <v>0</v>
      </c>
      <c r="D448" s="296">
        <v>0</v>
      </c>
      <c r="E448" s="113">
        <v>0</v>
      </c>
      <c r="F448" s="297">
        <v>0</v>
      </c>
      <c r="G448" s="113">
        <v>2000000</v>
      </c>
      <c r="H448" s="88"/>
    </row>
    <row r="449" spans="1:8" hidden="1" x14ac:dyDescent="0.2">
      <c r="A449" s="106">
        <v>3613</v>
      </c>
      <c r="B449" s="107" t="s">
        <v>352</v>
      </c>
      <c r="C449" s="300">
        <f>SUM(C450:C454)</f>
        <v>542343</v>
      </c>
      <c r="D449" s="313">
        <f>SUM(D450:D454)</f>
        <v>542343</v>
      </c>
      <c r="E449" s="109">
        <f>SUM(E450:E454)</f>
        <v>0</v>
      </c>
      <c r="F449" s="153">
        <f>SUM(F450:F454)</f>
        <v>48400</v>
      </c>
      <c r="G449" s="109">
        <f>SUM(G450:G454)</f>
        <v>8010000</v>
      </c>
      <c r="H449" s="88"/>
    </row>
    <row r="450" spans="1:8" hidden="1" x14ac:dyDescent="0.2">
      <c r="A450" s="294" t="s">
        <v>551</v>
      </c>
      <c r="B450" s="159" t="s">
        <v>552</v>
      </c>
      <c r="C450" s="295">
        <v>72343</v>
      </c>
      <c r="D450" s="296">
        <v>72343</v>
      </c>
      <c r="E450" s="113" t="s">
        <v>446</v>
      </c>
      <c r="F450" s="297">
        <v>0</v>
      </c>
      <c r="G450" s="113">
        <v>0</v>
      </c>
      <c r="H450" s="88"/>
    </row>
    <row r="451" spans="1:8" hidden="1" x14ac:dyDescent="0.2">
      <c r="A451" s="294" t="s">
        <v>553</v>
      </c>
      <c r="B451" s="159" t="s">
        <v>554</v>
      </c>
      <c r="C451" s="295">
        <v>300000</v>
      </c>
      <c r="D451" s="296">
        <v>300000</v>
      </c>
      <c r="E451" s="113"/>
      <c r="F451" s="297">
        <v>0</v>
      </c>
      <c r="G451" s="113">
        <v>200000</v>
      </c>
      <c r="H451" s="88"/>
    </row>
    <row r="452" spans="1:8" hidden="1" x14ac:dyDescent="0.2">
      <c r="A452" s="294" t="s">
        <v>555</v>
      </c>
      <c r="B452" s="159" t="s">
        <v>556</v>
      </c>
      <c r="C452" s="295">
        <v>70000</v>
      </c>
      <c r="D452" s="296">
        <v>70000</v>
      </c>
      <c r="E452" s="113"/>
      <c r="F452" s="297">
        <v>0</v>
      </c>
      <c r="G452" s="113">
        <v>10000</v>
      </c>
      <c r="H452" s="88"/>
    </row>
    <row r="453" spans="1:8" hidden="1" x14ac:dyDescent="0.2">
      <c r="A453" s="294" t="s">
        <v>557</v>
      </c>
      <c r="B453" s="159" t="s">
        <v>558</v>
      </c>
      <c r="C453" s="295">
        <v>100000</v>
      </c>
      <c r="D453" s="296">
        <v>100000</v>
      </c>
      <c r="E453" s="113"/>
      <c r="F453" s="297">
        <v>48400</v>
      </c>
      <c r="G453" s="113">
        <v>7800000</v>
      </c>
      <c r="H453" s="88"/>
    </row>
    <row r="454" spans="1:8" hidden="1" x14ac:dyDescent="0.2">
      <c r="A454" s="294" t="s">
        <v>559</v>
      </c>
      <c r="B454" s="159" t="s">
        <v>560</v>
      </c>
      <c r="C454" s="295">
        <v>0</v>
      </c>
      <c r="D454" s="296">
        <v>0</v>
      </c>
      <c r="E454" s="113">
        <v>0</v>
      </c>
      <c r="F454" s="297">
        <v>0</v>
      </c>
      <c r="G454" s="113">
        <v>0</v>
      </c>
      <c r="H454" s="88"/>
    </row>
    <row r="455" spans="1:8" hidden="1" x14ac:dyDescent="0.2">
      <c r="A455" s="106">
        <v>3631</v>
      </c>
      <c r="B455" s="107" t="s">
        <v>366</v>
      </c>
      <c r="C455" s="300">
        <f>SUM(C456:C468)</f>
        <v>3555000</v>
      </c>
      <c r="D455" s="313">
        <f>SUM(D456:D468)</f>
        <v>3055000</v>
      </c>
      <c r="E455" s="109">
        <f>SUM(E456:E468)</f>
        <v>313046.65000000002</v>
      </c>
      <c r="F455" s="153">
        <f>SUM(F456:F468)</f>
        <v>344272.65</v>
      </c>
      <c r="G455" s="109">
        <f>SUM(G456:G468)</f>
        <v>10716000</v>
      </c>
      <c r="H455" s="88"/>
    </row>
    <row r="456" spans="1:8" hidden="1" x14ac:dyDescent="0.2">
      <c r="A456" s="294" t="s">
        <v>561</v>
      </c>
      <c r="B456" s="159" t="s">
        <v>562</v>
      </c>
      <c r="C456" s="295">
        <v>500000</v>
      </c>
      <c r="D456" s="296">
        <v>295000</v>
      </c>
      <c r="E456" s="113"/>
      <c r="F456" s="297">
        <v>0</v>
      </c>
      <c r="G456" s="113">
        <v>0</v>
      </c>
      <c r="H456" s="32"/>
    </row>
    <row r="457" spans="1:8" hidden="1" x14ac:dyDescent="0.2">
      <c r="A457" s="294" t="s">
        <v>563</v>
      </c>
      <c r="B457" s="159" t="s">
        <v>564</v>
      </c>
      <c r="C457" s="295">
        <v>230000</v>
      </c>
      <c r="D457" s="296">
        <v>230000</v>
      </c>
      <c r="E457" s="113">
        <v>192909.68</v>
      </c>
      <c r="F457" s="297">
        <v>192909.68</v>
      </c>
      <c r="G457" s="113">
        <v>0</v>
      </c>
      <c r="H457" s="88"/>
    </row>
    <row r="458" spans="1:8" hidden="1" x14ac:dyDescent="0.2">
      <c r="A458" s="294" t="s">
        <v>565</v>
      </c>
      <c r="B458" s="159" t="s">
        <v>566</v>
      </c>
      <c r="C458" s="295">
        <v>700000</v>
      </c>
      <c r="D458" s="296">
        <v>700000</v>
      </c>
      <c r="E458" s="113" t="s">
        <v>446</v>
      </c>
      <c r="F458" s="297">
        <v>0</v>
      </c>
      <c r="G458" s="113">
        <v>0</v>
      </c>
      <c r="H458" s="88"/>
    </row>
    <row r="459" spans="1:8" hidden="1" x14ac:dyDescent="0.2">
      <c r="A459" s="294" t="s">
        <v>567</v>
      </c>
      <c r="B459" s="159" t="s">
        <v>568</v>
      </c>
      <c r="C459" s="295">
        <v>200000</v>
      </c>
      <c r="D459" s="296">
        <v>200000</v>
      </c>
      <c r="E459" s="113"/>
      <c r="F459" s="297">
        <v>0</v>
      </c>
      <c r="G459" s="113">
        <v>6600000</v>
      </c>
      <c r="H459" s="88"/>
    </row>
    <row r="460" spans="1:8" hidden="1" x14ac:dyDescent="0.2">
      <c r="A460" s="294" t="s">
        <v>569</v>
      </c>
      <c r="B460" s="159" t="s">
        <v>570</v>
      </c>
      <c r="C460" s="295">
        <v>35000</v>
      </c>
      <c r="D460" s="296">
        <v>40000</v>
      </c>
      <c r="E460" s="113">
        <v>39546.97</v>
      </c>
      <c r="F460" s="297">
        <v>39546.97</v>
      </c>
      <c r="G460" s="113">
        <v>0</v>
      </c>
      <c r="H460" s="88"/>
    </row>
    <row r="461" spans="1:8" hidden="1" x14ac:dyDescent="0.2">
      <c r="A461" s="294" t="s">
        <v>571</v>
      </c>
      <c r="B461" s="159" t="s">
        <v>572</v>
      </c>
      <c r="C461" s="295">
        <v>80000</v>
      </c>
      <c r="D461" s="296">
        <v>80000</v>
      </c>
      <c r="E461" s="113">
        <v>59290</v>
      </c>
      <c r="F461" s="297">
        <v>59290</v>
      </c>
      <c r="G461" s="113">
        <v>1400000</v>
      </c>
      <c r="H461" s="88"/>
    </row>
    <row r="462" spans="1:8" hidden="1" x14ac:dyDescent="0.2">
      <c r="A462" s="294" t="s">
        <v>573</v>
      </c>
      <c r="B462" s="159" t="s">
        <v>574</v>
      </c>
      <c r="C462" s="295">
        <v>1400000</v>
      </c>
      <c r="D462" s="296">
        <v>1100000</v>
      </c>
      <c r="E462" s="113" t="s">
        <v>446</v>
      </c>
      <c r="F462" s="297">
        <v>31226</v>
      </c>
      <c r="G462" s="113">
        <v>0</v>
      </c>
      <c r="H462" s="88"/>
    </row>
    <row r="463" spans="1:8" hidden="1" x14ac:dyDescent="0.2">
      <c r="A463" s="294" t="s">
        <v>575</v>
      </c>
      <c r="B463" s="159" t="s">
        <v>576</v>
      </c>
      <c r="C463" s="295">
        <v>60000</v>
      </c>
      <c r="D463" s="296">
        <v>60000</v>
      </c>
      <c r="E463" s="113">
        <v>21300</v>
      </c>
      <c r="F463" s="297">
        <v>21300</v>
      </c>
      <c r="G463" s="113">
        <v>0</v>
      </c>
      <c r="H463" s="88"/>
    </row>
    <row r="464" spans="1:8" hidden="1" x14ac:dyDescent="0.2">
      <c r="A464" s="294" t="s">
        <v>577</v>
      </c>
      <c r="B464" s="159" t="s">
        <v>578</v>
      </c>
      <c r="C464" s="295">
        <v>100000</v>
      </c>
      <c r="D464" s="296">
        <v>100000</v>
      </c>
      <c r="E464" s="113" t="s">
        <v>446</v>
      </c>
      <c r="F464" s="297">
        <v>0</v>
      </c>
      <c r="G464" s="113">
        <v>1466000</v>
      </c>
      <c r="H464" s="88"/>
    </row>
    <row r="465" spans="1:8" hidden="1" x14ac:dyDescent="0.2">
      <c r="A465" s="294" t="s">
        <v>579</v>
      </c>
      <c r="B465" s="159" t="s">
        <v>580</v>
      </c>
      <c r="C465" s="295">
        <v>100000</v>
      </c>
      <c r="D465" s="296">
        <v>100000</v>
      </c>
      <c r="E465" s="113" t="s">
        <v>446</v>
      </c>
      <c r="F465" s="297">
        <v>0</v>
      </c>
      <c r="G465" s="113">
        <v>0</v>
      </c>
      <c r="H465" s="88"/>
    </row>
    <row r="466" spans="1:8" hidden="1" x14ac:dyDescent="0.2">
      <c r="A466" s="294" t="s">
        <v>581</v>
      </c>
      <c r="B466" s="159" t="s">
        <v>582</v>
      </c>
      <c r="C466" s="295">
        <v>90000</v>
      </c>
      <c r="D466" s="296">
        <v>90000</v>
      </c>
      <c r="E466" s="113" t="s">
        <v>446</v>
      </c>
      <c r="F466" s="297">
        <v>0</v>
      </c>
      <c r="G466" s="113">
        <v>0</v>
      </c>
      <c r="H466" s="88"/>
    </row>
    <row r="467" spans="1:8" hidden="1" x14ac:dyDescent="0.2">
      <c r="A467" s="294" t="s">
        <v>583</v>
      </c>
      <c r="B467" s="159" t="s">
        <v>584</v>
      </c>
      <c r="C467" s="295">
        <v>60000</v>
      </c>
      <c r="D467" s="296">
        <v>60000</v>
      </c>
      <c r="E467" s="113" t="s">
        <v>446</v>
      </c>
      <c r="F467" s="297">
        <v>0</v>
      </c>
      <c r="G467" s="113">
        <v>1200000</v>
      </c>
      <c r="H467" s="88"/>
    </row>
    <row r="468" spans="1:8" hidden="1" x14ac:dyDescent="0.2">
      <c r="A468" s="294" t="s">
        <v>585</v>
      </c>
      <c r="B468" s="159" t="s">
        <v>586</v>
      </c>
      <c r="C468" s="295">
        <v>0</v>
      </c>
      <c r="D468" s="296">
        <v>0</v>
      </c>
      <c r="E468" s="113">
        <v>0</v>
      </c>
      <c r="F468" s="297">
        <v>0</v>
      </c>
      <c r="G468" s="113">
        <v>50000</v>
      </c>
      <c r="H468" s="88"/>
    </row>
    <row r="469" spans="1:8" hidden="1" x14ac:dyDescent="0.2">
      <c r="A469" s="106">
        <v>3632</v>
      </c>
      <c r="B469" s="107" t="s">
        <v>587</v>
      </c>
      <c r="C469" s="300">
        <f>SUM(C470:C471)</f>
        <v>1400000</v>
      </c>
      <c r="D469" s="313">
        <f>SUM(D470:D471)</f>
        <v>900000</v>
      </c>
      <c r="E469" s="109">
        <f>SUM(E470:E471)</f>
        <v>0</v>
      </c>
      <c r="F469" s="153">
        <f>SUM(F470:F471)</f>
        <v>457240</v>
      </c>
      <c r="G469" s="109">
        <f>SUM(G470:G471)</f>
        <v>0</v>
      </c>
      <c r="H469" s="88"/>
    </row>
    <row r="470" spans="1:8" hidden="1" x14ac:dyDescent="0.2">
      <c r="A470" s="294" t="s">
        <v>588</v>
      </c>
      <c r="B470" s="159" t="s">
        <v>589</v>
      </c>
      <c r="C470" s="295">
        <v>0</v>
      </c>
      <c r="D470" s="296">
        <v>900000</v>
      </c>
      <c r="E470" s="113"/>
      <c r="F470" s="297">
        <v>457240</v>
      </c>
      <c r="G470" s="113">
        <v>0</v>
      </c>
      <c r="H470" s="88"/>
    </row>
    <row r="471" spans="1:8" hidden="1" x14ac:dyDescent="0.2">
      <c r="A471" s="294" t="s">
        <v>590</v>
      </c>
      <c r="B471" s="159" t="s">
        <v>589</v>
      </c>
      <c r="C471" s="295">
        <v>1400000</v>
      </c>
      <c r="D471" s="296">
        <v>0</v>
      </c>
      <c r="E471" s="113">
        <v>0</v>
      </c>
      <c r="F471" s="297">
        <v>0</v>
      </c>
      <c r="G471" s="113">
        <v>0</v>
      </c>
      <c r="H471" s="88"/>
    </row>
    <row r="472" spans="1:8" hidden="1" x14ac:dyDescent="0.2">
      <c r="A472" s="106">
        <v>3633</v>
      </c>
      <c r="B472" s="107" t="s">
        <v>591</v>
      </c>
      <c r="C472" s="300">
        <f>SUM(C473:C475)</f>
        <v>33400000</v>
      </c>
      <c r="D472" s="313">
        <f>SUM(D473:D475)</f>
        <v>32300000</v>
      </c>
      <c r="E472" s="109">
        <f>SUM(E473:E475)</f>
        <v>0</v>
      </c>
      <c r="F472" s="153">
        <f>SUM(F473:F475)</f>
        <v>113256</v>
      </c>
      <c r="G472" s="109">
        <f>SUM(G473:G475)</f>
        <v>31500000</v>
      </c>
      <c r="H472" s="88"/>
    </row>
    <row r="473" spans="1:8" hidden="1" x14ac:dyDescent="0.2">
      <c r="A473" s="294" t="s">
        <v>592</v>
      </c>
      <c r="B473" s="159" t="s">
        <v>593</v>
      </c>
      <c r="C473" s="295">
        <v>3000000</v>
      </c>
      <c r="D473" s="296">
        <v>2000000</v>
      </c>
      <c r="E473" s="113"/>
      <c r="F473" s="297">
        <v>0</v>
      </c>
      <c r="G473" s="113">
        <v>1500000</v>
      </c>
      <c r="H473" s="88"/>
    </row>
    <row r="474" spans="1:8" hidden="1" x14ac:dyDescent="0.2">
      <c r="A474" s="294" t="s">
        <v>594</v>
      </c>
      <c r="B474" s="159" t="s">
        <v>595</v>
      </c>
      <c r="C474" s="295">
        <v>30000000</v>
      </c>
      <c r="D474" s="296">
        <v>30000000</v>
      </c>
      <c r="E474" s="113"/>
      <c r="F474" s="297">
        <v>48400</v>
      </c>
      <c r="G474" s="113">
        <v>30000000</v>
      </c>
      <c r="H474" s="88"/>
    </row>
    <row r="475" spans="1:8" hidden="1" x14ac:dyDescent="0.2">
      <c r="A475" s="307" t="s">
        <v>596</v>
      </c>
      <c r="B475" s="322" t="s">
        <v>597</v>
      </c>
      <c r="C475" s="323">
        <v>400000</v>
      </c>
      <c r="D475" s="324">
        <v>300000</v>
      </c>
      <c r="E475" s="266"/>
      <c r="F475" s="325">
        <v>64856</v>
      </c>
      <c r="G475" s="266">
        <v>0</v>
      </c>
      <c r="H475" s="88"/>
    </row>
    <row r="476" spans="1:8" ht="15.75" hidden="1" x14ac:dyDescent="0.25">
      <c r="A476" s="312"/>
      <c r="B476" s="64" t="s">
        <v>598</v>
      </c>
      <c r="C476" s="285">
        <f>SUM(C477:C480)</f>
        <v>1174000</v>
      </c>
      <c r="D476" s="286">
        <f>SUM(D477:D480)</f>
        <v>650000</v>
      </c>
      <c r="E476" s="287">
        <f>SUM(E477:E480)</f>
        <v>150000</v>
      </c>
      <c r="F476" s="288">
        <f>SUM(F477:F480)</f>
        <v>105000</v>
      </c>
      <c r="G476" s="287">
        <f>SUM(G477:G480)</f>
        <v>472500</v>
      </c>
      <c r="H476" s="88"/>
    </row>
    <row r="477" spans="1:8" hidden="1" x14ac:dyDescent="0.2">
      <c r="A477" s="326" t="s">
        <v>599</v>
      </c>
      <c r="B477" s="306" t="s">
        <v>600</v>
      </c>
      <c r="C477" s="303">
        <v>287000</v>
      </c>
      <c r="D477" s="327">
        <v>250000</v>
      </c>
      <c r="E477" s="114" t="s">
        <v>446</v>
      </c>
      <c r="F477" s="328">
        <v>0</v>
      </c>
      <c r="G477" s="114">
        <v>150000</v>
      </c>
      <c r="H477" s="88"/>
    </row>
    <row r="478" spans="1:8" hidden="1" x14ac:dyDescent="0.2">
      <c r="A478" s="294" t="s">
        <v>601</v>
      </c>
      <c r="B478" s="159" t="s">
        <v>602</v>
      </c>
      <c r="C478" s="295">
        <v>287000</v>
      </c>
      <c r="D478" s="296">
        <v>250000</v>
      </c>
      <c r="E478" s="113" t="s">
        <v>446</v>
      </c>
      <c r="F478" s="297">
        <v>0</v>
      </c>
      <c r="G478" s="113">
        <v>150000</v>
      </c>
      <c r="H478" s="88"/>
    </row>
    <row r="479" spans="1:8" hidden="1" x14ac:dyDescent="0.2">
      <c r="A479" s="294" t="s">
        <v>603</v>
      </c>
      <c r="B479" s="159" t="s">
        <v>604</v>
      </c>
      <c r="C479" s="295">
        <v>600000</v>
      </c>
      <c r="D479" s="296">
        <v>150000</v>
      </c>
      <c r="E479" s="113">
        <v>150000</v>
      </c>
      <c r="F479" s="297">
        <v>105000</v>
      </c>
      <c r="G479" s="113">
        <v>172500</v>
      </c>
      <c r="H479" s="88"/>
    </row>
    <row r="480" spans="1:8" hidden="1" x14ac:dyDescent="0.2">
      <c r="A480" s="329"/>
      <c r="B480" s="314"/>
      <c r="C480" s="315"/>
      <c r="D480" s="316"/>
      <c r="E480" s="241"/>
      <c r="F480" s="317"/>
      <c r="G480" s="241"/>
      <c r="H480" s="88"/>
    </row>
    <row r="481" spans="1:8" ht="20.25" hidden="1" x14ac:dyDescent="0.2">
      <c r="A481" s="330">
        <v>2141</v>
      </c>
      <c r="B481" s="331" t="s">
        <v>31</v>
      </c>
      <c r="C481" s="332">
        <f>SUM(C482:C484)</f>
        <v>3086000</v>
      </c>
      <c r="D481" s="332">
        <f>SUM(D482:D484)</f>
        <v>4456000</v>
      </c>
      <c r="E481" s="332">
        <f>SUM(E482:E484)</f>
        <v>4273000</v>
      </c>
      <c r="F481" s="332">
        <f>SUM(F482:F484)</f>
        <v>3290243</v>
      </c>
      <c r="G481" s="332">
        <f>SUM(G482:G484)</f>
        <v>3640000</v>
      </c>
      <c r="H481" s="88"/>
    </row>
    <row r="482" spans="1:8" ht="31.5" hidden="1" customHeight="1" x14ac:dyDescent="0.2">
      <c r="A482" s="138">
        <v>3341</v>
      </c>
      <c r="B482" s="196" t="s">
        <v>605</v>
      </c>
      <c r="C482" s="333">
        <v>900000</v>
      </c>
      <c r="D482" s="333">
        <v>2270000</v>
      </c>
      <c r="E482" s="334">
        <v>2100000</v>
      </c>
      <c r="F482" s="335">
        <v>2079396</v>
      </c>
      <c r="G482" s="105">
        <v>950000</v>
      </c>
      <c r="H482" s="32"/>
    </row>
    <row r="483" spans="1:8" hidden="1" x14ac:dyDescent="0.2">
      <c r="A483" s="141">
        <v>3399</v>
      </c>
      <c r="B483" s="144" t="s">
        <v>606</v>
      </c>
      <c r="C483" s="145">
        <v>2170000</v>
      </c>
      <c r="D483" s="145">
        <v>2170000</v>
      </c>
      <c r="E483" s="336">
        <v>2170000</v>
      </c>
      <c r="F483" s="337">
        <v>1210847</v>
      </c>
      <c r="G483" s="105">
        <v>2670000</v>
      </c>
      <c r="H483" s="88"/>
    </row>
    <row r="484" spans="1:8" hidden="1" x14ac:dyDescent="0.2">
      <c r="A484" s="338"/>
      <c r="B484" s="144" t="s">
        <v>607</v>
      </c>
      <c r="C484" s="145">
        <v>16000</v>
      </c>
      <c r="D484" s="145">
        <v>16000</v>
      </c>
      <c r="E484" s="339">
        <v>3000</v>
      </c>
      <c r="F484" s="340">
        <v>0</v>
      </c>
      <c r="G484" s="105">
        <v>20000</v>
      </c>
      <c r="H484" s="88"/>
    </row>
    <row r="485" spans="1:8" s="244" customFormat="1" ht="12.75" hidden="1" customHeight="1" x14ac:dyDescent="0.25">
      <c r="A485" s="341"/>
      <c r="B485" s="342"/>
      <c r="C485" s="342"/>
      <c r="D485" s="342"/>
      <c r="E485" s="325"/>
      <c r="F485" s="185"/>
      <c r="G485" s="266"/>
      <c r="H485" s="88"/>
    </row>
    <row r="486" spans="1:8" s="343" customFormat="1" ht="20.25" hidden="1" x14ac:dyDescent="0.3">
      <c r="A486" s="344"/>
      <c r="B486" s="90" t="s">
        <v>608</v>
      </c>
      <c r="C486" s="345">
        <f>SUM(C487:C490)</f>
        <v>10612697</v>
      </c>
      <c r="D486" s="345">
        <v>9354593</v>
      </c>
      <c r="E486" s="345">
        <f>SUM(E487:E490)</f>
        <v>9354593</v>
      </c>
      <c r="F486" s="346">
        <v>5300735.47</v>
      </c>
      <c r="G486" s="345">
        <f>SUM(G487:G490)</f>
        <v>10752956</v>
      </c>
      <c r="H486" s="129"/>
    </row>
    <row r="487" spans="1:8" s="343" customFormat="1" ht="24.75" hidden="1" x14ac:dyDescent="0.2">
      <c r="A487" s="138">
        <v>2141</v>
      </c>
      <c r="B487" s="196" t="s">
        <v>609</v>
      </c>
      <c r="C487" s="145">
        <f>(25+38+64+422+5)*1000</f>
        <v>554000</v>
      </c>
      <c r="D487" s="145">
        <v>703800</v>
      </c>
      <c r="E487" s="347">
        <v>703800</v>
      </c>
      <c r="F487" s="348">
        <v>99904.25</v>
      </c>
      <c r="G487" s="197">
        <v>1226000</v>
      </c>
      <c r="H487" s="124"/>
    </row>
    <row r="488" spans="1:8" s="343" customFormat="1" ht="60.75" hidden="1" x14ac:dyDescent="0.2">
      <c r="A488" s="141">
        <v>2143</v>
      </c>
      <c r="B488" s="146" t="s">
        <v>610</v>
      </c>
      <c r="C488" s="145">
        <v>9407197</v>
      </c>
      <c r="D488" s="145">
        <v>8124293</v>
      </c>
      <c r="E488" s="349">
        <v>8124293</v>
      </c>
      <c r="F488" s="198">
        <v>4990927.7300000004</v>
      </c>
      <c r="G488" s="197">
        <v>8971956</v>
      </c>
      <c r="H488" s="124"/>
    </row>
    <row r="489" spans="1:8" s="343" customFormat="1" hidden="1" x14ac:dyDescent="0.2">
      <c r="A489" s="141">
        <v>3399</v>
      </c>
      <c r="B489" s="144" t="s">
        <v>611</v>
      </c>
      <c r="C489" s="145">
        <v>36500</v>
      </c>
      <c r="D489" s="145">
        <v>36500</v>
      </c>
      <c r="E489" s="175">
        <v>36500</v>
      </c>
      <c r="F489" s="198">
        <v>33332.79</v>
      </c>
      <c r="G489" s="197">
        <v>40000</v>
      </c>
      <c r="H489" s="129"/>
    </row>
    <row r="490" spans="1:8" s="343" customFormat="1" ht="24.75" hidden="1" x14ac:dyDescent="0.2">
      <c r="A490" s="141">
        <v>6223</v>
      </c>
      <c r="B490" s="146" t="s">
        <v>612</v>
      </c>
      <c r="C490" s="145">
        <f>(5+100+5+5+30+280+70+115+5)*1000</f>
        <v>615000</v>
      </c>
      <c r="D490" s="145">
        <v>490000</v>
      </c>
      <c r="E490" s="197">
        <v>490000</v>
      </c>
      <c r="F490" s="123">
        <v>176570.7</v>
      </c>
      <c r="G490" s="197">
        <v>515000</v>
      </c>
      <c r="H490" s="124"/>
    </row>
    <row r="491" spans="1:8" s="98" customFormat="1" hidden="1" x14ac:dyDescent="0.2">
      <c r="A491" s="350"/>
      <c r="B491" s="351"/>
      <c r="C491" s="352"/>
      <c r="D491" s="352"/>
      <c r="E491" s="266"/>
      <c r="F491" s="266"/>
      <c r="G491" s="266"/>
      <c r="H491" s="88"/>
    </row>
    <row r="492" spans="1:8" s="98" customFormat="1" ht="20.25" hidden="1" x14ac:dyDescent="0.2">
      <c r="A492" s="353"/>
      <c r="B492" s="331" t="s">
        <v>33</v>
      </c>
      <c r="C492" s="345">
        <f>SUM(C493,C495,C496)</f>
        <v>6426417</v>
      </c>
      <c r="D492" s="345">
        <f>D496+D495+D493</f>
        <v>6357417</v>
      </c>
      <c r="E492" s="345">
        <f>SUM(E493,E495,E496)</f>
        <v>6413417</v>
      </c>
      <c r="F492" s="281">
        <f>F493+F495+F496</f>
        <v>4365980.75</v>
      </c>
      <c r="G492" s="345">
        <f>SUM(G493,G495,G496)</f>
        <v>7038417</v>
      </c>
      <c r="H492" s="88"/>
    </row>
    <row r="493" spans="1:8" s="98" customFormat="1" hidden="1" x14ac:dyDescent="0.2">
      <c r="A493" s="141">
        <v>2223</v>
      </c>
      <c r="B493" s="141" t="s">
        <v>613</v>
      </c>
      <c r="C493" s="140">
        <f>C494</f>
        <v>76000</v>
      </c>
      <c r="D493" s="140">
        <v>76000</v>
      </c>
      <c r="E493" s="171">
        <v>70000</v>
      </c>
      <c r="F493" s="114">
        <v>42000</v>
      </c>
      <c r="G493" s="105">
        <v>76000</v>
      </c>
      <c r="H493" s="88"/>
    </row>
    <row r="494" spans="1:8" s="98" customFormat="1" hidden="1" x14ac:dyDescent="0.2">
      <c r="A494" s="141"/>
      <c r="B494" s="354" t="s">
        <v>614</v>
      </c>
      <c r="C494" s="121">
        <v>76000</v>
      </c>
      <c r="D494" s="121">
        <v>76000</v>
      </c>
      <c r="E494" s="177">
        <v>70000</v>
      </c>
      <c r="F494" s="113">
        <v>42000</v>
      </c>
      <c r="G494" s="114">
        <v>76000</v>
      </c>
      <c r="H494" s="88"/>
    </row>
    <row r="495" spans="1:8" s="98" customFormat="1" hidden="1" x14ac:dyDescent="0.2">
      <c r="A495" s="141">
        <v>2229</v>
      </c>
      <c r="B495" s="141" t="s">
        <v>615</v>
      </c>
      <c r="C495" s="197">
        <v>0</v>
      </c>
      <c r="D495" s="197">
        <v>71000</v>
      </c>
      <c r="E495" s="180">
        <v>71000</v>
      </c>
      <c r="F495" s="109">
        <v>71000</v>
      </c>
      <c r="G495" s="105">
        <v>0</v>
      </c>
      <c r="H495" s="88"/>
    </row>
    <row r="496" spans="1:8" s="98" customFormat="1" hidden="1" x14ac:dyDescent="0.2">
      <c r="A496" s="141">
        <v>2292</v>
      </c>
      <c r="B496" s="141" t="s">
        <v>616</v>
      </c>
      <c r="C496" s="197">
        <f>SUM(C497:C500)</f>
        <v>6350417</v>
      </c>
      <c r="D496" s="197">
        <f>D497+D498+D499+D500</f>
        <v>6210417</v>
      </c>
      <c r="E496" s="180">
        <f>E497+E498+E499+E500</f>
        <v>6272417</v>
      </c>
      <c r="F496" s="109">
        <v>4252980.75</v>
      </c>
      <c r="G496" s="105">
        <f>G497+G498+G500+G501</f>
        <v>6962417</v>
      </c>
      <c r="H496" s="88"/>
    </row>
    <row r="497" spans="1:8" s="98" customFormat="1" hidden="1" x14ac:dyDescent="0.2">
      <c r="A497" s="141"/>
      <c r="B497" s="127" t="s">
        <v>617</v>
      </c>
      <c r="C497" s="121">
        <v>1112417</v>
      </c>
      <c r="D497" s="121">
        <v>1112417</v>
      </c>
      <c r="E497" s="177">
        <v>1112417</v>
      </c>
      <c r="F497" s="113">
        <v>834312.75</v>
      </c>
      <c r="G497" s="114">
        <v>1112417</v>
      </c>
      <c r="H497" s="88"/>
    </row>
    <row r="498" spans="1:8" s="98" customFormat="1" hidden="1" x14ac:dyDescent="0.2">
      <c r="A498" s="141"/>
      <c r="B498" s="127" t="s">
        <v>618</v>
      </c>
      <c r="C498" s="121">
        <v>5038000</v>
      </c>
      <c r="D498" s="121">
        <v>5038000</v>
      </c>
      <c r="E498" s="177">
        <v>5100000</v>
      </c>
      <c r="F498" s="113">
        <v>3358668</v>
      </c>
      <c r="G498" s="114">
        <v>5100000</v>
      </c>
      <c r="H498" s="88"/>
    </row>
    <row r="499" spans="1:8" s="98" customFormat="1" ht="24.75" hidden="1" x14ac:dyDescent="0.2">
      <c r="A499" s="141"/>
      <c r="B499" s="355" t="s">
        <v>619</v>
      </c>
      <c r="C499" s="121">
        <v>0</v>
      </c>
      <c r="D499" s="121">
        <v>10000</v>
      </c>
      <c r="E499" s="177">
        <v>10000</v>
      </c>
      <c r="F499" s="113">
        <v>10000</v>
      </c>
      <c r="G499" s="114">
        <v>0</v>
      </c>
      <c r="H499" s="32"/>
    </row>
    <row r="500" spans="1:8" s="98" customFormat="1" hidden="1" x14ac:dyDescent="0.2">
      <c r="A500" s="141"/>
      <c r="B500" s="355" t="s">
        <v>620</v>
      </c>
      <c r="C500" s="121">
        <v>200000</v>
      </c>
      <c r="D500" s="121">
        <v>50000</v>
      </c>
      <c r="E500" s="177">
        <v>50000</v>
      </c>
      <c r="F500" s="113">
        <v>50000</v>
      </c>
      <c r="G500" s="114">
        <v>200000</v>
      </c>
      <c r="H500" s="32"/>
    </row>
    <row r="501" spans="1:8" s="98" customFormat="1" hidden="1" x14ac:dyDescent="0.2">
      <c r="A501" s="338"/>
      <c r="B501" s="356" t="s">
        <v>621</v>
      </c>
      <c r="C501" s="220">
        <v>0</v>
      </c>
      <c r="D501" s="220">
        <v>0</v>
      </c>
      <c r="E501" s="177">
        <v>0</v>
      </c>
      <c r="F501" s="113">
        <v>0</v>
      </c>
      <c r="G501" s="113">
        <v>550000</v>
      </c>
      <c r="H501" s="88"/>
    </row>
    <row r="502" spans="1:8" s="98" customFormat="1" hidden="1" x14ac:dyDescent="0.2">
      <c r="A502" s="227"/>
      <c r="B502" s="357"/>
      <c r="C502" s="358"/>
      <c r="D502" s="358"/>
      <c r="E502" s="359"/>
      <c r="F502" s="143"/>
      <c r="G502" s="143"/>
      <c r="H502" s="88"/>
    </row>
    <row r="503" spans="1:8" s="98" customFormat="1" ht="20.25" hidden="1" x14ac:dyDescent="0.3">
      <c r="A503" s="344"/>
      <c r="B503" s="90" t="s">
        <v>34</v>
      </c>
      <c r="C503" s="91">
        <f>SUM(C504:C505)</f>
        <v>112000</v>
      </c>
      <c r="D503" s="36">
        <v>112000</v>
      </c>
      <c r="E503" s="91">
        <f>SUM(E504:E505)</f>
        <v>73000</v>
      </c>
      <c r="F503" s="281">
        <v>33098</v>
      </c>
      <c r="G503" s="91">
        <f>SUM(G504:G505)</f>
        <v>112000</v>
      </c>
      <c r="H503" s="88"/>
    </row>
    <row r="504" spans="1:8" s="98" customFormat="1" ht="12.75" hidden="1" customHeight="1" x14ac:dyDescent="0.2">
      <c r="A504" s="141">
        <v>2223</v>
      </c>
      <c r="B504" s="144" t="s">
        <v>622</v>
      </c>
      <c r="C504" s="145">
        <v>100000</v>
      </c>
      <c r="D504" s="145">
        <v>100000</v>
      </c>
      <c r="E504" s="105">
        <v>70000</v>
      </c>
      <c r="F504" s="105">
        <v>32151</v>
      </c>
      <c r="G504" s="105">
        <v>100000</v>
      </c>
      <c r="H504" s="88"/>
    </row>
    <row r="505" spans="1:8" s="98" customFormat="1" hidden="1" x14ac:dyDescent="0.2">
      <c r="A505" s="141">
        <v>6171</v>
      </c>
      <c r="B505" s="144" t="s">
        <v>623</v>
      </c>
      <c r="C505" s="145">
        <v>12000</v>
      </c>
      <c r="D505" s="145">
        <v>12000</v>
      </c>
      <c r="E505" s="109">
        <v>3000</v>
      </c>
      <c r="F505" s="109">
        <v>947</v>
      </c>
      <c r="G505" s="105">
        <v>12000</v>
      </c>
      <c r="H505" s="88"/>
    </row>
    <row r="506" spans="1:8" s="98" customFormat="1" hidden="1" x14ac:dyDescent="0.2">
      <c r="A506" s="360"/>
      <c r="B506" s="361"/>
      <c r="C506" s="187"/>
      <c r="D506" s="187"/>
      <c r="E506" s="266"/>
      <c r="F506" s="266"/>
      <c r="G506" s="266"/>
      <c r="H506" s="88"/>
    </row>
    <row r="507" spans="1:8" s="98" customFormat="1" ht="20.25" hidden="1" x14ac:dyDescent="0.3">
      <c r="A507" s="252"/>
      <c r="B507" s="93" t="s">
        <v>624</v>
      </c>
      <c r="C507" s="362">
        <f>C508+C509</f>
        <v>500000</v>
      </c>
      <c r="D507" s="362">
        <f>D508+D509</f>
        <v>1201000</v>
      </c>
      <c r="E507" s="363">
        <f>E508+E509</f>
        <v>701000</v>
      </c>
      <c r="F507" s="364">
        <f>F508+F509</f>
        <v>1201000</v>
      </c>
      <c r="G507" s="363">
        <f>G508+G509</f>
        <v>500000</v>
      </c>
      <c r="H507" s="88"/>
    </row>
    <row r="508" spans="1:8" s="98" customFormat="1" hidden="1" x14ac:dyDescent="0.2">
      <c r="A508" s="254">
        <v>6115</v>
      </c>
      <c r="B508" s="107" t="s">
        <v>625</v>
      </c>
      <c r="C508" s="109">
        <v>500000</v>
      </c>
      <c r="D508" s="109">
        <v>1201000</v>
      </c>
      <c r="E508" s="105">
        <v>701000</v>
      </c>
      <c r="F508" s="172">
        <v>1201000</v>
      </c>
      <c r="G508" s="105">
        <v>0</v>
      </c>
      <c r="H508" s="88"/>
    </row>
    <row r="509" spans="1:8" s="98" customFormat="1" hidden="1" x14ac:dyDescent="0.2">
      <c r="A509" s="144"/>
      <c r="B509" s="107" t="s">
        <v>626</v>
      </c>
      <c r="C509" s="109">
        <v>0</v>
      </c>
      <c r="D509" s="109">
        <v>0</v>
      </c>
      <c r="E509" s="109">
        <v>0</v>
      </c>
      <c r="F509" s="181">
        <v>0</v>
      </c>
      <c r="G509" s="109">
        <v>500000</v>
      </c>
      <c r="H509" s="88"/>
    </row>
    <row r="510" spans="1:8" s="98" customFormat="1" hidden="1" x14ac:dyDescent="0.2">
      <c r="A510" s="361"/>
      <c r="B510" s="365"/>
      <c r="C510" s="366"/>
      <c r="D510" s="366"/>
      <c r="E510" s="366"/>
      <c r="F510" s="367"/>
      <c r="G510" s="135"/>
      <c r="H510" s="88"/>
    </row>
    <row r="511" spans="1:8" s="98" customFormat="1" ht="20.25" hidden="1" x14ac:dyDescent="0.3">
      <c r="A511" s="283"/>
      <c r="B511" s="368" t="s">
        <v>36</v>
      </c>
      <c r="C511" s="363">
        <f>C512+C565+C590</f>
        <v>117286140</v>
      </c>
      <c r="D511" s="363">
        <f>D512+D565+D590</f>
        <v>125496783.28</v>
      </c>
      <c r="E511" s="363">
        <f>E512+E565+E590</f>
        <v>125496783.28</v>
      </c>
      <c r="F511" s="363">
        <f>F512+F565+F590</f>
        <v>82606294.439999998</v>
      </c>
      <c r="G511" s="363">
        <f>G512+G565+G590</f>
        <v>160009627.30000001</v>
      </c>
      <c r="H511" s="88"/>
    </row>
    <row r="512" spans="1:8" s="98" customFormat="1" ht="16.5" hidden="1" customHeight="1" x14ac:dyDescent="0.25">
      <c r="A512" s="312"/>
      <c r="B512" s="369" t="s">
        <v>627</v>
      </c>
      <c r="C512" s="169">
        <f>SUM(C513,C533,C564,C559)</f>
        <v>55530000</v>
      </c>
      <c r="D512" s="137">
        <f>SUM(D513,D533,D564,D559)</f>
        <v>50086908.670000002</v>
      </c>
      <c r="E512" s="169">
        <f>SUM(E513,E533,E564,E559)</f>
        <v>50086908.670000002</v>
      </c>
      <c r="F512" s="169">
        <f>SUM(F513,F533,F564,F559)</f>
        <v>24467486.900000002</v>
      </c>
      <c r="G512" s="169">
        <f>SUM(G513,G533,G564,G559)</f>
        <v>78486811.299999997</v>
      </c>
      <c r="H512" s="88"/>
    </row>
    <row r="513" spans="1:8" s="98" customFormat="1" hidden="1" x14ac:dyDescent="0.2">
      <c r="A513" s="102">
        <v>3111</v>
      </c>
      <c r="B513" s="370" t="s">
        <v>628</v>
      </c>
      <c r="C513" s="140">
        <f>SUM(C514:C516)</f>
        <v>11263000</v>
      </c>
      <c r="D513" s="173">
        <f>SUM(D514:D516)</f>
        <v>10511914.67</v>
      </c>
      <c r="E513" s="140">
        <f>SUM(E514:E516)</f>
        <v>10511914.67</v>
      </c>
      <c r="F513" s="140">
        <f>SUM(F514:F516)</f>
        <v>6476550.8700000001</v>
      </c>
      <c r="G513" s="140">
        <f>SUM(G514:G516)</f>
        <v>21243000</v>
      </c>
      <c r="H513" s="88"/>
    </row>
    <row r="514" spans="1:8" s="98" customFormat="1" ht="12.75" hidden="1" customHeight="1" x14ac:dyDescent="0.2">
      <c r="A514" s="111"/>
      <c r="B514" s="371" t="s">
        <v>629</v>
      </c>
      <c r="C514" s="372">
        <f t="shared" ref="C514:G515" si="5">SUM(C519,C529,C524)</f>
        <v>5847000</v>
      </c>
      <c r="D514" s="373">
        <f t="shared" si="5"/>
        <v>5650914.6699999999</v>
      </c>
      <c r="E514" s="372">
        <f t="shared" si="5"/>
        <v>5650914.6699999999</v>
      </c>
      <c r="F514" s="372">
        <f t="shared" si="5"/>
        <v>4173000</v>
      </c>
      <c r="G514" s="372">
        <f t="shared" si="5"/>
        <v>5998000</v>
      </c>
      <c r="H514" s="88"/>
    </row>
    <row r="515" spans="1:8" s="98" customFormat="1" ht="12.75" hidden="1" customHeight="1" x14ac:dyDescent="0.2">
      <c r="A515" s="111"/>
      <c r="B515" s="371" t="s">
        <v>630</v>
      </c>
      <c r="C515" s="372">
        <f t="shared" si="5"/>
        <v>1671000</v>
      </c>
      <c r="D515" s="373">
        <f t="shared" si="5"/>
        <v>1116000</v>
      </c>
      <c r="E515" s="372">
        <f t="shared" si="5"/>
        <v>1116000</v>
      </c>
      <c r="F515" s="372">
        <f t="shared" si="5"/>
        <v>888946.87</v>
      </c>
      <c r="G515" s="372">
        <f t="shared" si="5"/>
        <v>3365000</v>
      </c>
      <c r="H515" s="88"/>
    </row>
    <row r="516" spans="1:8" s="244" customFormat="1" ht="12.75" hidden="1" customHeight="1" x14ac:dyDescent="0.25">
      <c r="A516" s="111"/>
      <c r="B516" s="371" t="s">
        <v>631</v>
      </c>
      <c r="C516" s="372">
        <f>C531+C526</f>
        <v>3745000</v>
      </c>
      <c r="D516" s="373">
        <f>D531+D526</f>
        <v>3745000</v>
      </c>
      <c r="E516" s="372">
        <f>E531+E526</f>
        <v>3745000</v>
      </c>
      <c r="F516" s="372">
        <f>F531+F526</f>
        <v>1414604</v>
      </c>
      <c r="G516" s="372">
        <f>G531+G526+G521</f>
        <v>11880000</v>
      </c>
      <c r="H516" s="88"/>
    </row>
    <row r="517" spans="1:8" s="98" customFormat="1" ht="12.75" hidden="1" customHeight="1" x14ac:dyDescent="0.2">
      <c r="A517" s="111"/>
      <c r="B517" s="371"/>
      <c r="C517" s="372"/>
      <c r="D517" s="373"/>
      <c r="E517" s="372"/>
      <c r="F517" s="372"/>
      <c r="G517" s="372"/>
      <c r="H517" s="88"/>
    </row>
    <row r="518" spans="1:8" s="244" customFormat="1" ht="12.75" hidden="1" customHeight="1" x14ac:dyDescent="0.25">
      <c r="A518" s="111"/>
      <c r="B518" s="125" t="s">
        <v>632</v>
      </c>
      <c r="C518" s="145">
        <f>C519+C520</f>
        <v>1955000</v>
      </c>
      <c r="D518" s="109">
        <f>D519+D520</f>
        <v>1770000</v>
      </c>
      <c r="E518" s="145">
        <f>E519+E520</f>
        <v>1770000</v>
      </c>
      <c r="F518" s="145">
        <f>F519+F520</f>
        <v>1405000</v>
      </c>
      <c r="G518" s="145">
        <f>G519+G520+G521</f>
        <v>11049000</v>
      </c>
      <c r="H518" s="88"/>
    </row>
    <row r="519" spans="1:8" s="98" customFormat="1" ht="12.75" hidden="1" customHeight="1" x14ac:dyDescent="0.2">
      <c r="A519" s="111"/>
      <c r="B519" s="125" t="s">
        <v>633</v>
      </c>
      <c r="C519" s="374">
        <f>1822000-50000</f>
        <v>1772000</v>
      </c>
      <c r="D519" s="374">
        <v>1707000</v>
      </c>
      <c r="E519" s="297">
        <v>1707000</v>
      </c>
      <c r="F519" s="178">
        <v>1342000</v>
      </c>
      <c r="G519" s="114">
        <v>1676000</v>
      </c>
      <c r="H519" s="88"/>
    </row>
    <row r="520" spans="1:8" ht="36.75" hidden="1" x14ac:dyDescent="0.2">
      <c r="A520" s="111" t="s">
        <v>634</v>
      </c>
      <c r="B520" s="125" t="s">
        <v>635</v>
      </c>
      <c r="C520" s="374">
        <f>443000-260000</f>
        <v>183000</v>
      </c>
      <c r="D520" s="374">
        <v>63000</v>
      </c>
      <c r="E520" s="297">
        <v>63000</v>
      </c>
      <c r="F520" s="178">
        <v>63000</v>
      </c>
      <c r="G520" s="114">
        <f>(121+90+70+130+462-100)*1000</f>
        <v>773000</v>
      </c>
      <c r="H520" s="32"/>
    </row>
    <row r="521" spans="1:8" ht="25.5" hidden="1" customHeight="1" x14ac:dyDescent="0.2">
      <c r="A521" s="111"/>
      <c r="B521" s="125" t="s">
        <v>636</v>
      </c>
      <c r="C521" s="374"/>
      <c r="D521" s="374"/>
      <c r="E521" s="297"/>
      <c r="F521" s="178"/>
      <c r="G521" s="114">
        <f>(3600+4000+1000)*1000</f>
        <v>8600000</v>
      </c>
      <c r="H521" s="32"/>
    </row>
    <row r="522" spans="1:8" hidden="1" x14ac:dyDescent="0.2">
      <c r="A522" s="375"/>
      <c r="B522" s="376"/>
      <c r="C522" s="377"/>
      <c r="D522" s="377"/>
      <c r="E522" s="297"/>
      <c r="F522" s="178"/>
      <c r="G522" s="113"/>
      <c r="H522" s="88"/>
    </row>
    <row r="523" spans="1:8" hidden="1" x14ac:dyDescent="0.2">
      <c r="A523" s="111"/>
      <c r="B523" s="378" t="s">
        <v>637</v>
      </c>
      <c r="C523" s="145">
        <f>SUM(C524:C526)</f>
        <v>6931000</v>
      </c>
      <c r="D523" s="109">
        <f>SUM(D524:D526)</f>
        <v>6719914.6699999999</v>
      </c>
      <c r="E523" s="145">
        <f>SUM(E524:E526)</f>
        <v>6719914.6699999999</v>
      </c>
      <c r="F523" s="145">
        <f>SUM(F524:F526)</f>
        <v>3762550.87</v>
      </c>
      <c r="G523" s="145">
        <f>SUM(G524:G526)</f>
        <v>3515000</v>
      </c>
      <c r="H523" s="88"/>
    </row>
    <row r="524" spans="1:8" ht="12.75" hidden="1" customHeight="1" x14ac:dyDescent="0.2">
      <c r="A524" s="111"/>
      <c r="B524" s="125" t="s">
        <v>638</v>
      </c>
      <c r="C524" s="374">
        <f>2441000-50000</f>
        <v>2391000</v>
      </c>
      <c r="D524" s="374">
        <v>2279914.67</v>
      </c>
      <c r="E524" s="297">
        <v>2279914.67</v>
      </c>
      <c r="F524" s="178">
        <v>1667000</v>
      </c>
      <c r="G524" s="114">
        <v>2535000</v>
      </c>
      <c r="H524" s="88"/>
    </row>
    <row r="525" spans="1:8" ht="36.75" hidden="1" x14ac:dyDescent="0.2">
      <c r="A525" s="111"/>
      <c r="B525" s="125" t="s">
        <v>639</v>
      </c>
      <c r="C525" s="374">
        <v>940000</v>
      </c>
      <c r="D525" s="374">
        <v>840000</v>
      </c>
      <c r="E525" s="113">
        <v>840000</v>
      </c>
      <c r="F525" s="113">
        <v>825946.87</v>
      </c>
      <c r="G525" s="114">
        <v>980000</v>
      </c>
      <c r="H525" s="32"/>
    </row>
    <row r="526" spans="1:8" s="379" customFormat="1" ht="13.5" hidden="1" customHeight="1" x14ac:dyDescent="0.2">
      <c r="A526" s="111"/>
      <c r="B526" s="125" t="s">
        <v>640</v>
      </c>
      <c r="C526" s="374">
        <v>3600000</v>
      </c>
      <c r="D526" s="374">
        <v>3600000</v>
      </c>
      <c r="E526" s="297">
        <v>3600000</v>
      </c>
      <c r="F526" s="113">
        <v>1269604</v>
      </c>
      <c r="G526" s="114">
        <v>0</v>
      </c>
      <c r="H526" s="88"/>
    </row>
    <row r="527" spans="1:8" ht="12.75" hidden="1" customHeight="1" x14ac:dyDescent="0.2">
      <c r="A527" s="111"/>
      <c r="B527" s="125"/>
      <c r="C527" s="380"/>
      <c r="D527" s="380"/>
      <c r="E527" s="113"/>
      <c r="F527" s="113"/>
      <c r="G527" s="114"/>
      <c r="H527" s="88"/>
    </row>
    <row r="528" spans="1:8" ht="12.75" hidden="1" customHeight="1" x14ac:dyDescent="0.2">
      <c r="A528" s="111"/>
      <c r="B528" s="125" t="s">
        <v>641</v>
      </c>
      <c r="C528" s="381">
        <f>SUM(C529:C531)</f>
        <v>2377000</v>
      </c>
      <c r="D528" s="382">
        <f>SUM(D529:D531)</f>
        <v>2022000</v>
      </c>
      <c r="E528" s="381">
        <f>SUM(E529:E531)</f>
        <v>2022000</v>
      </c>
      <c r="F528" s="381">
        <f>SUM(F529:F531)</f>
        <v>1309000</v>
      </c>
      <c r="G528" s="381">
        <f>SUM(G529:G531)</f>
        <v>6679000</v>
      </c>
      <c r="H528" s="88"/>
    </row>
    <row r="529" spans="1:8" ht="12.75" hidden="1" customHeight="1" x14ac:dyDescent="0.2">
      <c r="A529" s="111"/>
      <c r="B529" s="125" t="s">
        <v>633</v>
      </c>
      <c r="C529" s="374">
        <f>1671000+60000+3000-50000</f>
        <v>1684000</v>
      </c>
      <c r="D529" s="374">
        <v>1664000</v>
      </c>
      <c r="E529" s="113">
        <v>1664000</v>
      </c>
      <c r="F529" s="113">
        <v>1164000</v>
      </c>
      <c r="G529" s="114">
        <v>1787000</v>
      </c>
      <c r="H529" s="88"/>
    </row>
    <row r="530" spans="1:8" ht="44.25" hidden="1" customHeight="1" x14ac:dyDescent="0.2">
      <c r="A530" s="111"/>
      <c r="B530" s="125" t="s">
        <v>642</v>
      </c>
      <c r="C530" s="374">
        <f>2127000-1200000-379000</f>
        <v>548000</v>
      </c>
      <c r="D530" s="374">
        <v>213000</v>
      </c>
      <c r="E530" s="297">
        <v>213000</v>
      </c>
      <c r="F530" s="178">
        <v>0</v>
      </c>
      <c r="G530" s="114">
        <f>+(368+237+417+210+260+120)*1000</f>
        <v>1612000</v>
      </c>
      <c r="H530" s="32"/>
    </row>
    <row r="531" spans="1:8" ht="23.25" hidden="1" customHeight="1" x14ac:dyDescent="0.2">
      <c r="A531" s="111"/>
      <c r="B531" s="125" t="s">
        <v>643</v>
      </c>
      <c r="C531" s="374">
        <f>338000-193000</f>
        <v>145000</v>
      </c>
      <c r="D531" s="374">
        <v>145000</v>
      </c>
      <c r="E531" s="178">
        <v>145000</v>
      </c>
      <c r="F531" s="178">
        <v>145000</v>
      </c>
      <c r="G531" s="114">
        <v>3280000</v>
      </c>
      <c r="H531" s="88"/>
    </row>
    <row r="532" spans="1:8" ht="12.75" hidden="1" customHeight="1" x14ac:dyDescent="0.2">
      <c r="A532" s="111"/>
      <c r="B532" s="125"/>
      <c r="C532" s="383"/>
      <c r="D532" s="383"/>
      <c r="E532" s="114"/>
      <c r="F532" s="384"/>
      <c r="G532" s="114"/>
      <c r="H532" s="88"/>
    </row>
    <row r="533" spans="1:8" hidden="1" x14ac:dyDescent="0.2">
      <c r="A533" s="106">
        <v>3113</v>
      </c>
      <c r="B533" s="110" t="s">
        <v>644</v>
      </c>
      <c r="C533" s="145">
        <f>SUM(C534:C537)</f>
        <v>39833000</v>
      </c>
      <c r="D533" s="109">
        <f>SUM(D534:D537)</f>
        <v>37828000</v>
      </c>
      <c r="E533" s="145">
        <f>SUM(E534:E537)</f>
        <v>37828000</v>
      </c>
      <c r="F533" s="145">
        <f>SUM(F534:F537)</f>
        <v>16623211.620000001</v>
      </c>
      <c r="G533" s="145">
        <f>SUM(G534:G537)</f>
        <v>35699000</v>
      </c>
      <c r="H533" s="88"/>
    </row>
    <row r="534" spans="1:8" ht="12.75" hidden="1" customHeight="1" x14ac:dyDescent="0.2">
      <c r="A534" s="106"/>
      <c r="B534" s="147" t="s">
        <v>645</v>
      </c>
      <c r="C534" s="374">
        <f>+(200+108+50+42)*1000</f>
        <v>400000</v>
      </c>
      <c r="D534" s="374">
        <v>385000</v>
      </c>
      <c r="E534" s="113">
        <v>385000</v>
      </c>
      <c r="F534" s="178">
        <v>112670</v>
      </c>
      <c r="G534" s="114">
        <v>400000</v>
      </c>
      <c r="H534" s="88"/>
    </row>
    <row r="535" spans="1:8" ht="12.75" hidden="1" customHeight="1" x14ac:dyDescent="0.2">
      <c r="A535" s="111"/>
      <c r="B535" s="125" t="s">
        <v>646</v>
      </c>
      <c r="C535" s="385">
        <f t="shared" ref="C535:G536" si="6">SUM(C545,C550,C540,C555)</f>
        <v>19377000</v>
      </c>
      <c r="D535" s="374">
        <f t="shared" si="6"/>
        <v>18807000</v>
      </c>
      <c r="E535" s="385">
        <f t="shared" si="6"/>
        <v>18807000</v>
      </c>
      <c r="F535" s="385">
        <f t="shared" si="6"/>
        <v>13777068.82</v>
      </c>
      <c r="G535" s="385">
        <f t="shared" si="6"/>
        <v>18701000</v>
      </c>
      <c r="H535" s="88"/>
    </row>
    <row r="536" spans="1:8" ht="12.75" hidden="1" customHeight="1" x14ac:dyDescent="0.2">
      <c r="A536" s="111"/>
      <c r="B536" s="125" t="s">
        <v>647</v>
      </c>
      <c r="C536" s="385">
        <f t="shared" si="6"/>
        <v>10759000</v>
      </c>
      <c r="D536" s="374">
        <f t="shared" si="6"/>
        <v>9059000</v>
      </c>
      <c r="E536" s="385">
        <f t="shared" si="6"/>
        <v>9059000</v>
      </c>
      <c r="F536" s="385">
        <f t="shared" si="6"/>
        <v>2403562.31</v>
      </c>
      <c r="G536" s="385">
        <f t="shared" si="6"/>
        <v>10054000</v>
      </c>
      <c r="H536" s="88"/>
    </row>
    <row r="537" spans="1:8" ht="12.75" hidden="1" customHeight="1" x14ac:dyDescent="0.2">
      <c r="A537" s="111"/>
      <c r="B537" s="125" t="s">
        <v>648</v>
      </c>
      <c r="C537" s="385">
        <f>C542+C547+C552+C557</f>
        <v>9297000</v>
      </c>
      <c r="D537" s="374">
        <f>D542+D547+D552+D557</f>
        <v>9577000</v>
      </c>
      <c r="E537" s="385">
        <f>E542+E547+E552+E557</f>
        <v>9577000</v>
      </c>
      <c r="F537" s="385">
        <f>F542+F547+F552+F557</f>
        <v>329910.49</v>
      </c>
      <c r="G537" s="385">
        <f>G542+G547+G552+G557</f>
        <v>6544000</v>
      </c>
      <c r="H537" s="32"/>
    </row>
    <row r="538" spans="1:8" s="98" customFormat="1" ht="12.75" hidden="1" customHeight="1" x14ac:dyDescent="0.2">
      <c r="A538" s="111"/>
      <c r="B538" s="125"/>
      <c r="C538" s="374"/>
      <c r="D538" s="374"/>
      <c r="E538" s="374"/>
      <c r="F538" s="374"/>
      <c r="G538" s="374"/>
      <c r="H538" s="386"/>
    </row>
    <row r="539" spans="1:8" hidden="1" x14ac:dyDescent="0.2">
      <c r="A539" s="111"/>
      <c r="B539" s="125" t="s">
        <v>649</v>
      </c>
      <c r="C539" s="145">
        <f>SUM(C540:C542)</f>
        <v>7839000</v>
      </c>
      <c r="D539" s="109">
        <f>SUM(D540:D542)</f>
        <v>7849000</v>
      </c>
      <c r="E539" s="145">
        <f>SUM(E540:E542)</f>
        <v>7849000</v>
      </c>
      <c r="F539" s="145">
        <f>SUM(F540:F542)</f>
        <v>5274946</v>
      </c>
      <c r="G539" s="145">
        <f>SUM(G540:G542)</f>
        <v>11137000</v>
      </c>
      <c r="H539" s="387"/>
    </row>
    <row r="540" spans="1:8" ht="12.75" hidden="1" customHeight="1" x14ac:dyDescent="0.2">
      <c r="A540" s="111"/>
      <c r="B540" s="125" t="s">
        <v>650</v>
      </c>
      <c r="C540" s="383">
        <f>6959000-40000</f>
        <v>6919000</v>
      </c>
      <c r="D540" s="383">
        <v>6649000</v>
      </c>
      <c r="E540" s="113">
        <v>6649000</v>
      </c>
      <c r="F540" s="113">
        <v>4869000</v>
      </c>
      <c r="G540" s="114">
        <v>6333000</v>
      </c>
      <c r="H540" s="387"/>
    </row>
    <row r="541" spans="1:8" ht="24.75" hidden="1" x14ac:dyDescent="0.2">
      <c r="A541" s="111"/>
      <c r="B541" s="125" t="s">
        <v>651</v>
      </c>
      <c r="C541" s="374">
        <v>280000</v>
      </c>
      <c r="D541" s="374">
        <v>280000</v>
      </c>
      <c r="E541" s="113">
        <v>280000</v>
      </c>
      <c r="F541" s="113">
        <v>263166</v>
      </c>
      <c r="G541" s="114">
        <v>1178000</v>
      </c>
      <c r="H541" s="387"/>
    </row>
    <row r="542" spans="1:8" ht="44.25" hidden="1" customHeight="1" x14ac:dyDescent="0.2">
      <c r="A542" s="111"/>
      <c r="B542" s="125" t="s">
        <v>652</v>
      </c>
      <c r="C542" s="374">
        <f>590000+50000</f>
        <v>640000</v>
      </c>
      <c r="D542" s="374">
        <v>920000</v>
      </c>
      <c r="E542" s="113">
        <v>920000</v>
      </c>
      <c r="F542" s="113">
        <v>142780</v>
      </c>
      <c r="G542" s="114">
        <f>(150+3000+300+70+192+85+129-300)*1000</f>
        <v>3626000</v>
      </c>
      <c r="H542" s="32"/>
    </row>
    <row r="543" spans="1:8" ht="12.75" hidden="1" customHeight="1" x14ac:dyDescent="0.2">
      <c r="A543" s="111"/>
      <c r="B543" s="125"/>
      <c r="C543" s="374"/>
      <c r="D543" s="374"/>
      <c r="E543" s="388"/>
      <c r="F543" s="388"/>
      <c r="G543" s="113"/>
      <c r="H543" s="88"/>
    </row>
    <row r="544" spans="1:8" hidden="1" x14ac:dyDescent="0.2">
      <c r="A544" s="111"/>
      <c r="B544" s="125" t="s">
        <v>653</v>
      </c>
      <c r="C544" s="145">
        <f>SUM(C545:C547)</f>
        <v>12511000</v>
      </c>
      <c r="D544" s="109">
        <f>SUM(D545:D547)</f>
        <v>12411000</v>
      </c>
      <c r="E544" s="145">
        <f>SUM(E545:E547)</f>
        <v>12411000</v>
      </c>
      <c r="F544" s="145">
        <f>SUM(F545:F547)</f>
        <v>3359199.31</v>
      </c>
      <c r="G544" s="145">
        <f>SUM(G545:G547)</f>
        <v>4954000</v>
      </c>
      <c r="H544" s="88"/>
    </row>
    <row r="545" spans="1:8" ht="12.75" hidden="1" customHeight="1" x14ac:dyDescent="0.2">
      <c r="A545" s="111"/>
      <c r="B545" s="125" t="s">
        <v>654</v>
      </c>
      <c r="C545" s="374">
        <f>4261000-20000</f>
        <v>4241000</v>
      </c>
      <c r="D545" s="374">
        <v>4141000</v>
      </c>
      <c r="E545" s="114">
        <v>4141000</v>
      </c>
      <c r="F545" s="114">
        <v>3259068.82</v>
      </c>
      <c r="G545" s="114">
        <v>3940000</v>
      </c>
      <c r="H545" s="88"/>
    </row>
    <row r="546" spans="1:8" ht="24.75" hidden="1" customHeight="1" x14ac:dyDescent="0.2">
      <c r="A546" s="111"/>
      <c r="B546" s="125" t="s">
        <v>655</v>
      </c>
      <c r="C546" s="374">
        <v>0</v>
      </c>
      <c r="D546" s="374">
        <v>0</v>
      </c>
      <c r="E546" s="113">
        <v>0</v>
      </c>
      <c r="F546" s="113">
        <v>0</v>
      </c>
      <c r="G546" s="114">
        <v>576000</v>
      </c>
      <c r="H546" s="88"/>
    </row>
    <row r="547" spans="1:8" ht="24.75" hidden="1" x14ac:dyDescent="0.2">
      <c r="A547" s="111"/>
      <c r="B547" s="125" t="s">
        <v>656</v>
      </c>
      <c r="C547" s="374">
        <v>8270000</v>
      </c>
      <c r="D547" s="374">
        <v>8270000</v>
      </c>
      <c r="E547" s="113">
        <v>8270000</v>
      </c>
      <c r="F547" s="113">
        <v>100130.49</v>
      </c>
      <c r="G547" s="114">
        <v>438000</v>
      </c>
      <c r="H547" s="32"/>
    </row>
    <row r="548" spans="1:8" ht="12.75" hidden="1" customHeight="1" x14ac:dyDescent="0.2">
      <c r="A548" s="111"/>
      <c r="B548" s="125"/>
      <c r="C548" s="374"/>
      <c r="D548" s="374"/>
      <c r="E548" s="113"/>
      <c r="F548" s="113"/>
      <c r="G548" s="113"/>
      <c r="H548" s="387"/>
    </row>
    <row r="549" spans="1:8" ht="12.75" hidden="1" customHeight="1" x14ac:dyDescent="0.2">
      <c r="A549" s="111"/>
      <c r="B549" s="125" t="s">
        <v>657</v>
      </c>
      <c r="C549" s="145">
        <f>SUM(C550:C552)</f>
        <v>5671000</v>
      </c>
      <c r="D549" s="109">
        <f>SUM(D550:D552)</f>
        <v>3871000</v>
      </c>
      <c r="E549" s="145">
        <f>SUM(E550:E552)</f>
        <v>3871000</v>
      </c>
      <c r="F549" s="145">
        <f>SUM(F550:F552)</f>
        <v>2565194.63</v>
      </c>
      <c r="G549" s="145">
        <f>SUM(G550:G552)</f>
        <v>12515000</v>
      </c>
      <c r="H549" s="387"/>
    </row>
    <row r="550" spans="1:8" ht="12.75" hidden="1" customHeight="1" x14ac:dyDescent="0.2">
      <c r="A550" s="111"/>
      <c r="B550" s="125" t="s">
        <v>658</v>
      </c>
      <c r="C550" s="374">
        <f>3454000-20000</f>
        <v>3434000</v>
      </c>
      <c r="D550" s="374">
        <v>3334000</v>
      </c>
      <c r="E550" s="113">
        <v>3334000</v>
      </c>
      <c r="F550" s="113">
        <v>2356000</v>
      </c>
      <c r="G550" s="114">
        <v>3375000</v>
      </c>
      <c r="H550" s="387"/>
    </row>
    <row r="551" spans="1:8" ht="29.25" hidden="1" customHeight="1" x14ac:dyDescent="0.2">
      <c r="A551" s="111"/>
      <c r="B551" s="125" t="s">
        <v>659</v>
      </c>
      <c r="C551" s="374">
        <v>1850000</v>
      </c>
      <c r="D551" s="374">
        <v>150000</v>
      </c>
      <c r="E551" s="113">
        <v>150000</v>
      </c>
      <c r="F551" s="113">
        <v>122194.63</v>
      </c>
      <c r="G551" s="114">
        <f>(4600+2600+500+400)*1000</f>
        <v>8100000</v>
      </c>
      <c r="H551" s="387"/>
    </row>
    <row r="552" spans="1:8" ht="24.75" hidden="1" x14ac:dyDescent="0.2">
      <c r="A552" s="111"/>
      <c r="B552" s="125" t="s">
        <v>660</v>
      </c>
      <c r="C552" s="374">
        <v>387000</v>
      </c>
      <c r="D552" s="374">
        <v>387000</v>
      </c>
      <c r="E552" s="113">
        <v>387000</v>
      </c>
      <c r="F552" s="113">
        <v>87000</v>
      </c>
      <c r="G552" s="114">
        <f>+(600+600-160)*1000</f>
        <v>1040000</v>
      </c>
      <c r="H552" s="387"/>
    </row>
    <row r="553" spans="1:8" ht="12.75" hidden="1" customHeight="1" x14ac:dyDescent="0.2">
      <c r="A553" s="111"/>
      <c r="B553" s="125"/>
      <c r="C553" s="374"/>
      <c r="D553" s="374"/>
      <c r="E553" s="105"/>
      <c r="F553" s="114"/>
      <c r="G553" s="105"/>
      <c r="H553" s="386"/>
    </row>
    <row r="554" spans="1:8" hidden="1" x14ac:dyDescent="0.2">
      <c r="A554" s="111"/>
      <c r="B554" s="125" t="s">
        <v>661</v>
      </c>
      <c r="C554" s="145">
        <f>SUM(C555:C557)</f>
        <v>13412000</v>
      </c>
      <c r="D554" s="109">
        <f>SUM(D555:D557)</f>
        <v>13312000</v>
      </c>
      <c r="E554" s="145">
        <f>SUM(E555:E557)</f>
        <v>13312000</v>
      </c>
      <c r="F554" s="145">
        <f>SUM(F555:F557)</f>
        <v>5311201.68</v>
      </c>
      <c r="G554" s="145">
        <f>SUM(G555:G557)</f>
        <v>6693000</v>
      </c>
      <c r="H554" s="386"/>
    </row>
    <row r="555" spans="1:8" ht="12.75" hidden="1" customHeight="1" x14ac:dyDescent="0.2">
      <c r="A555" s="111"/>
      <c r="B555" s="125" t="s">
        <v>662</v>
      </c>
      <c r="C555" s="374">
        <f>4803000-20000</f>
        <v>4783000</v>
      </c>
      <c r="D555" s="374">
        <v>4683000</v>
      </c>
      <c r="E555" s="220">
        <v>4683000</v>
      </c>
      <c r="F555" s="220">
        <v>3293000</v>
      </c>
      <c r="G555" s="114">
        <v>5053000</v>
      </c>
      <c r="H555" s="88"/>
    </row>
    <row r="556" spans="1:8" ht="15" hidden="1" x14ac:dyDescent="0.2">
      <c r="A556" s="111"/>
      <c r="B556" s="125" t="s">
        <v>663</v>
      </c>
      <c r="C556" s="374">
        <v>8629000</v>
      </c>
      <c r="D556" s="374">
        <v>8629000</v>
      </c>
      <c r="E556" s="266">
        <v>8629000</v>
      </c>
      <c r="F556" s="266">
        <v>2018201.68</v>
      </c>
      <c r="G556" s="114">
        <v>200000</v>
      </c>
      <c r="H556" s="387"/>
    </row>
    <row r="557" spans="1:8" ht="12.75" hidden="1" customHeight="1" x14ac:dyDescent="0.2">
      <c r="A557" s="111"/>
      <c r="B557" s="125" t="s">
        <v>664</v>
      </c>
      <c r="C557" s="374">
        <f>50000-50000</f>
        <v>0</v>
      </c>
      <c r="D557" s="374">
        <v>0</v>
      </c>
      <c r="E557" s="388">
        <v>0</v>
      </c>
      <c r="F557" s="388">
        <v>0</v>
      </c>
      <c r="G557" s="114">
        <f>(320+1250-130)*1000</f>
        <v>1440000</v>
      </c>
      <c r="H557" s="386"/>
    </row>
    <row r="558" spans="1:8" ht="12.75" hidden="1" customHeight="1" x14ac:dyDescent="0.2">
      <c r="A558" s="111"/>
      <c r="B558" s="125"/>
      <c r="C558" s="374"/>
      <c r="D558" s="374"/>
      <c r="E558" s="121"/>
      <c r="F558" s="121"/>
      <c r="G558" s="114"/>
      <c r="H558" s="386"/>
    </row>
    <row r="559" spans="1:8" hidden="1" x14ac:dyDescent="0.2">
      <c r="A559" s="106">
        <v>3233</v>
      </c>
      <c r="B559" s="110" t="s">
        <v>665</v>
      </c>
      <c r="C559" s="145">
        <f>C560</f>
        <v>4374000</v>
      </c>
      <c r="D559" s="109">
        <f>D560</f>
        <v>1686994</v>
      </c>
      <c r="E559" s="145">
        <f>E560</f>
        <v>1686994</v>
      </c>
      <c r="F559" s="145">
        <f>F560</f>
        <v>1343942</v>
      </c>
      <c r="G559" s="145">
        <f>G560</f>
        <v>21464811.300000001</v>
      </c>
      <c r="H559" s="386"/>
    </row>
    <row r="560" spans="1:8" ht="12.75" hidden="1" customHeight="1" x14ac:dyDescent="0.2">
      <c r="A560" s="106"/>
      <c r="B560" s="125" t="s">
        <v>666</v>
      </c>
      <c r="C560" s="385">
        <f>SUM(C561:C563)</f>
        <v>4374000</v>
      </c>
      <c r="D560" s="374">
        <f>SUM(D561:D563)</f>
        <v>1686994</v>
      </c>
      <c r="E560" s="385">
        <f>SUM(E561:E563)</f>
        <v>1686994</v>
      </c>
      <c r="F560" s="385">
        <f>SUM(F561:F563)</f>
        <v>1343942</v>
      </c>
      <c r="G560" s="385">
        <f>SUM(G561:G563)</f>
        <v>21464811.300000001</v>
      </c>
      <c r="H560" s="386"/>
    </row>
    <row r="561" spans="1:8" ht="12.75" hidden="1" customHeight="1" x14ac:dyDescent="0.2">
      <c r="A561" s="106"/>
      <c r="B561" s="125" t="s">
        <v>667</v>
      </c>
      <c r="C561" s="374">
        <f>1509000+2000+3000</f>
        <v>1514000</v>
      </c>
      <c r="D561" s="374">
        <v>1304000</v>
      </c>
      <c r="E561" s="121">
        <v>1304000</v>
      </c>
      <c r="F561" s="121">
        <v>1076000</v>
      </c>
      <c r="G561" s="114">
        <v>1512000</v>
      </c>
      <c r="H561" s="386"/>
    </row>
    <row r="562" spans="1:8" ht="12.75" hidden="1" customHeight="1" x14ac:dyDescent="0.2">
      <c r="A562" s="106"/>
      <c r="B562" s="125" t="s">
        <v>668</v>
      </c>
      <c r="C562" s="374">
        <f>246000-246000</f>
        <v>0</v>
      </c>
      <c r="D562" s="374">
        <v>0</v>
      </c>
      <c r="E562" s="113">
        <v>0</v>
      </c>
      <c r="F562" s="113">
        <v>0</v>
      </c>
      <c r="G562" s="114">
        <v>150000</v>
      </c>
      <c r="H562" s="386"/>
    </row>
    <row r="563" spans="1:8" ht="24.75" hidden="1" x14ac:dyDescent="0.2">
      <c r="A563" s="106"/>
      <c r="B563" s="125" t="s">
        <v>669</v>
      </c>
      <c r="C563" s="374">
        <f>2943000-83000</f>
        <v>2860000</v>
      </c>
      <c r="D563" s="374">
        <v>382994</v>
      </c>
      <c r="E563" s="113">
        <v>382994</v>
      </c>
      <c r="F563" s="113">
        <v>267942</v>
      </c>
      <c r="G563" s="114">
        <f>+(19797.8113+95+50-140)*1000</f>
        <v>19802811.300000001</v>
      </c>
      <c r="H563" s="32"/>
    </row>
    <row r="564" spans="1:8" s="98" customFormat="1" ht="12.75" hidden="1" customHeight="1" x14ac:dyDescent="0.2">
      <c r="A564" s="106">
        <v>3419</v>
      </c>
      <c r="B564" s="110" t="s">
        <v>670</v>
      </c>
      <c r="C564" s="382">
        <v>60000</v>
      </c>
      <c r="D564" s="382">
        <v>60000</v>
      </c>
      <c r="E564" s="105">
        <v>60000</v>
      </c>
      <c r="F564" s="105">
        <v>23782.41</v>
      </c>
      <c r="G564" s="105">
        <v>80000</v>
      </c>
      <c r="H564" s="88"/>
    </row>
    <row r="565" spans="1:8" s="98" customFormat="1" ht="15.75" hidden="1" x14ac:dyDescent="0.25">
      <c r="A565" s="312"/>
      <c r="B565" s="369" t="s">
        <v>671</v>
      </c>
      <c r="C565" s="169">
        <f>SUM(C566,C570,C573,C578,C581,C588)</f>
        <v>39914000</v>
      </c>
      <c r="D565" s="137">
        <f>SUM(D566,D570,D573,D578,D581,D588)</f>
        <v>39435236.609999999</v>
      </c>
      <c r="E565" s="169">
        <f>SUM(E566,E570,E573,E578,E581,E588)</f>
        <v>39435236.609999999</v>
      </c>
      <c r="F565" s="169">
        <f>SUM(F566,F570,F573,F578,F581,F588)</f>
        <v>25118106.539999999</v>
      </c>
      <c r="G565" s="169">
        <f>SUM(G566,G570,G573,G578,G581,G588)</f>
        <v>63946000</v>
      </c>
      <c r="H565" s="88"/>
    </row>
    <row r="566" spans="1:8" s="98" customFormat="1" hidden="1" x14ac:dyDescent="0.2">
      <c r="A566" s="389">
        <v>3311</v>
      </c>
      <c r="B566" s="390" t="s">
        <v>672</v>
      </c>
      <c r="C566" s="197">
        <f>SUM(C567:C569)</f>
        <v>13652000</v>
      </c>
      <c r="D566" s="105">
        <f>SUM(D567:D569)</f>
        <v>13287856.609999999</v>
      </c>
      <c r="E566" s="197">
        <f>SUM(E567:E569)</f>
        <v>13287856.609999999</v>
      </c>
      <c r="F566" s="197">
        <f>SUM(F567:F569)</f>
        <v>8752492.9000000004</v>
      </c>
      <c r="G566" s="197">
        <f>SUM(G567:G569)</f>
        <v>35844000</v>
      </c>
      <c r="H566" s="88"/>
    </row>
    <row r="567" spans="1:8" s="98" customFormat="1" ht="12.75" hidden="1" customHeight="1" x14ac:dyDescent="0.2">
      <c r="A567" s="391"/>
      <c r="B567" s="392" t="s">
        <v>673</v>
      </c>
      <c r="C567" s="374">
        <f>11611000+511000</f>
        <v>12122000</v>
      </c>
      <c r="D567" s="374">
        <v>11554289.039999999</v>
      </c>
      <c r="E567" s="113">
        <v>11554289.039999999</v>
      </c>
      <c r="F567" s="113">
        <v>7809830.2999999998</v>
      </c>
      <c r="G567" s="114">
        <v>12044000</v>
      </c>
      <c r="H567" s="88"/>
    </row>
    <row r="568" spans="1:8" s="98" customFormat="1" ht="24.75" hidden="1" x14ac:dyDescent="0.2">
      <c r="A568" s="391"/>
      <c r="B568" s="392" t="s">
        <v>674</v>
      </c>
      <c r="C568" s="374">
        <f>1150000+220000-400000</f>
        <v>970000</v>
      </c>
      <c r="D568" s="374">
        <v>970000</v>
      </c>
      <c r="E568" s="113">
        <v>970000</v>
      </c>
      <c r="F568" s="113">
        <v>836182.6</v>
      </c>
      <c r="G568" s="114">
        <f>+(20000+4000-200)*1000</f>
        <v>23800000</v>
      </c>
      <c r="H568" s="32"/>
    </row>
    <row r="569" spans="1:8" s="98" customFormat="1" ht="13.5" hidden="1" customHeight="1" x14ac:dyDescent="0.2">
      <c r="A569" s="391"/>
      <c r="B569" s="392" t="s">
        <v>675</v>
      </c>
      <c r="C569" s="393">
        <f>410000+150000</f>
        <v>560000</v>
      </c>
      <c r="D569" s="393">
        <v>763567.57</v>
      </c>
      <c r="E569" s="200">
        <v>763567.57</v>
      </c>
      <c r="F569" s="200">
        <v>106480</v>
      </c>
      <c r="G569" s="114">
        <v>0</v>
      </c>
      <c r="H569" s="88"/>
    </row>
    <row r="570" spans="1:8" hidden="1" x14ac:dyDescent="0.2">
      <c r="A570" s="394">
        <v>3319</v>
      </c>
      <c r="B570" s="395" t="s">
        <v>676</v>
      </c>
      <c r="C570" s="109">
        <f>SUM(C571:C572)</f>
        <v>1005000</v>
      </c>
      <c r="D570" s="109">
        <f>SUM(D571:D572)</f>
        <v>918000</v>
      </c>
      <c r="E570" s="109">
        <f>SUM(E571:E572)</f>
        <v>918000</v>
      </c>
      <c r="F570" s="109">
        <f>SUM(F571:F572)</f>
        <v>235910.69</v>
      </c>
      <c r="G570" s="109">
        <f>SUM(G571:G572)</f>
        <v>1017000</v>
      </c>
      <c r="H570" s="88"/>
    </row>
    <row r="571" spans="1:8" ht="12.75" hidden="1" customHeight="1" x14ac:dyDescent="0.2">
      <c r="A571" s="394"/>
      <c r="B571" s="396" t="s">
        <v>677</v>
      </c>
      <c r="C571" s="374">
        <v>410000</v>
      </c>
      <c r="D571" s="374">
        <v>410000</v>
      </c>
      <c r="E571" s="113">
        <v>410000</v>
      </c>
      <c r="F571" s="113">
        <v>235910.69</v>
      </c>
      <c r="G571" s="114">
        <f>417000+5000</f>
        <v>422000</v>
      </c>
      <c r="H571" s="32"/>
    </row>
    <row r="572" spans="1:8" ht="24.75" hidden="1" customHeight="1" x14ac:dyDescent="0.2">
      <c r="A572" s="394"/>
      <c r="B572" s="397" t="s">
        <v>678</v>
      </c>
      <c r="C572" s="374">
        <v>595000</v>
      </c>
      <c r="D572" s="374">
        <v>508000</v>
      </c>
      <c r="E572" s="113">
        <v>508000</v>
      </c>
      <c r="F572" s="113"/>
      <c r="G572" s="114">
        <v>595000</v>
      </c>
      <c r="H572" s="88"/>
    </row>
    <row r="573" spans="1:8" hidden="1" x14ac:dyDescent="0.2">
      <c r="A573" s="394">
        <v>3322</v>
      </c>
      <c r="B573" s="395" t="s">
        <v>679</v>
      </c>
      <c r="C573" s="145">
        <f>SUM(C574:C577)</f>
        <v>372000</v>
      </c>
      <c r="D573" s="109">
        <f>SUM(D574:D577)</f>
        <v>443000</v>
      </c>
      <c r="E573" s="145">
        <f>SUM(E574:E577)</f>
        <v>443000</v>
      </c>
      <c r="F573" s="145">
        <f>SUM(F574:F577)</f>
        <v>204341.84</v>
      </c>
      <c r="G573" s="145">
        <f>SUM(G574:G577)</f>
        <v>332000</v>
      </c>
      <c r="H573" s="88"/>
    </row>
    <row r="574" spans="1:8" ht="12.75" hidden="1" customHeight="1" x14ac:dyDescent="0.2">
      <c r="A574" s="391"/>
      <c r="B574" s="396" t="s">
        <v>680</v>
      </c>
      <c r="C574" s="374">
        <v>20000</v>
      </c>
      <c r="D574" s="374">
        <v>20000</v>
      </c>
      <c r="E574" s="121">
        <v>20000</v>
      </c>
      <c r="F574" s="121">
        <v>0</v>
      </c>
      <c r="G574" s="114">
        <v>10000</v>
      </c>
      <c r="H574" s="88"/>
    </row>
    <row r="575" spans="1:8" hidden="1" x14ac:dyDescent="0.2">
      <c r="A575" s="391"/>
      <c r="B575" s="396" t="s">
        <v>681</v>
      </c>
      <c r="C575" s="179">
        <v>40000</v>
      </c>
      <c r="D575" s="160">
        <v>40000</v>
      </c>
      <c r="E575" s="113">
        <v>40000</v>
      </c>
      <c r="F575" s="113">
        <v>0</v>
      </c>
      <c r="G575" s="114">
        <v>0</v>
      </c>
      <c r="H575" s="88"/>
    </row>
    <row r="576" spans="1:8" ht="12.75" hidden="1" customHeight="1" x14ac:dyDescent="0.2">
      <c r="A576" s="391"/>
      <c r="B576" s="392" t="s">
        <v>682</v>
      </c>
      <c r="C576" s="374">
        <v>42000</v>
      </c>
      <c r="D576" s="374">
        <v>42000</v>
      </c>
      <c r="E576" s="121">
        <v>42000</v>
      </c>
      <c r="F576" s="121">
        <v>31428</v>
      </c>
      <c r="G576" s="114">
        <v>42000</v>
      </c>
      <c r="H576" s="88"/>
    </row>
    <row r="577" spans="1:8" s="98" customFormat="1" ht="25.5" hidden="1" x14ac:dyDescent="0.2">
      <c r="A577" s="391"/>
      <c r="B577" s="392" t="s">
        <v>683</v>
      </c>
      <c r="C577" s="374">
        <f>305000-35000</f>
        <v>270000</v>
      </c>
      <c r="D577" s="374">
        <v>341000</v>
      </c>
      <c r="E577" s="121">
        <v>341000</v>
      </c>
      <c r="F577" s="121">
        <v>172913.84</v>
      </c>
      <c r="G577" s="114">
        <v>280000</v>
      </c>
      <c r="H577" s="32"/>
    </row>
    <row r="578" spans="1:8" s="98" customFormat="1" hidden="1" x14ac:dyDescent="0.2">
      <c r="A578" s="394">
        <v>3326</v>
      </c>
      <c r="B578" s="398" t="s">
        <v>684</v>
      </c>
      <c r="C578" s="145">
        <f>SUM(C579:C580)</f>
        <v>126000</v>
      </c>
      <c r="D578" s="109">
        <f>SUM(D579:D580)</f>
        <v>126000</v>
      </c>
      <c r="E578" s="145">
        <f>SUM(E579:E580)</f>
        <v>126000</v>
      </c>
      <c r="F578" s="145">
        <f>SUM(F579:F580)</f>
        <v>624.26</v>
      </c>
      <c r="G578" s="145">
        <f>SUM(G579:G580)</f>
        <v>341000</v>
      </c>
      <c r="H578" s="88"/>
    </row>
    <row r="579" spans="1:8" s="98" customFormat="1" ht="12.75" hidden="1" customHeight="1" x14ac:dyDescent="0.2">
      <c r="A579" s="391"/>
      <c r="B579" s="392" t="s">
        <v>685</v>
      </c>
      <c r="C579" s="374">
        <v>116000</v>
      </c>
      <c r="D579" s="374">
        <v>116000</v>
      </c>
      <c r="E579" s="121">
        <v>116000</v>
      </c>
      <c r="F579" s="121">
        <v>0</v>
      </c>
      <c r="G579" s="114">
        <v>338000</v>
      </c>
      <c r="H579" s="88"/>
    </row>
    <row r="580" spans="1:8" s="98" customFormat="1" ht="12.75" hidden="1" customHeight="1" x14ac:dyDescent="0.2">
      <c r="A580" s="391"/>
      <c r="B580" s="392" t="s">
        <v>686</v>
      </c>
      <c r="C580" s="374">
        <v>10000</v>
      </c>
      <c r="D580" s="374">
        <v>10000</v>
      </c>
      <c r="E580" s="121">
        <v>10000</v>
      </c>
      <c r="F580" s="121">
        <v>624.26</v>
      </c>
      <c r="G580" s="114">
        <v>3000</v>
      </c>
      <c r="H580" s="88"/>
    </row>
    <row r="581" spans="1:8" hidden="1" x14ac:dyDescent="0.2">
      <c r="A581" s="394">
        <v>3392</v>
      </c>
      <c r="B581" s="398" t="s">
        <v>687</v>
      </c>
      <c r="C581" s="145">
        <f>C583+C582</f>
        <v>24609000</v>
      </c>
      <c r="D581" s="109">
        <f>D583+D582</f>
        <v>24510380</v>
      </c>
      <c r="E581" s="145">
        <f>E583+E582</f>
        <v>24510380</v>
      </c>
      <c r="F581" s="145">
        <f>F583+F582</f>
        <v>15864967.85</v>
      </c>
      <c r="G581" s="145">
        <f>G583+G582</f>
        <v>26232000</v>
      </c>
      <c r="H581" s="88"/>
    </row>
    <row r="582" spans="1:8" ht="12.75" hidden="1" customHeight="1" x14ac:dyDescent="0.2">
      <c r="A582" s="394"/>
      <c r="B582" s="392" t="s">
        <v>688</v>
      </c>
      <c r="C582" s="374">
        <v>26000</v>
      </c>
      <c r="D582" s="374">
        <v>26000</v>
      </c>
      <c r="E582" s="113">
        <v>26000</v>
      </c>
      <c r="F582" s="113">
        <v>4000</v>
      </c>
      <c r="G582" s="114">
        <v>26000</v>
      </c>
      <c r="H582" s="32"/>
    </row>
    <row r="583" spans="1:8" hidden="1" x14ac:dyDescent="0.2">
      <c r="A583" s="391"/>
      <c r="B583" s="392" t="s">
        <v>689</v>
      </c>
      <c r="C583" s="145">
        <f>SUM(C584+C587+C586)</f>
        <v>24583000</v>
      </c>
      <c r="D583" s="109">
        <f>SUM(D584+D587+D586)</f>
        <v>24484380</v>
      </c>
      <c r="E583" s="145">
        <f>SUM(E584+E587+E586)</f>
        <v>24484380</v>
      </c>
      <c r="F583" s="145">
        <f>SUM(F584+F587+F586)</f>
        <v>15860967.85</v>
      </c>
      <c r="G583" s="145">
        <f>SUM(G584+G587+G586)</f>
        <v>26206000</v>
      </c>
      <c r="H583" s="32"/>
    </row>
    <row r="584" spans="1:8" ht="12.75" hidden="1" customHeight="1" x14ac:dyDescent="0.2">
      <c r="A584" s="391"/>
      <c r="B584" s="392" t="s">
        <v>690</v>
      </c>
      <c r="C584" s="374">
        <f>22225000+975000</f>
        <v>23200000</v>
      </c>
      <c r="D584" s="374">
        <v>23101380</v>
      </c>
      <c r="E584" s="113">
        <v>23101380</v>
      </c>
      <c r="F584" s="113">
        <v>15574415.85</v>
      </c>
      <c r="G584" s="114">
        <v>24300000</v>
      </c>
      <c r="H584" s="88"/>
    </row>
    <row r="585" spans="1:8" ht="12.75" hidden="1" customHeight="1" x14ac:dyDescent="0.2">
      <c r="A585" s="391"/>
      <c r="B585" s="392" t="s">
        <v>691</v>
      </c>
      <c r="C585" s="374"/>
      <c r="D585" s="374"/>
      <c r="E585" s="113"/>
      <c r="F585" s="113"/>
      <c r="G585" s="114"/>
      <c r="H585" s="32"/>
    </row>
    <row r="586" spans="1:8" s="98" customFormat="1" ht="12.75" hidden="1" customHeight="1" x14ac:dyDescent="0.2">
      <c r="A586" s="391"/>
      <c r="B586" s="392" t="s">
        <v>692</v>
      </c>
      <c r="C586" s="374">
        <v>267000</v>
      </c>
      <c r="D586" s="374">
        <v>267000</v>
      </c>
      <c r="E586" s="113">
        <v>267000</v>
      </c>
      <c r="F586" s="113">
        <v>0</v>
      </c>
      <c r="G586" s="114">
        <v>773000</v>
      </c>
      <c r="H586" s="88"/>
    </row>
    <row r="587" spans="1:8" s="98" customFormat="1" ht="48.75" hidden="1" x14ac:dyDescent="0.2">
      <c r="A587" s="391"/>
      <c r="B587" s="392" t="s">
        <v>693</v>
      </c>
      <c r="C587" s="374">
        <v>1116000</v>
      </c>
      <c r="D587" s="374">
        <v>1116000</v>
      </c>
      <c r="E587" s="113">
        <v>1116000</v>
      </c>
      <c r="F587" s="113">
        <v>286552</v>
      </c>
      <c r="G587" s="114">
        <f>+(415+351+130+310+313+57+157-600)*1000</f>
        <v>1133000</v>
      </c>
      <c r="H587" s="32"/>
    </row>
    <row r="588" spans="1:8" hidden="1" x14ac:dyDescent="0.2">
      <c r="A588" s="394">
        <v>3399</v>
      </c>
      <c r="B588" s="398" t="s">
        <v>694</v>
      </c>
      <c r="C588" s="145">
        <f>C589</f>
        <v>150000</v>
      </c>
      <c r="D588" s="109">
        <f>D589</f>
        <v>150000</v>
      </c>
      <c r="E588" s="145">
        <f>E589</f>
        <v>150000</v>
      </c>
      <c r="F588" s="145">
        <f>F589</f>
        <v>59769</v>
      </c>
      <c r="G588" s="145">
        <f>G589</f>
        <v>180000</v>
      </c>
      <c r="H588" s="88"/>
    </row>
    <row r="589" spans="1:8" ht="12.75" hidden="1" customHeight="1" x14ac:dyDescent="0.2">
      <c r="A589" s="391"/>
      <c r="B589" s="392" t="s">
        <v>695</v>
      </c>
      <c r="C589" s="399">
        <v>150000</v>
      </c>
      <c r="D589" s="399">
        <v>150000</v>
      </c>
      <c r="E589" s="266">
        <v>150000</v>
      </c>
      <c r="F589" s="266">
        <v>59769</v>
      </c>
      <c r="G589" s="114">
        <v>180000</v>
      </c>
      <c r="H589" s="32"/>
    </row>
    <row r="590" spans="1:8" ht="15.75" hidden="1" x14ac:dyDescent="0.25">
      <c r="A590" s="312"/>
      <c r="B590" s="168" t="s">
        <v>696</v>
      </c>
      <c r="C590" s="400">
        <f>C591</f>
        <v>21842140</v>
      </c>
      <c r="D590" s="400">
        <f>D591</f>
        <v>35974638</v>
      </c>
      <c r="E590" s="400">
        <f>E591</f>
        <v>35974638</v>
      </c>
      <c r="F590" s="400">
        <f>F591</f>
        <v>33020701</v>
      </c>
      <c r="G590" s="400">
        <f>G591</f>
        <v>17576816</v>
      </c>
      <c r="H590" s="88"/>
    </row>
    <row r="591" spans="1:8" hidden="1" x14ac:dyDescent="0.2">
      <c r="A591" s="106"/>
      <c r="B591" s="370" t="s">
        <v>697</v>
      </c>
      <c r="C591" s="104">
        <f>SUM(C592:C603)</f>
        <v>21842140</v>
      </c>
      <c r="D591" s="104">
        <f>SUM(D592:D603)</f>
        <v>35974638</v>
      </c>
      <c r="E591" s="104">
        <f>SUM(E592:E603)</f>
        <v>35974638</v>
      </c>
      <c r="F591" s="104">
        <f>SUM(F592:F603)</f>
        <v>33020701</v>
      </c>
      <c r="G591" s="104">
        <f>SUM(G592:G603)</f>
        <v>17576816</v>
      </c>
      <c r="H591" s="88"/>
    </row>
    <row r="592" spans="1:8" s="98" customFormat="1" ht="12.75" hidden="1" customHeight="1" x14ac:dyDescent="0.2">
      <c r="A592" s="111"/>
      <c r="B592" s="125" t="s">
        <v>698</v>
      </c>
      <c r="C592" s="374">
        <v>861000</v>
      </c>
      <c r="D592" s="374">
        <v>775000</v>
      </c>
      <c r="E592" s="121">
        <v>775000</v>
      </c>
      <c r="F592" s="121">
        <v>775000</v>
      </c>
      <c r="G592" s="114">
        <v>893000</v>
      </c>
      <c r="H592" s="88"/>
    </row>
    <row r="593" spans="1:8" s="98" customFormat="1" ht="12.75" hidden="1" customHeight="1" x14ac:dyDescent="0.2">
      <c r="A593" s="111"/>
      <c r="B593" s="125" t="s">
        <v>699</v>
      </c>
      <c r="C593" s="374">
        <v>286000</v>
      </c>
      <c r="D593" s="374">
        <v>262000</v>
      </c>
      <c r="E593" s="113">
        <v>262000</v>
      </c>
      <c r="F593" s="113">
        <v>144000</v>
      </c>
      <c r="G593" s="114">
        <v>297000</v>
      </c>
      <c r="H593" s="88"/>
    </row>
    <row r="594" spans="1:8" s="98" customFormat="1" ht="12.75" hidden="1" customHeight="1" x14ac:dyDescent="0.2">
      <c r="A594" s="111"/>
      <c r="B594" s="125" t="s">
        <v>700</v>
      </c>
      <c r="C594" s="374">
        <v>4250000</v>
      </c>
      <c r="D594" s="374">
        <v>4215000</v>
      </c>
      <c r="E594" s="113">
        <v>4215000</v>
      </c>
      <c r="F594" s="113">
        <v>3861500</v>
      </c>
      <c r="G594" s="114">
        <v>3050000</v>
      </c>
      <c r="H594" s="32"/>
    </row>
    <row r="595" spans="1:8" ht="12.75" hidden="1" customHeight="1" x14ac:dyDescent="0.2">
      <c r="A595" s="111"/>
      <c r="B595" s="125" t="s">
        <v>701</v>
      </c>
      <c r="C595" s="374">
        <v>7593000</v>
      </c>
      <c r="D595" s="374">
        <v>7178000</v>
      </c>
      <c r="E595" s="113">
        <v>7178000</v>
      </c>
      <c r="F595" s="113">
        <v>7011000</v>
      </c>
      <c r="G595" s="114">
        <v>5423000</v>
      </c>
      <c r="H595" s="32"/>
    </row>
    <row r="596" spans="1:8" ht="12.75" hidden="1" customHeight="1" x14ac:dyDescent="0.2">
      <c r="A596" s="111"/>
      <c r="B596" s="125" t="s">
        <v>702</v>
      </c>
      <c r="C596" s="374">
        <v>100000</v>
      </c>
      <c r="D596" s="374">
        <v>95000</v>
      </c>
      <c r="E596" s="113">
        <v>95000</v>
      </c>
      <c r="F596" s="113">
        <v>52000</v>
      </c>
      <c r="G596" s="114">
        <v>40000</v>
      </c>
      <c r="H596" s="88"/>
    </row>
    <row r="597" spans="1:8" ht="12.75" hidden="1" customHeight="1" x14ac:dyDescent="0.2">
      <c r="A597" s="111"/>
      <c r="B597" s="125" t="s">
        <v>703</v>
      </c>
      <c r="C597" s="374">
        <v>6700000</v>
      </c>
      <c r="D597" s="374">
        <v>6701700</v>
      </c>
      <c r="E597" s="121">
        <v>6701700</v>
      </c>
      <c r="F597" s="121">
        <v>5198300</v>
      </c>
      <c r="G597" s="114">
        <v>6500000</v>
      </c>
      <c r="H597" s="88"/>
    </row>
    <row r="598" spans="1:8" ht="12.75" hidden="1" customHeight="1" x14ac:dyDescent="0.2">
      <c r="A598" s="111"/>
      <c r="B598" s="125" t="s">
        <v>704</v>
      </c>
      <c r="C598" s="374">
        <v>0</v>
      </c>
      <c r="D598" s="374">
        <v>932</v>
      </c>
      <c r="E598" s="200">
        <v>932</v>
      </c>
      <c r="F598" s="200">
        <v>-932</v>
      </c>
      <c r="G598" s="114">
        <v>0</v>
      </c>
      <c r="H598" s="88"/>
    </row>
    <row r="599" spans="1:8" ht="12.75" hidden="1" customHeight="1" x14ac:dyDescent="0.2">
      <c r="A599" s="111"/>
      <c r="B599" s="125" t="s">
        <v>705</v>
      </c>
      <c r="C599" s="374">
        <v>0</v>
      </c>
      <c r="D599" s="374">
        <v>6800</v>
      </c>
      <c r="E599" s="200">
        <v>6800</v>
      </c>
      <c r="F599" s="200">
        <v>-6800</v>
      </c>
      <c r="G599" s="114">
        <v>0</v>
      </c>
      <c r="H599" s="88"/>
    </row>
    <row r="600" spans="1:8" ht="12.75" hidden="1" customHeight="1" x14ac:dyDescent="0.2">
      <c r="A600" s="112"/>
      <c r="B600" s="125" t="s">
        <v>706</v>
      </c>
      <c r="C600" s="374">
        <v>740000</v>
      </c>
      <c r="D600" s="374">
        <v>746532</v>
      </c>
      <c r="E600" s="266">
        <v>746532</v>
      </c>
      <c r="F600" s="266">
        <v>702468</v>
      </c>
      <c r="G600" s="114">
        <v>666000</v>
      </c>
      <c r="H600" s="88"/>
    </row>
    <row r="601" spans="1:8" ht="12.75" hidden="1" customHeight="1" x14ac:dyDescent="0.2">
      <c r="A601" s="112"/>
      <c r="B601" s="125" t="s">
        <v>707</v>
      </c>
      <c r="C601" s="374">
        <v>120000</v>
      </c>
      <c r="D601" s="374">
        <v>110000</v>
      </c>
      <c r="E601" s="220">
        <v>110000</v>
      </c>
      <c r="F601" s="220">
        <v>33000</v>
      </c>
      <c r="G601" s="114">
        <v>84000</v>
      </c>
      <c r="H601" s="88"/>
    </row>
    <row r="602" spans="1:8" ht="12.75" hidden="1" customHeight="1" x14ac:dyDescent="0.2">
      <c r="A602" s="112"/>
      <c r="B602" s="125" t="s">
        <v>708</v>
      </c>
      <c r="C602" s="374">
        <v>574000</v>
      </c>
      <c r="D602" s="374">
        <v>500000</v>
      </c>
      <c r="E602" s="123">
        <v>500000</v>
      </c>
      <c r="F602" s="123">
        <v>500000</v>
      </c>
      <c r="G602" s="114">
        <v>0</v>
      </c>
      <c r="H602" s="88"/>
    </row>
    <row r="603" spans="1:8" ht="36.75" hidden="1" x14ac:dyDescent="0.2">
      <c r="A603" s="107"/>
      <c r="B603" s="125" t="s">
        <v>709</v>
      </c>
      <c r="C603" s="374">
        <f>160000+276000+15000+55440+90000+21700</f>
        <v>618140</v>
      </c>
      <c r="D603" s="374">
        <v>15383674</v>
      </c>
      <c r="E603" s="113">
        <v>15383674</v>
      </c>
      <c r="F603" s="113">
        <v>14751165</v>
      </c>
      <c r="G603" s="114">
        <f>+(165+220+33.816+15+90+100)*1000</f>
        <v>623816</v>
      </c>
      <c r="H603" s="32"/>
    </row>
    <row r="604" spans="1:8" ht="21" hidden="1" customHeight="1" x14ac:dyDescent="0.3">
      <c r="A604" s="312"/>
      <c r="B604" s="90" t="s">
        <v>710</v>
      </c>
      <c r="C604" s="401">
        <f>SUM(C606)</f>
        <v>24216100</v>
      </c>
      <c r="D604" s="402">
        <v>26216100</v>
      </c>
      <c r="E604" s="281">
        <v>26000000</v>
      </c>
      <c r="F604" s="281">
        <v>16002050.35</v>
      </c>
      <c r="G604" s="281">
        <f>SUM(G606)</f>
        <v>24084500</v>
      </c>
      <c r="H604" s="88"/>
    </row>
    <row r="605" spans="1:8" ht="12" hidden="1" customHeight="1" x14ac:dyDescent="0.2">
      <c r="A605" s="106">
        <v>5311</v>
      </c>
      <c r="B605" s="141" t="s">
        <v>711</v>
      </c>
      <c r="C605" s="403">
        <f>SUM(C606)</f>
        <v>24216100</v>
      </c>
      <c r="D605" s="403">
        <v>26216100</v>
      </c>
      <c r="E605" s="105">
        <v>26000000</v>
      </c>
      <c r="F605" s="114">
        <v>16002050.35</v>
      </c>
      <c r="G605" s="105">
        <f>SUM(G606)</f>
        <v>24084500</v>
      </c>
      <c r="H605" s="88"/>
    </row>
    <row r="606" spans="1:8" ht="61.5" hidden="1" x14ac:dyDescent="0.2">
      <c r="A606" s="106"/>
      <c r="B606" s="355" t="s">
        <v>712</v>
      </c>
      <c r="C606" s="404">
        <f>(16200+4017.6+1458+2+1+200+2+68+169.5+10+240+10+237+35+3+48+2+529+288+80+15+50+20+25+6+500)*1000</f>
        <v>24216100</v>
      </c>
      <c r="D606" s="404">
        <v>26216100</v>
      </c>
      <c r="E606" s="113">
        <v>26000000</v>
      </c>
      <c r="F606" s="113">
        <v>16002050.35</v>
      </c>
      <c r="G606" s="114">
        <f>(16000+3968+1440+2+275+1+101+127.5+10+240+1+242+30+3+27+2+579+283+80+7+50+10+100+6+500)*1000</f>
        <v>24084500</v>
      </c>
      <c r="H606" s="32"/>
    </row>
    <row r="607" spans="1:8" ht="12.75" hidden="1" customHeight="1" x14ac:dyDescent="0.2">
      <c r="A607" s="405"/>
      <c r="B607" s="406"/>
      <c r="C607" s="407"/>
      <c r="D607" s="407"/>
      <c r="E607" s="266"/>
      <c r="F607" s="266"/>
      <c r="G607" s="143"/>
      <c r="H607" s="32"/>
    </row>
    <row r="608" spans="1:8" ht="20.25" hidden="1" x14ac:dyDescent="0.3">
      <c r="A608" s="312"/>
      <c r="B608" s="90" t="s">
        <v>713</v>
      </c>
      <c r="C608" s="91">
        <f>SUM(C609:C614)+C623</f>
        <v>36789421</v>
      </c>
      <c r="D608" s="36">
        <f>SUM(D609:D614)+D623</f>
        <v>33301421</v>
      </c>
      <c r="E608" s="36">
        <f>SUM(E609:E614)+E623</f>
        <v>30587183.09</v>
      </c>
      <c r="F608" s="36">
        <f>SUM(F609:F614)+F623</f>
        <v>14768627.58</v>
      </c>
      <c r="G608" s="36">
        <f>SUM(G609:G614)+G623</f>
        <v>34895800</v>
      </c>
      <c r="H608" s="88"/>
    </row>
    <row r="609" spans="1:8" s="98" customFormat="1" ht="36.75" hidden="1" x14ac:dyDescent="0.2">
      <c r="A609" s="102">
        <v>5212</v>
      </c>
      <c r="B609" s="196" t="s">
        <v>714</v>
      </c>
      <c r="C609" s="197">
        <f>1000+80000+25000+23000+40000</f>
        <v>169000</v>
      </c>
      <c r="D609" s="197">
        <v>169000</v>
      </c>
      <c r="E609" s="105">
        <v>136000</v>
      </c>
      <c r="F609" s="105">
        <v>38199.1</v>
      </c>
      <c r="G609" s="105">
        <v>169000</v>
      </c>
      <c r="H609" s="32"/>
    </row>
    <row r="610" spans="1:8" s="244" customFormat="1" ht="36.75" hidden="1" x14ac:dyDescent="0.25">
      <c r="A610" s="106">
        <v>5213</v>
      </c>
      <c r="B610" s="146" t="s">
        <v>715</v>
      </c>
      <c r="C610" s="145">
        <f>50000+70000+3000+3000+4000+10000+60000</f>
        <v>200000</v>
      </c>
      <c r="D610" s="145">
        <v>800000</v>
      </c>
      <c r="E610" s="145">
        <v>957907.71</v>
      </c>
      <c r="F610" s="145">
        <v>671490.34</v>
      </c>
      <c r="G610" s="105">
        <v>300000</v>
      </c>
      <c r="H610" s="32"/>
    </row>
    <row r="611" spans="1:8" s="98" customFormat="1" ht="24.75" hidden="1" x14ac:dyDescent="0.2">
      <c r="A611" s="106">
        <v>5273</v>
      </c>
      <c r="B611" s="146" t="s">
        <v>716</v>
      </c>
      <c r="C611" s="145">
        <f>1000+2000+1000+1000</f>
        <v>5000</v>
      </c>
      <c r="D611" s="145">
        <v>5000</v>
      </c>
      <c r="E611" s="109">
        <v>5000</v>
      </c>
      <c r="F611" s="109">
        <v>0</v>
      </c>
      <c r="G611" s="105">
        <v>5000</v>
      </c>
      <c r="H611" s="32"/>
    </row>
    <row r="612" spans="1:8" s="244" customFormat="1" ht="15.75" hidden="1" x14ac:dyDescent="0.25">
      <c r="A612" s="106">
        <v>5511</v>
      </c>
      <c r="B612" s="146" t="s">
        <v>717</v>
      </c>
      <c r="C612" s="145">
        <v>1800000</v>
      </c>
      <c r="D612" s="145">
        <v>1800000</v>
      </c>
      <c r="E612" s="109">
        <v>1645974</v>
      </c>
      <c r="F612" s="109">
        <v>1645974</v>
      </c>
      <c r="G612" s="105">
        <v>1800000</v>
      </c>
      <c r="H612" s="32"/>
    </row>
    <row r="613" spans="1:8" s="244" customFormat="1" ht="36.75" hidden="1" x14ac:dyDescent="0.25">
      <c r="A613" s="106">
        <v>5512</v>
      </c>
      <c r="B613" s="146" t="s">
        <v>718</v>
      </c>
      <c r="C613" s="145">
        <f>40000+50000+5000+12000+3600+5000+7000+35000+4000</f>
        <v>161600</v>
      </c>
      <c r="D613" s="145">
        <v>161600</v>
      </c>
      <c r="E613" s="145">
        <v>161380.54</v>
      </c>
      <c r="F613" s="145">
        <v>103169.81</v>
      </c>
      <c r="G613" s="105">
        <v>332600</v>
      </c>
      <c r="H613" s="32"/>
    </row>
    <row r="614" spans="1:8" s="244" customFormat="1" ht="12.75" hidden="1" customHeight="1" x14ac:dyDescent="0.25">
      <c r="A614" s="106">
        <v>6171</v>
      </c>
      <c r="B614" s="144" t="s">
        <v>719</v>
      </c>
      <c r="C614" s="145">
        <f>SUM(C615:C622)</f>
        <v>33103821</v>
      </c>
      <c r="D614" s="145">
        <f>SUM(D615:D622)</f>
        <v>29015821</v>
      </c>
      <c r="E614" s="145">
        <f>SUM(E615:E622)</f>
        <v>26330920.84</v>
      </c>
      <c r="F614" s="145">
        <f>SUM(F615:F622)</f>
        <v>11460329.33</v>
      </c>
      <c r="G614" s="145">
        <f>SUM(G615:G622)</f>
        <v>30939200</v>
      </c>
      <c r="H614" s="88"/>
    </row>
    <row r="615" spans="1:8" s="244" customFormat="1" ht="144" hidden="1" x14ac:dyDescent="0.25">
      <c r="A615" s="106"/>
      <c r="B615" s="408" t="s">
        <v>720</v>
      </c>
      <c r="C615" s="121">
        <f>(40000+100000+32500+600000+980000+1000000+1000000+2000000+1075000+350000+2100000+1500000+1000+182000+1700000+71000+126000+578200+260000+4655000+100000+500000+2070000+500000+200000+200000+4500+1000+21000+2000)-1000000-400000</f>
        <v>20549200</v>
      </c>
      <c r="D615" s="121">
        <v>16631700</v>
      </c>
      <c r="E615" s="121">
        <v>15433900</v>
      </c>
      <c r="F615" s="121">
        <v>7773789.1399999997</v>
      </c>
      <c r="G615" s="114">
        <f>21917200-1500000</f>
        <v>20417200</v>
      </c>
      <c r="H615" s="32"/>
    </row>
    <row r="616" spans="1:8" s="244" customFormat="1" ht="24" hidden="1" x14ac:dyDescent="0.25">
      <c r="A616" s="106"/>
      <c r="B616" s="408" t="s">
        <v>721</v>
      </c>
      <c r="C616" s="121">
        <f>100000+150000+150000+1000000+600000</f>
        <v>2000000</v>
      </c>
      <c r="D616" s="121">
        <v>2420000</v>
      </c>
      <c r="E616" s="113">
        <v>1904250.45</v>
      </c>
      <c r="F616" s="113">
        <v>548557.02</v>
      </c>
      <c r="G616" s="114">
        <v>480000</v>
      </c>
      <c r="H616" s="32"/>
    </row>
    <row r="617" spans="1:8" s="98" customFormat="1" ht="48" hidden="1" x14ac:dyDescent="0.2">
      <c r="A617" s="111"/>
      <c r="B617" s="409" t="s">
        <v>722</v>
      </c>
      <c r="C617" s="121">
        <f>2040000+395000+33000+10000+3936516+50000+530000+312905</f>
        <v>7307421</v>
      </c>
      <c r="D617" s="121">
        <v>6807421</v>
      </c>
      <c r="E617" s="113">
        <v>6437421</v>
      </c>
      <c r="F617" s="113">
        <v>2355907.66</v>
      </c>
      <c r="G617" s="114">
        <v>5977400</v>
      </c>
      <c r="H617" s="32"/>
    </row>
    <row r="618" spans="1:8" ht="24" hidden="1" x14ac:dyDescent="0.2">
      <c r="A618" s="111"/>
      <c r="B618" s="409" t="s">
        <v>723</v>
      </c>
      <c r="C618" s="121">
        <f>100000+314600+20000+100000+200000+400000+200000+600000</f>
        <v>1934600</v>
      </c>
      <c r="D618" s="121">
        <v>1834600</v>
      </c>
      <c r="E618" s="113">
        <v>1234600</v>
      </c>
      <c r="F618" s="113">
        <v>0</v>
      </c>
      <c r="G618" s="114">
        <v>3071000</v>
      </c>
      <c r="H618" s="32"/>
    </row>
    <row r="619" spans="1:8" ht="36.75" hidden="1" x14ac:dyDescent="0.2">
      <c r="A619" s="111"/>
      <c r="B619" s="147" t="s">
        <v>724</v>
      </c>
      <c r="C619" s="121">
        <f>12000+10000+15000+90000+1000+1000+50000+50000+17000+650000</f>
        <v>896000</v>
      </c>
      <c r="D619" s="121">
        <v>896000</v>
      </c>
      <c r="E619" s="113">
        <v>895649.39</v>
      </c>
      <c r="F619" s="113">
        <v>563472.49</v>
      </c>
      <c r="G619" s="114">
        <f>833000-300000</f>
        <v>533000</v>
      </c>
      <c r="H619" s="32"/>
    </row>
    <row r="620" spans="1:8" hidden="1" x14ac:dyDescent="0.2">
      <c r="A620" s="111"/>
      <c r="B620" s="128" t="s">
        <v>725</v>
      </c>
      <c r="C620" s="121">
        <v>200000</v>
      </c>
      <c r="D620" s="121">
        <v>201500</v>
      </c>
      <c r="E620" s="113">
        <v>201500</v>
      </c>
      <c r="F620" s="113">
        <v>132647.82</v>
      </c>
      <c r="G620" s="114">
        <v>200000</v>
      </c>
      <c r="H620" s="32"/>
    </row>
    <row r="621" spans="1:8" hidden="1" x14ac:dyDescent="0.2">
      <c r="A621" s="111"/>
      <c r="B621" s="128" t="s">
        <v>726</v>
      </c>
      <c r="C621" s="121">
        <v>60000</v>
      </c>
      <c r="D621" s="121">
        <v>61000</v>
      </c>
      <c r="E621" s="113">
        <v>60000</v>
      </c>
      <c r="F621" s="113">
        <v>23746.6</v>
      </c>
      <c r="G621" s="114">
        <v>60000</v>
      </c>
      <c r="H621" s="410"/>
    </row>
    <row r="622" spans="1:8" ht="24.75" hidden="1" x14ac:dyDescent="0.2">
      <c r="A622" s="111"/>
      <c r="B622" s="147" t="s">
        <v>727</v>
      </c>
      <c r="C622" s="121">
        <f>2000+20000+9000+18000+11000+72600+24000</f>
        <v>156600</v>
      </c>
      <c r="D622" s="121">
        <v>163600</v>
      </c>
      <c r="E622" s="121">
        <v>163600</v>
      </c>
      <c r="F622" s="121">
        <v>62208.6</v>
      </c>
      <c r="G622" s="114">
        <v>200600</v>
      </c>
      <c r="H622" s="88"/>
    </row>
    <row r="623" spans="1:8" ht="12.75" hidden="1" customHeight="1" x14ac:dyDescent="0.2">
      <c r="A623" s="106">
        <v>6320</v>
      </c>
      <c r="B623" s="144" t="s">
        <v>728</v>
      </c>
      <c r="C623" s="145">
        <f>1300000+50000</f>
        <v>1350000</v>
      </c>
      <c r="D623" s="145">
        <v>1350000</v>
      </c>
      <c r="E623" s="108">
        <v>1350000</v>
      </c>
      <c r="F623" s="108">
        <v>849465</v>
      </c>
      <c r="G623" s="105">
        <v>1350000</v>
      </c>
      <c r="H623" s="88"/>
    </row>
    <row r="624" spans="1:8" ht="12.75" hidden="1" customHeight="1" x14ac:dyDescent="0.2">
      <c r="A624" s="411"/>
      <c r="B624" s="351"/>
      <c r="C624" s="163"/>
      <c r="D624" s="163"/>
      <c r="E624" s="266"/>
      <c r="F624" s="266"/>
      <c r="G624" s="143"/>
      <c r="H624" s="88"/>
    </row>
    <row r="625" spans="1:8" ht="20.25" hidden="1" x14ac:dyDescent="0.3">
      <c r="A625" s="312"/>
      <c r="B625" s="90" t="s">
        <v>729</v>
      </c>
      <c r="C625" s="412">
        <f>C626+C627+C631</f>
        <v>153267660</v>
      </c>
      <c r="D625" s="412">
        <f>D626+D627+D631</f>
        <v>152405979</v>
      </c>
      <c r="E625" s="412">
        <f>E626+E627+E631</f>
        <v>152405979</v>
      </c>
      <c r="F625" s="412">
        <f>F626+F627+F631</f>
        <v>87122082</v>
      </c>
      <c r="G625" s="412">
        <f>G626+G627+G631</f>
        <v>149365960</v>
      </c>
      <c r="H625" s="88"/>
    </row>
    <row r="626" spans="1:8" s="98" customFormat="1" ht="36.75" hidden="1" x14ac:dyDescent="0.2">
      <c r="A626" s="106">
        <v>6112</v>
      </c>
      <c r="B626" s="146" t="s">
        <v>730</v>
      </c>
      <c r="C626" s="145">
        <f>25000+7200000+954800+648000+12000+13000+500+20000+75000+7000+40000+30000</f>
        <v>9025300</v>
      </c>
      <c r="D626" s="145">
        <v>8652800</v>
      </c>
      <c r="E626" s="145">
        <v>8652800</v>
      </c>
      <c r="F626" s="105">
        <v>5523052</v>
      </c>
      <c r="G626" s="105">
        <v>8946400</v>
      </c>
      <c r="H626" s="32"/>
    </row>
    <row r="627" spans="1:8" s="98" customFormat="1" hidden="1" x14ac:dyDescent="0.2">
      <c r="A627" s="106">
        <v>6171</v>
      </c>
      <c r="B627" s="144" t="s">
        <v>719</v>
      </c>
      <c r="C627" s="197">
        <f>SUM(C628:C630)</f>
        <v>138157960</v>
      </c>
      <c r="D627" s="197">
        <f>SUM(D628:D630)</f>
        <v>137668779</v>
      </c>
      <c r="E627" s="197">
        <f>SUM(E628:E630)</f>
        <v>137668779</v>
      </c>
      <c r="F627" s="197">
        <f>SUM(F628:F630)</f>
        <v>77035730</v>
      </c>
      <c r="G627" s="197">
        <f>SUM(G628:G630)</f>
        <v>134519560</v>
      </c>
      <c r="H627" s="88"/>
    </row>
    <row r="628" spans="1:8" ht="36" hidden="1" x14ac:dyDescent="0.2">
      <c r="A628" s="102"/>
      <c r="B628" s="413" t="s">
        <v>731</v>
      </c>
      <c r="C628" s="123">
        <f>89500000+10000+1300000+10000+22518400+8172000+490000+1000+1000000+250000+25000+30000+40000+100000+700000</f>
        <v>124146400</v>
      </c>
      <c r="D628" s="123">
        <v>123657219</v>
      </c>
      <c r="E628" s="123">
        <v>123657219</v>
      </c>
      <c r="F628" s="113">
        <v>68686166</v>
      </c>
      <c r="G628" s="114">
        <v>120650400</v>
      </c>
      <c r="H628" s="32"/>
    </row>
    <row r="629" spans="1:8" ht="25.5" hidden="1" customHeight="1" x14ac:dyDescent="0.25">
      <c r="A629" s="414"/>
      <c r="B629" s="147" t="s">
        <v>732</v>
      </c>
      <c r="C629" s="415">
        <f>5800000+24000+1456000+524160+120000+3000</f>
        <v>7927160</v>
      </c>
      <c r="D629" s="415">
        <v>7927160</v>
      </c>
      <c r="E629" s="415">
        <v>7927160</v>
      </c>
      <c r="F629" s="113">
        <v>4879761</v>
      </c>
      <c r="G629" s="114">
        <v>7669160</v>
      </c>
      <c r="H629" s="88"/>
    </row>
    <row r="630" spans="1:8" ht="48.75" hidden="1" x14ac:dyDescent="0.25">
      <c r="A630" s="414"/>
      <c r="B630" s="146" t="s">
        <v>733</v>
      </c>
      <c r="C630" s="415">
        <f>60700+2687200+1157500+95000+1066000+20000+100000+98000+800000</f>
        <v>6084400</v>
      </c>
      <c r="D630" s="415">
        <v>6084400</v>
      </c>
      <c r="E630" s="415">
        <v>6084400</v>
      </c>
      <c r="F630" s="113">
        <v>3469803</v>
      </c>
      <c r="G630" s="114">
        <f>5900000+300000</f>
        <v>6200000</v>
      </c>
      <c r="H630" s="32"/>
    </row>
    <row r="631" spans="1:8" hidden="1" x14ac:dyDescent="0.2">
      <c r="A631" s="106">
        <v>6330</v>
      </c>
      <c r="B631" s="144" t="s">
        <v>734</v>
      </c>
      <c r="C631" s="145">
        <v>6084400</v>
      </c>
      <c r="D631" s="145">
        <v>6084400</v>
      </c>
      <c r="E631" s="145">
        <v>6084400</v>
      </c>
      <c r="F631" s="109">
        <v>4563300</v>
      </c>
      <c r="G631" s="105">
        <v>5900000</v>
      </c>
      <c r="H631" s="32"/>
    </row>
    <row r="632" spans="1:8" hidden="1" x14ac:dyDescent="0.2">
      <c r="A632" s="416"/>
      <c r="B632" s="417"/>
      <c r="C632" s="352"/>
      <c r="D632" s="352"/>
      <c r="E632" s="266"/>
      <c r="F632" s="266"/>
      <c r="G632" s="143"/>
      <c r="H632" s="32"/>
    </row>
    <row r="633" spans="1:8" ht="20.25" hidden="1" x14ac:dyDescent="0.3">
      <c r="A633" s="312"/>
      <c r="B633" s="90" t="s">
        <v>43</v>
      </c>
      <c r="C633" s="412">
        <f>C634+C662</f>
        <v>10199000</v>
      </c>
      <c r="D633" s="412">
        <f>D634+D662</f>
        <v>10026000</v>
      </c>
      <c r="E633" s="412">
        <f>E634+E662</f>
        <v>8890100</v>
      </c>
      <c r="F633" s="412">
        <f>F634+F662</f>
        <v>6802858.8700000001</v>
      </c>
      <c r="G633" s="412">
        <f>G634+G662</f>
        <v>10937288</v>
      </c>
      <c r="H633" s="32"/>
    </row>
    <row r="634" spans="1:8" ht="15.75" hidden="1" x14ac:dyDescent="0.25">
      <c r="A634" s="312"/>
      <c r="B634" s="168" t="s">
        <v>735</v>
      </c>
      <c r="C634" s="232">
        <f>C635+C636+C637+C638+C642+C644+C646+C649+C651+C653+C655+C660+C661</f>
        <v>3459000</v>
      </c>
      <c r="D634" s="232">
        <f>D635+D636+D637+D638+D642+D644+D646+D649+D651+D653+D655+D660+D661</f>
        <v>3286000</v>
      </c>
      <c r="E634" s="232">
        <f>E635+E636+E637+E638+E642+E644+E646+E649+E651+E653+E655+E660+E661</f>
        <v>2734100</v>
      </c>
      <c r="F634" s="232">
        <f>F635+F636+F637+F638+F642+F644+F646+F649+F651+F653+F655+F660+F661</f>
        <v>769858.87000000011</v>
      </c>
      <c r="G634" s="232">
        <f>G635+G636+G637+G638+G642+G644+G646+G649+G651+G653+G655+G660+G661</f>
        <v>3067000</v>
      </c>
      <c r="H634" s="32"/>
    </row>
    <row r="635" spans="1:8" hidden="1" x14ac:dyDescent="0.2">
      <c r="A635" s="106">
        <v>2293</v>
      </c>
      <c r="B635" s="144" t="s">
        <v>736</v>
      </c>
      <c r="C635" s="145">
        <v>726000</v>
      </c>
      <c r="D635" s="145">
        <v>726000</v>
      </c>
      <c r="E635" s="105">
        <v>710000</v>
      </c>
      <c r="F635" s="105">
        <v>466566.40000000002</v>
      </c>
      <c r="G635" s="105">
        <v>726000</v>
      </c>
      <c r="H635" s="32"/>
    </row>
    <row r="636" spans="1:8" hidden="1" x14ac:dyDescent="0.2">
      <c r="A636" s="106">
        <v>3613</v>
      </c>
      <c r="B636" s="144" t="s">
        <v>737</v>
      </c>
      <c r="C636" s="145">
        <v>3000</v>
      </c>
      <c r="D636" s="145">
        <v>3000</v>
      </c>
      <c r="E636" s="109">
        <v>0</v>
      </c>
      <c r="F636" s="113">
        <v>0</v>
      </c>
      <c r="G636" s="105">
        <v>3000</v>
      </c>
      <c r="H636" s="88"/>
    </row>
    <row r="637" spans="1:8" s="244" customFormat="1" ht="15.75" hidden="1" x14ac:dyDescent="0.25">
      <c r="A637" s="106">
        <v>3632</v>
      </c>
      <c r="B637" s="144" t="s">
        <v>738</v>
      </c>
      <c r="C637" s="145">
        <v>130000</v>
      </c>
      <c r="D637" s="145">
        <v>130000</v>
      </c>
      <c r="E637" s="109">
        <v>130000</v>
      </c>
      <c r="F637" s="109">
        <v>104602.78</v>
      </c>
      <c r="G637" s="105">
        <v>130000</v>
      </c>
      <c r="H637" s="386"/>
    </row>
    <row r="638" spans="1:8" s="244" customFormat="1" ht="12.75" hidden="1" customHeight="1" x14ac:dyDescent="0.25">
      <c r="A638" s="106">
        <v>4329</v>
      </c>
      <c r="B638" s="144" t="s">
        <v>739</v>
      </c>
      <c r="C638" s="145">
        <f>SUM(C639:C641)</f>
        <v>205000</v>
      </c>
      <c r="D638" s="145">
        <f>SUM(D639:D641)</f>
        <v>255000</v>
      </c>
      <c r="E638" s="145">
        <f>SUM(E639:E641)</f>
        <v>254600</v>
      </c>
      <c r="F638" s="145">
        <f>SUM(F639:F641)</f>
        <v>72733</v>
      </c>
      <c r="G638" s="145">
        <f>SUM(G639:G641)</f>
        <v>205000</v>
      </c>
      <c r="H638" s="387"/>
    </row>
    <row r="639" spans="1:8" s="98" customFormat="1" hidden="1" x14ac:dyDescent="0.2">
      <c r="A639" s="106"/>
      <c r="B639" s="155" t="s">
        <v>740</v>
      </c>
      <c r="C639" s="121">
        <v>5000</v>
      </c>
      <c r="D639" s="121">
        <v>5000</v>
      </c>
      <c r="E639" s="113">
        <v>2000</v>
      </c>
      <c r="F639" s="113">
        <v>1333</v>
      </c>
      <c r="G639" s="114">
        <v>5000</v>
      </c>
      <c r="H639" s="387"/>
    </row>
    <row r="640" spans="1:8" s="98" customFormat="1" hidden="1" x14ac:dyDescent="0.2">
      <c r="A640" s="106"/>
      <c r="B640" s="155" t="s">
        <v>741</v>
      </c>
      <c r="C640" s="121">
        <v>200000</v>
      </c>
      <c r="D640" s="121">
        <v>250000</v>
      </c>
      <c r="E640" s="113">
        <v>250000</v>
      </c>
      <c r="F640" s="113">
        <v>68800</v>
      </c>
      <c r="G640" s="114">
        <v>200000</v>
      </c>
      <c r="H640" s="88"/>
    </row>
    <row r="641" spans="1:8" s="98" customFormat="1" hidden="1" x14ac:dyDescent="0.2">
      <c r="A641" s="106"/>
      <c r="B641" s="155" t="s">
        <v>742</v>
      </c>
      <c r="C641" s="121">
        <v>0</v>
      </c>
      <c r="D641" s="121">
        <v>0</v>
      </c>
      <c r="E641" s="113">
        <v>2600</v>
      </c>
      <c r="F641" s="113">
        <v>2600</v>
      </c>
      <c r="G641" s="114">
        <v>0</v>
      </c>
      <c r="H641" s="88"/>
    </row>
    <row r="642" spans="1:8" s="98" customFormat="1" hidden="1" x14ac:dyDescent="0.2">
      <c r="A642" s="106">
        <v>4339</v>
      </c>
      <c r="B642" s="144" t="s">
        <v>743</v>
      </c>
      <c r="C642" s="145">
        <f>C643</f>
        <v>192000</v>
      </c>
      <c r="D642" s="145">
        <f>D643</f>
        <v>144000</v>
      </c>
      <c r="E642" s="145">
        <f>E643</f>
        <v>20000</v>
      </c>
      <c r="F642" s="145">
        <f>F643</f>
        <v>0</v>
      </c>
      <c r="G642" s="145">
        <f>G643</f>
        <v>0</v>
      </c>
      <c r="H642" s="32"/>
    </row>
    <row r="643" spans="1:8" s="98" customFormat="1" hidden="1" x14ac:dyDescent="0.2">
      <c r="A643" s="106"/>
      <c r="B643" s="155" t="s">
        <v>744</v>
      </c>
      <c r="C643" s="121">
        <v>192000</v>
      </c>
      <c r="D643" s="121">
        <v>144000</v>
      </c>
      <c r="E643" s="114">
        <v>20000</v>
      </c>
      <c r="F643" s="114">
        <v>0</v>
      </c>
      <c r="G643" s="114">
        <v>0</v>
      </c>
      <c r="H643" s="32"/>
    </row>
    <row r="644" spans="1:8" s="98" customFormat="1" hidden="1" x14ac:dyDescent="0.2">
      <c r="A644" s="106">
        <v>4344</v>
      </c>
      <c r="B644" s="144" t="s">
        <v>745</v>
      </c>
      <c r="C644" s="145">
        <f>SUM(C645:C645)</f>
        <v>298000</v>
      </c>
      <c r="D644" s="145">
        <f>SUM(D645:D645)</f>
        <v>298000</v>
      </c>
      <c r="E644" s="145">
        <f>SUM(E645:E645)</f>
        <v>293500</v>
      </c>
      <c r="F644" s="145">
        <f>SUM(F645:F645)</f>
        <v>0</v>
      </c>
      <c r="G644" s="145">
        <f>SUM(G645:G645)</f>
        <v>298000</v>
      </c>
      <c r="H644" s="32"/>
    </row>
    <row r="645" spans="1:8" s="98" customFormat="1" hidden="1" x14ac:dyDescent="0.2">
      <c r="A645" s="111"/>
      <c r="B645" s="144" t="s">
        <v>746</v>
      </c>
      <c r="C645" s="121">
        <v>298000</v>
      </c>
      <c r="D645" s="121">
        <v>298000</v>
      </c>
      <c r="E645" s="113">
        <v>293500</v>
      </c>
      <c r="F645" s="113">
        <v>0</v>
      </c>
      <c r="G645" s="114">
        <v>298000</v>
      </c>
      <c r="H645" s="32"/>
    </row>
    <row r="646" spans="1:8" hidden="1" x14ac:dyDescent="0.2">
      <c r="A646" s="106">
        <v>4349</v>
      </c>
      <c r="B646" s="144" t="s">
        <v>747</v>
      </c>
      <c r="C646" s="145">
        <f>SUM(C647:C648)</f>
        <v>350000</v>
      </c>
      <c r="D646" s="145">
        <f>SUM(D647:D648)</f>
        <v>280000</v>
      </c>
      <c r="E646" s="145">
        <f>SUM(E647:E648)</f>
        <v>0</v>
      </c>
      <c r="F646" s="145">
        <f>SUM(F647:F648)</f>
        <v>0</v>
      </c>
      <c r="G646" s="145">
        <f>SUM(G647:G648)</f>
        <v>250000</v>
      </c>
      <c r="H646" s="32"/>
    </row>
    <row r="647" spans="1:8" hidden="1" x14ac:dyDescent="0.2">
      <c r="A647" s="111"/>
      <c r="B647" s="128" t="s">
        <v>748</v>
      </c>
      <c r="C647" s="121">
        <v>280000</v>
      </c>
      <c r="D647" s="121">
        <v>280000</v>
      </c>
      <c r="E647" s="113">
        <v>0</v>
      </c>
      <c r="F647" s="113">
        <v>0</v>
      </c>
      <c r="G647" s="114">
        <v>250000</v>
      </c>
      <c r="H647" s="32"/>
    </row>
    <row r="648" spans="1:8" s="98" customFormat="1" hidden="1" x14ac:dyDescent="0.2">
      <c r="A648" s="111"/>
      <c r="B648" s="128" t="s">
        <v>749</v>
      </c>
      <c r="C648" s="121">
        <v>70000</v>
      </c>
      <c r="D648" s="121">
        <v>0</v>
      </c>
      <c r="E648" s="113">
        <v>0</v>
      </c>
      <c r="F648" s="113">
        <v>0</v>
      </c>
      <c r="G648" s="114">
        <v>0</v>
      </c>
      <c r="H648" s="32"/>
    </row>
    <row r="649" spans="1:8" hidden="1" x14ac:dyDescent="0.2">
      <c r="A649" s="106">
        <v>4351</v>
      </c>
      <c r="B649" s="144" t="s">
        <v>750</v>
      </c>
      <c r="C649" s="145">
        <f>SUM(C650:C650)</f>
        <v>35000</v>
      </c>
      <c r="D649" s="145">
        <f>SUM(D650:D650)</f>
        <v>35000</v>
      </c>
      <c r="E649" s="145">
        <f>SUM(E650:E650)</f>
        <v>35000</v>
      </c>
      <c r="F649" s="145">
        <f>SUM(F650:F650)</f>
        <v>0</v>
      </c>
      <c r="G649" s="145">
        <f>SUM(G650:G650)</f>
        <v>35000</v>
      </c>
      <c r="H649" s="88"/>
    </row>
    <row r="650" spans="1:8" s="98" customFormat="1" hidden="1" x14ac:dyDescent="0.2">
      <c r="A650" s="111"/>
      <c r="B650" s="155" t="s">
        <v>751</v>
      </c>
      <c r="C650" s="121">
        <v>35000</v>
      </c>
      <c r="D650" s="121">
        <v>35000</v>
      </c>
      <c r="E650" s="121">
        <v>35000</v>
      </c>
      <c r="F650" s="121">
        <v>0</v>
      </c>
      <c r="G650" s="114">
        <v>35000</v>
      </c>
      <c r="H650" s="32"/>
    </row>
    <row r="651" spans="1:8" hidden="1" x14ac:dyDescent="0.2">
      <c r="A651" s="106">
        <v>4371</v>
      </c>
      <c r="B651" s="144" t="s">
        <v>752</v>
      </c>
      <c r="C651" s="145">
        <f>SUM(C652:C652)</f>
        <v>240000</v>
      </c>
      <c r="D651" s="145">
        <f>SUM(D652:D652)</f>
        <v>240000</v>
      </c>
      <c r="E651" s="145">
        <f>SUM(E652:E652)</f>
        <v>233000</v>
      </c>
      <c r="F651" s="145">
        <f>SUM(F652:F652)</f>
        <v>0</v>
      </c>
      <c r="G651" s="145">
        <f>SUM(G652:G652)</f>
        <v>240000</v>
      </c>
      <c r="H651" s="32"/>
    </row>
    <row r="652" spans="1:8" hidden="1" x14ac:dyDescent="0.2">
      <c r="A652" s="111"/>
      <c r="B652" s="155" t="s">
        <v>751</v>
      </c>
      <c r="C652" s="121">
        <v>240000</v>
      </c>
      <c r="D652" s="121">
        <v>240000</v>
      </c>
      <c r="E652" s="113">
        <v>233000</v>
      </c>
      <c r="F652" s="113">
        <v>0</v>
      </c>
      <c r="G652" s="114">
        <v>240000</v>
      </c>
      <c r="H652" s="32"/>
    </row>
    <row r="653" spans="1:8" s="98" customFormat="1" hidden="1" x14ac:dyDescent="0.2">
      <c r="A653" s="106">
        <v>4374</v>
      </c>
      <c r="B653" s="418" t="s">
        <v>753</v>
      </c>
      <c r="C653" s="145">
        <f>SUM(C654:C654)</f>
        <v>822000</v>
      </c>
      <c r="D653" s="145">
        <f>SUM(D654:D654)</f>
        <v>822000</v>
      </c>
      <c r="E653" s="145">
        <f>SUM(E654:E654)</f>
        <v>822000</v>
      </c>
      <c r="F653" s="145">
        <f>SUM(F654:F654)</f>
        <v>0</v>
      </c>
      <c r="G653" s="145">
        <f>SUM(G654:G654)</f>
        <v>822000</v>
      </c>
      <c r="H653" s="88"/>
    </row>
    <row r="654" spans="1:8" hidden="1" x14ac:dyDescent="0.2">
      <c r="A654" s="111"/>
      <c r="B654" s="155" t="s">
        <v>751</v>
      </c>
      <c r="C654" s="121">
        <v>822000</v>
      </c>
      <c r="D654" s="121">
        <v>822000</v>
      </c>
      <c r="E654" s="113">
        <v>822000</v>
      </c>
      <c r="F654" s="113">
        <v>0</v>
      </c>
      <c r="G654" s="114">
        <v>822000</v>
      </c>
      <c r="H654" s="32"/>
    </row>
    <row r="655" spans="1:8" s="98" customFormat="1" hidden="1" x14ac:dyDescent="0.2">
      <c r="A655" s="106">
        <v>4379</v>
      </c>
      <c r="B655" s="144" t="s">
        <v>754</v>
      </c>
      <c r="C655" s="145">
        <f>SUM(C656:C659)</f>
        <v>345000</v>
      </c>
      <c r="D655" s="145">
        <f>SUM(D656:D659)</f>
        <v>340000</v>
      </c>
      <c r="E655" s="145">
        <f>SUM(E656:E659)</f>
        <v>225000</v>
      </c>
      <c r="F655" s="145">
        <f>SUM(F656:F659)</f>
        <v>116965.55</v>
      </c>
      <c r="G655" s="145">
        <f>SUM(G656:G659)</f>
        <v>345000</v>
      </c>
      <c r="H655" s="32"/>
    </row>
    <row r="656" spans="1:8" hidden="1" x14ac:dyDescent="0.2">
      <c r="A656" s="111"/>
      <c r="B656" s="128" t="s">
        <v>755</v>
      </c>
      <c r="C656" s="121">
        <v>232000</v>
      </c>
      <c r="D656" s="121">
        <v>232000</v>
      </c>
      <c r="E656" s="113">
        <v>135000</v>
      </c>
      <c r="F656" s="113">
        <v>77907.850000000006</v>
      </c>
      <c r="G656" s="114">
        <v>232000</v>
      </c>
      <c r="H656" s="32"/>
    </row>
    <row r="657" spans="1:8" s="419" customFormat="1" hidden="1" x14ac:dyDescent="0.2">
      <c r="A657" s="111"/>
      <c r="B657" s="128" t="s">
        <v>756</v>
      </c>
      <c r="C657" s="121">
        <v>59000</v>
      </c>
      <c r="D657" s="121">
        <v>59000</v>
      </c>
      <c r="E657" s="113">
        <v>45000</v>
      </c>
      <c r="F657" s="113">
        <v>18050</v>
      </c>
      <c r="G657" s="114">
        <v>59000</v>
      </c>
      <c r="H657" s="88"/>
    </row>
    <row r="658" spans="1:8" hidden="1" x14ac:dyDescent="0.2">
      <c r="A658" s="111"/>
      <c r="B658" s="128" t="s">
        <v>757</v>
      </c>
      <c r="C658" s="121">
        <v>44000</v>
      </c>
      <c r="D658" s="121">
        <v>44000</v>
      </c>
      <c r="E658" s="113">
        <v>40000</v>
      </c>
      <c r="F658" s="113">
        <v>21007.7</v>
      </c>
      <c r="G658" s="114">
        <v>44000</v>
      </c>
      <c r="H658" s="88"/>
    </row>
    <row r="659" spans="1:8" s="98" customFormat="1" hidden="1" x14ac:dyDescent="0.2">
      <c r="A659" s="111"/>
      <c r="B659" s="128" t="s">
        <v>758</v>
      </c>
      <c r="C659" s="121">
        <v>10000</v>
      </c>
      <c r="D659" s="121">
        <v>5000</v>
      </c>
      <c r="E659" s="113">
        <v>5000</v>
      </c>
      <c r="F659" s="113">
        <v>0</v>
      </c>
      <c r="G659" s="114">
        <v>10000</v>
      </c>
      <c r="H659" s="32"/>
    </row>
    <row r="660" spans="1:8" hidden="1" x14ac:dyDescent="0.2">
      <c r="A660" s="106">
        <v>4399</v>
      </c>
      <c r="B660" s="144" t="s">
        <v>759</v>
      </c>
      <c r="C660" s="145">
        <v>13000</v>
      </c>
      <c r="D660" s="145">
        <v>13000</v>
      </c>
      <c r="E660" s="109">
        <v>11000</v>
      </c>
      <c r="F660" s="109">
        <v>8991.14</v>
      </c>
      <c r="G660" s="105">
        <v>13000</v>
      </c>
      <c r="H660" s="32"/>
    </row>
    <row r="661" spans="1:8" hidden="1" x14ac:dyDescent="0.2">
      <c r="A661" s="131">
        <v>6409</v>
      </c>
      <c r="B661" s="221" t="s">
        <v>760</v>
      </c>
      <c r="C661" s="420">
        <v>100000</v>
      </c>
      <c r="D661" s="420">
        <v>0</v>
      </c>
      <c r="E661" s="109">
        <v>0</v>
      </c>
      <c r="F661" s="109">
        <v>0</v>
      </c>
      <c r="G661" s="105">
        <v>0</v>
      </c>
      <c r="H661" s="88"/>
    </row>
    <row r="662" spans="1:8" ht="15.75" hidden="1" x14ac:dyDescent="0.25">
      <c r="A662" s="312"/>
      <c r="B662" s="168" t="s">
        <v>761</v>
      </c>
      <c r="C662" s="169">
        <f>C663</f>
        <v>6740000</v>
      </c>
      <c r="D662" s="169">
        <f>D663</f>
        <v>6740000</v>
      </c>
      <c r="E662" s="169">
        <f>E663</f>
        <v>6156000</v>
      </c>
      <c r="F662" s="169">
        <f>F663</f>
        <v>6033000</v>
      </c>
      <c r="G662" s="169">
        <f>G663</f>
        <v>7870288</v>
      </c>
      <c r="H662" s="88"/>
    </row>
    <row r="663" spans="1:8" hidden="1" x14ac:dyDescent="0.2">
      <c r="A663" s="421"/>
      <c r="B663" s="139" t="s">
        <v>762</v>
      </c>
      <c r="C663" s="145">
        <f>SUM(C664:C671)</f>
        <v>6740000</v>
      </c>
      <c r="D663" s="145">
        <f>SUM(D664:D671)</f>
        <v>6740000</v>
      </c>
      <c r="E663" s="145">
        <f>SUM(E664:E671)</f>
        <v>6156000</v>
      </c>
      <c r="F663" s="145">
        <f>SUM(F664:F671)</f>
        <v>6033000</v>
      </c>
      <c r="G663" s="145">
        <f>SUM(G664:G671)</f>
        <v>7870288</v>
      </c>
      <c r="H663" s="88"/>
    </row>
    <row r="664" spans="1:8" s="98" customFormat="1" hidden="1" x14ac:dyDescent="0.2">
      <c r="A664" s="421"/>
      <c r="B664" s="128" t="s">
        <v>763</v>
      </c>
      <c r="C664" s="121">
        <v>180000</v>
      </c>
      <c r="D664" s="121">
        <v>180000</v>
      </c>
      <c r="E664" s="114">
        <v>148000</v>
      </c>
      <c r="F664" s="114">
        <v>148000</v>
      </c>
      <c r="G664" s="114">
        <v>190000</v>
      </c>
      <c r="H664" s="88"/>
    </row>
    <row r="665" spans="1:8" hidden="1" x14ac:dyDescent="0.2">
      <c r="A665" s="421"/>
      <c r="B665" s="128" t="s">
        <v>764</v>
      </c>
      <c r="C665" s="121">
        <v>150000</v>
      </c>
      <c r="D665" s="121">
        <v>150000</v>
      </c>
      <c r="E665" s="113">
        <v>82000</v>
      </c>
      <c r="F665" s="113">
        <v>82000</v>
      </c>
      <c r="G665" s="114">
        <v>170000</v>
      </c>
      <c r="H665" s="88"/>
    </row>
    <row r="666" spans="1:8" hidden="1" x14ac:dyDescent="0.2">
      <c r="A666" s="421"/>
      <c r="B666" s="128" t="s">
        <v>765</v>
      </c>
      <c r="C666" s="121">
        <v>5373000</v>
      </c>
      <c r="D666" s="121">
        <v>5373000</v>
      </c>
      <c r="E666" s="113">
        <v>5062900</v>
      </c>
      <c r="F666" s="113">
        <v>5062900</v>
      </c>
      <c r="G666" s="114">
        <v>5776002</v>
      </c>
      <c r="H666" s="88"/>
    </row>
    <row r="667" spans="1:8" hidden="1" x14ac:dyDescent="0.2">
      <c r="A667" s="421"/>
      <c r="B667" s="128" t="s">
        <v>766</v>
      </c>
      <c r="C667" s="121">
        <v>400000</v>
      </c>
      <c r="D667" s="121">
        <v>400000</v>
      </c>
      <c r="E667" s="121">
        <v>396100</v>
      </c>
      <c r="F667" s="121">
        <v>396100</v>
      </c>
      <c r="G667" s="114">
        <v>1036286</v>
      </c>
      <c r="H667" s="88"/>
    </row>
    <row r="668" spans="1:8" hidden="1" x14ac:dyDescent="0.2">
      <c r="A668" s="421"/>
      <c r="B668" s="128" t="s">
        <v>767</v>
      </c>
      <c r="C668" s="121">
        <v>287000</v>
      </c>
      <c r="D668" s="121">
        <v>263000</v>
      </c>
      <c r="E668" s="121">
        <v>120000</v>
      </c>
      <c r="F668" s="121">
        <v>120000</v>
      </c>
      <c r="G668" s="114">
        <v>298000</v>
      </c>
      <c r="H668" s="88"/>
    </row>
    <row r="669" spans="1:8" hidden="1" x14ac:dyDescent="0.2">
      <c r="A669" s="421"/>
      <c r="B669" s="128" t="s">
        <v>768</v>
      </c>
      <c r="C669" s="121">
        <v>200000</v>
      </c>
      <c r="D669" s="121">
        <v>180000</v>
      </c>
      <c r="E669" s="121">
        <v>180000</v>
      </c>
      <c r="F669" s="121">
        <v>180000</v>
      </c>
      <c r="G669" s="114">
        <v>250000</v>
      </c>
      <c r="H669" s="88"/>
    </row>
    <row r="670" spans="1:8" hidden="1" x14ac:dyDescent="0.2">
      <c r="A670" s="106"/>
      <c r="B670" s="128" t="s">
        <v>769</v>
      </c>
      <c r="C670" s="121">
        <v>150000</v>
      </c>
      <c r="D670" s="121">
        <v>150000</v>
      </c>
      <c r="E670" s="113">
        <v>123000</v>
      </c>
      <c r="F670" s="113">
        <v>0</v>
      </c>
      <c r="G670" s="114">
        <v>150000</v>
      </c>
      <c r="H670" s="88"/>
    </row>
    <row r="671" spans="1:8" hidden="1" x14ac:dyDescent="0.2">
      <c r="A671" s="106"/>
      <c r="B671" s="213" t="s">
        <v>770</v>
      </c>
      <c r="C671" s="200">
        <v>0</v>
      </c>
      <c r="D671" s="200">
        <v>44000</v>
      </c>
      <c r="E671" s="113">
        <v>44000</v>
      </c>
      <c r="F671" s="113">
        <v>44000</v>
      </c>
      <c r="G671" s="114">
        <v>0</v>
      </c>
      <c r="H671" s="88"/>
    </row>
    <row r="672" spans="1:8" hidden="1" x14ac:dyDescent="0.2">
      <c r="A672" s="405"/>
      <c r="B672" s="422"/>
      <c r="C672" s="240"/>
      <c r="D672" s="240"/>
      <c r="E672" s="200"/>
      <c r="F672" s="200"/>
      <c r="G672" s="143"/>
      <c r="H672" s="88"/>
    </row>
    <row r="673" spans="1:9" ht="20.25" hidden="1" x14ac:dyDescent="0.2">
      <c r="A673" s="405"/>
      <c r="B673" s="423" t="s">
        <v>771</v>
      </c>
      <c r="C673" s="332">
        <f>C674</f>
        <v>14255100</v>
      </c>
      <c r="D673" s="332">
        <v>20033588</v>
      </c>
      <c r="E673" s="332">
        <f>E674</f>
        <v>20033588</v>
      </c>
      <c r="F673" s="332">
        <v>7184316.8099999996</v>
      </c>
      <c r="G673" s="332">
        <f>G674</f>
        <v>13505100</v>
      </c>
      <c r="H673" s="88"/>
    </row>
    <row r="674" spans="1:9" hidden="1" x14ac:dyDescent="0.2">
      <c r="A674" s="424">
        <v>4351</v>
      </c>
      <c r="B674" s="139" t="s">
        <v>772</v>
      </c>
      <c r="C674" s="425">
        <f>SUM(C675:C677)</f>
        <v>14255100</v>
      </c>
      <c r="D674" s="425">
        <v>20033588</v>
      </c>
      <c r="E674" s="425">
        <f>SUM(E675:E677)</f>
        <v>20033588</v>
      </c>
      <c r="F674" s="105">
        <v>7184316.8099999996</v>
      </c>
      <c r="G674" s="425">
        <f>SUM(G675:G677)</f>
        <v>13505100</v>
      </c>
      <c r="H674" s="88"/>
    </row>
    <row r="675" spans="1:9" ht="60" hidden="1" x14ac:dyDescent="0.2">
      <c r="A675" s="111"/>
      <c r="B675" s="413" t="s">
        <v>773</v>
      </c>
      <c r="C675" s="257">
        <v>6911500</v>
      </c>
      <c r="D675" s="257">
        <v>10203820</v>
      </c>
      <c r="E675" s="257">
        <f t="shared" ref="E675:E677" si="7">D675</f>
        <v>10203820</v>
      </c>
      <c r="F675" s="121">
        <v>3433058.91</v>
      </c>
      <c r="G675" s="257">
        <v>6835500</v>
      </c>
      <c r="H675" s="32"/>
      <c r="I675" s="158"/>
    </row>
    <row r="676" spans="1:9" ht="48" hidden="1" x14ac:dyDescent="0.2">
      <c r="A676" s="111"/>
      <c r="B676" s="413" t="s">
        <v>774</v>
      </c>
      <c r="C676" s="426">
        <v>1796800</v>
      </c>
      <c r="D676" s="426">
        <v>2479432</v>
      </c>
      <c r="E676" s="426">
        <f t="shared" si="7"/>
        <v>2479432</v>
      </c>
      <c r="F676" s="113">
        <v>763396.3</v>
      </c>
      <c r="G676" s="426">
        <v>1739300</v>
      </c>
      <c r="H676" s="32"/>
      <c r="I676" s="158"/>
    </row>
    <row r="677" spans="1:9" ht="36" hidden="1" x14ac:dyDescent="0.2">
      <c r="A677" s="106"/>
      <c r="B677" s="413" t="s">
        <v>775</v>
      </c>
      <c r="C677" s="257">
        <v>5546800</v>
      </c>
      <c r="D677" s="257">
        <v>7350336</v>
      </c>
      <c r="E677" s="257">
        <f t="shared" si="7"/>
        <v>7350336</v>
      </c>
      <c r="F677" s="121">
        <v>2987864.6</v>
      </c>
      <c r="G677" s="257">
        <v>4930300</v>
      </c>
      <c r="H677" s="32"/>
      <c r="I677" s="158"/>
    </row>
    <row r="678" spans="1:9" hidden="1" x14ac:dyDescent="0.2">
      <c r="A678" s="405"/>
      <c r="B678" s="427"/>
      <c r="C678" s="361"/>
      <c r="D678" s="361"/>
      <c r="E678" s="361"/>
      <c r="F678" s="266"/>
      <c r="G678" s="361"/>
      <c r="H678" s="88"/>
    </row>
    <row r="679" spans="1:9" ht="20.25" hidden="1" x14ac:dyDescent="0.3">
      <c r="A679" s="312"/>
      <c r="B679" s="90" t="s">
        <v>50</v>
      </c>
      <c r="C679" s="332">
        <f>SUM(C680,C681,C682,C683,C684,C685,C686,C687,C691,C692,C693,C694,C699,C700)</f>
        <v>48341000</v>
      </c>
      <c r="D679" s="332">
        <f>SUM(D680,D681,D682,D683,D684,D685,D686,D687,D691,D692,D693,D694,D699,D700)</f>
        <v>48246622</v>
      </c>
      <c r="E679" s="332">
        <f>SUM(E680,E681,E682,E683,E684,E685,E686,E687,E691,E692,E693,E694,E699,E700)</f>
        <v>48220555</v>
      </c>
      <c r="F679" s="332">
        <f>SUM(F680,F681,F682,F683,F684,F685,F686,F687,F691,F692,F693,F694,F699,F700)</f>
        <v>26931631</v>
      </c>
      <c r="G679" s="332">
        <f>SUM(G680,G681,G682,G683,G684,G685,G686,G687,G691,G692,G693,G694,G699,G700)</f>
        <v>58483000</v>
      </c>
      <c r="H679" s="88"/>
    </row>
    <row r="680" spans="1:9" hidden="1" x14ac:dyDescent="0.2">
      <c r="A680" s="102">
        <v>1014</v>
      </c>
      <c r="B680" s="139" t="s">
        <v>776</v>
      </c>
      <c r="C680" s="197">
        <v>760000</v>
      </c>
      <c r="D680" s="428">
        <v>760000</v>
      </c>
      <c r="E680" s="105">
        <v>760000</v>
      </c>
      <c r="F680" s="428">
        <v>250713</v>
      </c>
      <c r="G680" s="105">
        <v>770000</v>
      </c>
      <c r="H680" s="88"/>
    </row>
    <row r="681" spans="1:9" hidden="1" x14ac:dyDescent="0.2">
      <c r="A681" s="106">
        <v>1031</v>
      </c>
      <c r="B681" s="144" t="s">
        <v>777</v>
      </c>
      <c r="C681" s="145">
        <v>481000</v>
      </c>
      <c r="D681" s="429">
        <v>481000</v>
      </c>
      <c r="E681" s="109">
        <v>481000</v>
      </c>
      <c r="F681" s="429">
        <v>82116</v>
      </c>
      <c r="G681" s="105">
        <v>436000</v>
      </c>
      <c r="H681" s="88"/>
    </row>
    <row r="682" spans="1:9" hidden="1" x14ac:dyDescent="0.2">
      <c r="A682" s="106">
        <v>1036</v>
      </c>
      <c r="B682" s="144" t="s">
        <v>778</v>
      </c>
      <c r="C682" s="145">
        <v>100000</v>
      </c>
      <c r="D682" s="429">
        <v>100000</v>
      </c>
      <c r="E682" s="145">
        <v>100000</v>
      </c>
      <c r="F682" s="430">
        <v>60738</v>
      </c>
      <c r="G682" s="105">
        <v>100000</v>
      </c>
      <c r="H682" s="88"/>
    </row>
    <row r="683" spans="1:9" s="244" customFormat="1" ht="15.75" hidden="1" x14ac:dyDescent="0.25">
      <c r="A683" s="106">
        <v>1037</v>
      </c>
      <c r="B683" s="144" t="s">
        <v>779</v>
      </c>
      <c r="C683" s="145">
        <v>773000</v>
      </c>
      <c r="D683" s="429">
        <v>773000</v>
      </c>
      <c r="E683" s="382">
        <v>773000</v>
      </c>
      <c r="F683" s="431">
        <v>15125.64</v>
      </c>
      <c r="G683" s="105">
        <v>20000</v>
      </c>
      <c r="H683" s="88"/>
    </row>
    <row r="684" spans="1:9" s="98" customFormat="1" hidden="1" x14ac:dyDescent="0.2">
      <c r="A684" s="106">
        <v>1039</v>
      </c>
      <c r="B684" s="144" t="s">
        <v>780</v>
      </c>
      <c r="C684" s="145">
        <v>300000</v>
      </c>
      <c r="D684" s="429">
        <v>570497</v>
      </c>
      <c r="E684" s="432">
        <v>570000</v>
      </c>
      <c r="F684" s="433">
        <v>0</v>
      </c>
      <c r="G684" s="105">
        <v>200000</v>
      </c>
      <c r="H684" s="88"/>
    </row>
    <row r="685" spans="1:9" s="98" customFormat="1" hidden="1" x14ac:dyDescent="0.2">
      <c r="A685" s="106">
        <v>2369</v>
      </c>
      <c r="B685" s="144" t="s">
        <v>781</v>
      </c>
      <c r="C685" s="145">
        <v>370000</v>
      </c>
      <c r="D685" s="429">
        <v>370000</v>
      </c>
      <c r="E685" s="105">
        <v>370000</v>
      </c>
      <c r="F685" s="434">
        <v>400</v>
      </c>
      <c r="G685" s="105">
        <v>370000</v>
      </c>
      <c r="H685" s="88"/>
    </row>
    <row r="686" spans="1:9" s="98" customFormat="1" hidden="1" x14ac:dyDescent="0.2">
      <c r="A686" s="106">
        <v>3721</v>
      </c>
      <c r="B686" s="144" t="s">
        <v>782</v>
      </c>
      <c r="C686" s="145">
        <v>50000</v>
      </c>
      <c r="D686" s="429">
        <v>50000</v>
      </c>
      <c r="E686" s="109">
        <v>50000</v>
      </c>
      <c r="F686" s="429">
        <v>33600</v>
      </c>
      <c r="G686" s="105">
        <v>50000</v>
      </c>
      <c r="H686" s="88"/>
    </row>
    <row r="687" spans="1:9" s="98" customFormat="1" hidden="1" x14ac:dyDescent="0.2">
      <c r="A687" s="106">
        <v>3722</v>
      </c>
      <c r="B687" s="144" t="s">
        <v>783</v>
      </c>
      <c r="C687" s="145">
        <f>SUM(C688:C690)</f>
        <v>24470000</v>
      </c>
      <c r="D687" s="429">
        <f>SUM(D688:D690)</f>
        <v>24350625</v>
      </c>
      <c r="E687" s="145">
        <f>SUM(E688:E690)</f>
        <v>24350625</v>
      </c>
      <c r="F687" s="429">
        <f>SUM(F688:F690)</f>
        <v>14850244.939999999</v>
      </c>
      <c r="G687" s="145">
        <f>SUM(G688:G690)</f>
        <v>27100000</v>
      </c>
      <c r="H687" s="88"/>
    </row>
    <row r="688" spans="1:9" s="98" customFormat="1" hidden="1" x14ac:dyDescent="0.2">
      <c r="A688" s="106"/>
      <c r="B688" s="155" t="s">
        <v>784</v>
      </c>
      <c r="C688" s="121">
        <v>20955000</v>
      </c>
      <c r="D688" s="430">
        <f>C688+130625</f>
        <v>21085625</v>
      </c>
      <c r="E688" s="113">
        <v>21085625</v>
      </c>
      <c r="F688" s="430">
        <v>14100625</v>
      </c>
      <c r="G688" s="114">
        <v>24500000</v>
      </c>
      <c r="H688" s="88"/>
    </row>
    <row r="689" spans="1:8" s="98" customFormat="1" hidden="1" x14ac:dyDescent="0.2">
      <c r="A689" s="106"/>
      <c r="B689" s="155" t="s">
        <v>785</v>
      </c>
      <c r="C689" s="121">
        <v>1990000</v>
      </c>
      <c r="D689" s="430">
        <v>1990000</v>
      </c>
      <c r="E689" s="113">
        <v>1990000</v>
      </c>
      <c r="F689" s="430">
        <v>749619.94</v>
      </c>
      <c r="G689" s="114">
        <f>2140000+100000</f>
        <v>2240000</v>
      </c>
      <c r="H689" s="88"/>
    </row>
    <row r="690" spans="1:8" s="98" customFormat="1" hidden="1" x14ac:dyDescent="0.2">
      <c r="A690" s="106"/>
      <c r="B690" s="147" t="s">
        <v>786</v>
      </c>
      <c r="C690" s="121">
        <v>1525000</v>
      </c>
      <c r="D690" s="430">
        <f>C690-250000</f>
        <v>1275000</v>
      </c>
      <c r="E690" s="113">
        <v>1275000</v>
      </c>
      <c r="F690" s="430">
        <v>0</v>
      </c>
      <c r="G690" s="114">
        <v>360000</v>
      </c>
      <c r="H690" s="88"/>
    </row>
    <row r="691" spans="1:8" s="98" customFormat="1" hidden="1" x14ac:dyDescent="0.2">
      <c r="A691" s="106">
        <v>3733</v>
      </c>
      <c r="B691" s="144" t="s">
        <v>787</v>
      </c>
      <c r="C691" s="145">
        <v>65000</v>
      </c>
      <c r="D691" s="429">
        <v>65000</v>
      </c>
      <c r="E691" s="109">
        <v>40000</v>
      </c>
      <c r="F691" s="429">
        <v>0</v>
      </c>
      <c r="G691" s="105">
        <v>65000</v>
      </c>
      <c r="H691" s="88"/>
    </row>
    <row r="692" spans="1:8" s="98" customFormat="1" hidden="1" x14ac:dyDescent="0.2">
      <c r="A692" s="106">
        <v>3742</v>
      </c>
      <c r="B692" s="146" t="s">
        <v>788</v>
      </c>
      <c r="C692" s="145">
        <v>100000</v>
      </c>
      <c r="D692" s="429">
        <v>100000</v>
      </c>
      <c r="E692" s="382">
        <v>100000</v>
      </c>
      <c r="F692" s="435">
        <v>0</v>
      </c>
      <c r="G692" s="105">
        <v>100000</v>
      </c>
      <c r="H692" s="88"/>
    </row>
    <row r="693" spans="1:8" s="98" customFormat="1" hidden="1" x14ac:dyDescent="0.2">
      <c r="A693" s="106">
        <v>3743</v>
      </c>
      <c r="B693" s="144" t="s">
        <v>789</v>
      </c>
      <c r="C693" s="145">
        <v>2000</v>
      </c>
      <c r="D693" s="429">
        <v>2000</v>
      </c>
      <c r="E693" s="382">
        <v>1430</v>
      </c>
      <c r="F693" s="435">
        <v>0</v>
      </c>
      <c r="G693" s="105">
        <v>2000</v>
      </c>
      <c r="H693" s="88"/>
    </row>
    <row r="694" spans="1:8" s="98" customFormat="1" hidden="1" x14ac:dyDescent="0.2">
      <c r="A694" s="106">
        <v>3745</v>
      </c>
      <c r="B694" s="144" t="s">
        <v>790</v>
      </c>
      <c r="C694" s="145">
        <f>SUM(C695:C698)</f>
        <v>20640000</v>
      </c>
      <c r="D694" s="429">
        <f>SUM(D695:D698)</f>
        <v>20394500</v>
      </c>
      <c r="E694" s="145">
        <f>SUM(E695:E698)</f>
        <v>20394500</v>
      </c>
      <c r="F694" s="429">
        <f>SUM(F695:F698)</f>
        <v>11629207.42</v>
      </c>
      <c r="G694" s="145">
        <f>SUM(G695:G698)</f>
        <v>29115000</v>
      </c>
      <c r="H694" s="88"/>
    </row>
    <row r="695" spans="1:8" s="98" customFormat="1" hidden="1" x14ac:dyDescent="0.2">
      <c r="A695" s="106"/>
      <c r="B695" s="155" t="s">
        <v>791</v>
      </c>
      <c r="C695" s="123">
        <v>150000</v>
      </c>
      <c r="D695" s="434">
        <v>0</v>
      </c>
      <c r="E695" s="123">
        <v>0</v>
      </c>
      <c r="F695" s="434">
        <v>0</v>
      </c>
      <c r="G695" s="114">
        <v>150000</v>
      </c>
      <c r="H695" s="88"/>
    </row>
    <row r="696" spans="1:8" s="98" customFormat="1" hidden="1" x14ac:dyDescent="0.2">
      <c r="A696" s="111"/>
      <c r="B696" s="155" t="s">
        <v>792</v>
      </c>
      <c r="C696" s="121">
        <v>14620000</v>
      </c>
      <c r="D696" s="430">
        <f>C696+104500</f>
        <v>14724500</v>
      </c>
      <c r="E696" s="114">
        <v>14724500</v>
      </c>
      <c r="F696" s="434">
        <v>9851164</v>
      </c>
      <c r="G696" s="114">
        <v>16000000</v>
      </c>
      <c r="H696" s="32"/>
    </row>
    <row r="697" spans="1:8" s="98" customFormat="1" hidden="1" x14ac:dyDescent="0.2">
      <c r="A697" s="111"/>
      <c r="B697" s="155" t="s">
        <v>793</v>
      </c>
      <c r="C697" s="121">
        <v>3570000</v>
      </c>
      <c r="D697" s="430">
        <f>C697-300000+100000</f>
        <v>3370000</v>
      </c>
      <c r="E697" s="113">
        <v>3370000</v>
      </c>
      <c r="F697" s="430">
        <v>844983.42</v>
      </c>
      <c r="G697" s="114">
        <v>3200000</v>
      </c>
      <c r="H697" s="387"/>
    </row>
    <row r="698" spans="1:8" s="98" customFormat="1" ht="24" hidden="1" x14ac:dyDescent="0.2">
      <c r="A698" s="106"/>
      <c r="B698" s="147" t="s">
        <v>794</v>
      </c>
      <c r="C698" s="121">
        <v>2300000</v>
      </c>
      <c r="D698" s="430">
        <v>2300000</v>
      </c>
      <c r="E698" s="114">
        <v>2300000</v>
      </c>
      <c r="F698" s="434">
        <v>933060</v>
      </c>
      <c r="G698" s="114">
        <f>9285000+480000</f>
        <v>9765000</v>
      </c>
      <c r="H698" s="32"/>
    </row>
    <row r="699" spans="1:8" hidden="1" x14ac:dyDescent="0.2">
      <c r="A699" s="106">
        <v>3792</v>
      </c>
      <c r="B699" s="144" t="s">
        <v>795</v>
      </c>
      <c r="C699" s="145">
        <v>150000</v>
      </c>
      <c r="D699" s="429">
        <v>150000</v>
      </c>
      <c r="E699" s="109">
        <v>150000</v>
      </c>
      <c r="F699" s="429">
        <v>9486</v>
      </c>
      <c r="G699" s="105">
        <v>155000</v>
      </c>
      <c r="H699" s="88"/>
    </row>
    <row r="700" spans="1:8" hidden="1" x14ac:dyDescent="0.2">
      <c r="A700" s="106">
        <v>3799</v>
      </c>
      <c r="B700" s="144" t="s">
        <v>796</v>
      </c>
      <c r="C700" s="145">
        <v>80000</v>
      </c>
      <c r="D700" s="429">
        <v>80000</v>
      </c>
      <c r="E700" s="109">
        <v>80000</v>
      </c>
      <c r="F700" s="429">
        <v>0</v>
      </c>
      <c r="G700" s="105">
        <v>0</v>
      </c>
      <c r="H700" s="88"/>
    </row>
    <row r="701" spans="1:8" hidden="1" x14ac:dyDescent="0.2">
      <c r="A701" s="424"/>
      <c r="B701" s="258"/>
      <c r="C701" s="436"/>
      <c r="D701" s="436"/>
      <c r="E701" s="266"/>
      <c r="F701" s="266"/>
      <c r="G701" s="266"/>
      <c r="H701" s="88"/>
    </row>
    <row r="702" spans="1:8" ht="20.25" hidden="1" x14ac:dyDescent="0.2">
      <c r="A702" s="437"/>
      <c r="B702" s="278" t="s">
        <v>797</v>
      </c>
      <c r="C702" s="281">
        <f>SUM(C703,C704,C734,C782,C849,C872,C874,C875,C879)</f>
        <v>272420000</v>
      </c>
      <c r="D702" s="281">
        <f>SUM(D703,D704,D734,D782,D849,D872,D874,D875,D879)</f>
        <v>198055883.74000001</v>
      </c>
      <c r="E702" s="281">
        <f>SUM(E703,E704,E734,E782,E849,E872,E874,E875,E879)</f>
        <v>186143155.44</v>
      </c>
      <c r="F702" s="280">
        <f>SUM(F703,F704,F734,F782,F849,F872,F874,F875,F879)</f>
        <v>96334031.909999996</v>
      </c>
      <c r="G702" s="281">
        <f>SUM(G703,G704,G734,G782,G849,G872,G874,G875,G879)</f>
        <v>222630000</v>
      </c>
    </row>
    <row r="703" spans="1:8" ht="12.75" hidden="1" customHeight="1" x14ac:dyDescent="0.2">
      <c r="A703" s="438">
        <v>3122</v>
      </c>
      <c r="B703" s="439" t="s">
        <v>798</v>
      </c>
      <c r="C703" s="440">
        <v>370000</v>
      </c>
      <c r="D703" s="441">
        <v>370000</v>
      </c>
      <c r="E703" s="442">
        <v>315000</v>
      </c>
      <c r="F703" s="292">
        <v>275040</v>
      </c>
      <c r="G703" s="173">
        <v>376000</v>
      </c>
    </row>
    <row r="704" spans="1:8" ht="12.75" hidden="1" customHeight="1" x14ac:dyDescent="0.2">
      <c r="A704" s="443">
        <v>3412</v>
      </c>
      <c r="B704" s="444" t="s">
        <v>799</v>
      </c>
      <c r="C704" s="445">
        <f>C705+C722</f>
        <v>85713000</v>
      </c>
      <c r="D704" s="445">
        <f>D705+D722</f>
        <v>93169650.74000001</v>
      </c>
      <c r="E704" s="445">
        <f>E705+E722</f>
        <v>92258958.379999995</v>
      </c>
      <c r="F704" s="446">
        <f>F705+F722</f>
        <v>50865083.780000001</v>
      </c>
      <c r="G704" s="447">
        <f>G705+G722</f>
        <v>38471000</v>
      </c>
    </row>
    <row r="705" spans="1:7" ht="12.75" hidden="1" customHeight="1" x14ac:dyDescent="0.2">
      <c r="A705" s="443"/>
      <c r="B705" s="448" t="s">
        <v>800</v>
      </c>
      <c r="C705" s="445">
        <f>C706+C711+C718</f>
        <v>23763000</v>
      </c>
      <c r="D705" s="445">
        <f>D706+D711+D718</f>
        <v>28219650.740000002</v>
      </c>
      <c r="E705" s="445">
        <f>E706+E711+E718</f>
        <v>26508958.380000003</v>
      </c>
      <c r="F705" s="446">
        <f>F706+F711+F718</f>
        <v>19875050.77</v>
      </c>
      <c r="G705" s="447">
        <f>G706+G711+G718</f>
        <v>25637000</v>
      </c>
    </row>
    <row r="706" spans="1:7" ht="12.75" hidden="1" customHeight="1" x14ac:dyDescent="0.2">
      <c r="A706" s="443"/>
      <c r="B706" s="449" t="s">
        <v>801</v>
      </c>
      <c r="C706" s="450">
        <f>SUM(C707:C708)</f>
        <v>2600000</v>
      </c>
      <c r="D706" s="450">
        <f>SUM(D707:D708)</f>
        <v>3700000</v>
      </c>
      <c r="E706" s="450">
        <f>SUM(E707:E708)</f>
        <v>3489307.64</v>
      </c>
      <c r="F706" s="451">
        <f>SUM(F707:F708)</f>
        <v>2282709.0299999998</v>
      </c>
      <c r="G706" s="452">
        <f>SUM(G707:G710)</f>
        <v>1600000</v>
      </c>
    </row>
    <row r="707" spans="1:7" ht="12.75" hidden="1" customHeight="1" x14ac:dyDescent="0.2">
      <c r="A707" s="443"/>
      <c r="B707" s="453" t="s">
        <v>802</v>
      </c>
      <c r="C707" s="450">
        <v>600000</v>
      </c>
      <c r="D707" s="454">
        <f>600000-600000</f>
        <v>0</v>
      </c>
      <c r="E707" s="454">
        <f>600000-600000</f>
        <v>0</v>
      </c>
      <c r="F707" s="296">
        <v>0</v>
      </c>
      <c r="G707" s="113">
        <v>0</v>
      </c>
    </row>
    <row r="708" spans="1:7" ht="12.75" hidden="1" customHeight="1" x14ac:dyDescent="0.2">
      <c r="A708" s="443"/>
      <c r="B708" s="453" t="s">
        <v>803</v>
      </c>
      <c r="C708" s="450">
        <v>2000000</v>
      </c>
      <c r="D708" s="454">
        <f>2000000+1700000</f>
        <v>3700000</v>
      </c>
      <c r="E708" s="455">
        <v>3489307.64</v>
      </c>
      <c r="F708" s="296">
        <v>2282709.0299999998</v>
      </c>
      <c r="G708" s="113">
        <v>0</v>
      </c>
    </row>
    <row r="709" spans="1:7" ht="12.75" hidden="1" customHeight="1" x14ac:dyDescent="0.2">
      <c r="A709" s="443"/>
      <c r="B709" s="456" t="s">
        <v>804</v>
      </c>
      <c r="C709" s="450"/>
      <c r="D709" s="454"/>
      <c r="E709" s="457"/>
      <c r="F709" s="410"/>
      <c r="G709" s="458">
        <v>1300000</v>
      </c>
    </row>
    <row r="710" spans="1:7" ht="12.75" hidden="1" customHeight="1" x14ac:dyDescent="0.2">
      <c r="A710" s="443"/>
      <c r="B710" s="456" t="s">
        <v>805</v>
      </c>
      <c r="C710" s="459"/>
      <c r="D710" s="460"/>
      <c r="E710" s="461"/>
      <c r="F710" s="462"/>
      <c r="G710" s="149">
        <v>300000</v>
      </c>
    </row>
    <row r="711" spans="1:7" ht="12.75" hidden="1" customHeight="1" x14ac:dyDescent="0.2">
      <c r="A711" s="443"/>
      <c r="B711" s="453" t="s">
        <v>806</v>
      </c>
      <c r="C711" s="463">
        <f>SUM(C712:C717)</f>
        <v>450000</v>
      </c>
      <c r="D711" s="464">
        <f>SUM(D712:D717)</f>
        <v>3206650.74</v>
      </c>
      <c r="E711" s="464">
        <f>SUM(E712:E717)</f>
        <v>3206650.74</v>
      </c>
      <c r="F711" s="446">
        <f>SUM(F712:F717)</f>
        <v>3006650.74</v>
      </c>
      <c r="G711" s="447">
        <f>SUM(G712:G717)</f>
        <v>850000</v>
      </c>
    </row>
    <row r="712" spans="1:7" ht="12.75" hidden="1" customHeight="1" x14ac:dyDescent="0.2">
      <c r="A712" s="443"/>
      <c r="B712" s="453" t="s">
        <v>807</v>
      </c>
      <c r="C712" s="452">
        <v>250000</v>
      </c>
      <c r="D712" s="454">
        <f>250000-250000</f>
        <v>0</v>
      </c>
      <c r="E712" s="465">
        <v>0</v>
      </c>
      <c r="F712" s="466">
        <v>0</v>
      </c>
      <c r="G712" s="143">
        <v>0</v>
      </c>
    </row>
    <row r="713" spans="1:7" ht="12.75" hidden="1" customHeight="1" x14ac:dyDescent="0.2">
      <c r="A713" s="443"/>
      <c r="B713" s="453" t="s">
        <v>808</v>
      </c>
      <c r="C713" s="452">
        <v>200000</v>
      </c>
      <c r="D713" s="460">
        <v>200000</v>
      </c>
      <c r="E713" s="461">
        <v>200000</v>
      </c>
      <c r="F713" s="296">
        <v>0</v>
      </c>
      <c r="G713" s="113">
        <v>200000</v>
      </c>
    </row>
    <row r="714" spans="1:7" ht="12.75" hidden="1" customHeight="1" x14ac:dyDescent="0.2">
      <c r="A714" s="443"/>
      <c r="B714" s="453" t="s">
        <v>809</v>
      </c>
      <c r="C714" s="452"/>
      <c r="D714" s="454"/>
      <c r="E714" s="455"/>
      <c r="F714" s="298"/>
      <c r="G714" s="113">
        <v>100000</v>
      </c>
    </row>
    <row r="715" spans="1:7" ht="12.75" hidden="1" customHeight="1" x14ac:dyDescent="0.2">
      <c r="A715" s="443"/>
      <c r="B715" s="467" t="s">
        <v>810</v>
      </c>
      <c r="C715" s="452"/>
      <c r="D715" s="454"/>
      <c r="E715" s="468"/>
      <c r="F715" s="304"/>
      <c r="G715" s="113">
        <v>150000</v>
      </c>
    </row>
    <row r="716" spans="1:7" ht="12.75" hidden="1" customHeight="1" x14ac:dyDescent="0.2">
      <c r="A716" s="443"/>
      <c r="B716" s="453" t="s">
        <v>811</v>
      </c>
      <c r="C716" s="452"/>
      <c r="D716" s="454"/>
      <c r="E716" s="468"/>
      <c r="F716" s="304"/>
      <c r="G716" s="113">
        <v>400000</v>
      </c>
    </row>
    <row r="717" spans="1:7" ht="12.75" hidden="1" customHeight="1" x14ac:dyDescent="0.2">
      <c r="A717" s="443"/>
      <c r="B717" s="453" t="s">
        <v>812</v>
      </c>
      <c r="C717" s="452">
        <v>0</v>
      </c>
      <c r="D717" s="454">
        <v>3006650.74</v>
      </c>
      <c r="E717" s="468">
        <v>3006650.74</v>
      </c>
      <c r="F717" s="304">
        <v>3006650.74</v>
      </c>
      <c r="G717" s="113">
        <v>0</v>
      </c>
    </row>
    <row r="718" spans="1:7" ht="12.75" hidden="1" customHeight="1" x14ac:dyDescent="0.2">
      <c r="A718" s="443"/>
      <c r="B718" s="449" t="s">
        <v>813</v>
      </c>
      <c r="C718" s="445">
        <f>C719+C720</f>
        <v>20713000</v>
      </c>
      <c r="D718" s="469">
        <f>D719+D720</f>
        <v>21313000</v>
      </c>
      <c r="E718" s="469">
        <f>E719+E720</f>
        <v>19813000</v>
      </c>
      <c r="F718" s="470">
        <f>SUM(F719:F721)</f>
        <v>14585691</v>
      </c>
      <c r="G718" s="447">
        <f>SUM(G719:G721)</f>
        <v>23187000</v>
      </c>
    </row>
    <row r="719" spans="1:7" ht="12.75" hidden="1" customHeight="1" x14ac:dyDescent="0.2">
      <c r="A719" s="471"/>
      <c r="B719" s="472" t="s">
        <v>814</v>
      </c>
      <c r="C719" s="452">
        <f>21000000-300000</f>
        <v>20700000</v>
      </c>
      <c r="D719" s="454">
        <f>(21000000-300000)+600000</f>
        <v>21300000</v>
      </c>
      <c r="E719" s="468">
        <v>19800000</v>
      </c>
      <c r="F719" s="304">
        <v>14585691</v>
      </c>
      <c r="G719" s="113">
        <v>23142000</v>
      </c>
    </row>
    <row r="720" spans="1:7" ht="12.75" hidden="1" customHeight="1" x14ac:dyDescent="0.2">
      <c r="A720" s="471"/>
      <c r="B720" s="449" t="s">
        <v>815</v>
      </c>
      <c r="C720" s="452">
        <v>13000</v>
      </c>
      <c r="D720" s="454">
        <v>13000</v>
      </c>
      <c r="E720" s="468">
        <v>13000</v>
      </c>
      <c r="F720" s="304">
        <v>0</v>
      </c>
      <c r="G720" s="113">
        <v>13000</v>
      </c>
    </row>
    <row r="721" spans="1:7" ht="12.75" hidden="1" customHeight="1" x14ac:dyDescent="0.2">
      <c r="A721" s="471"/>
      <c r="B721" s="449" t="s">
        <v>816</v>
      </c>
      <c r="C721" s="452"/>
      <c r="D721" s="454"/>
      <c r="E721" s="468"/>
      <c r="F721" s="304"/>
      <c r="G721" s="113">
        <v>32000</v>
      </c>
    </row>
    <row r="722" spans="1:7" ht="12.75" hidden="1" customHeight="1" x14ac:dyDescent="0.2">
      <c r="A722" s="471"/>
      <c r="B722" s="473" t="s">
        <v>817</v>
      </c>
      <c r="C722" s="447">
        <f>C723+C726+C730</f>
        <v>61950000</v>
      </c>
      <c r="D722" s="469">
        <f>D723+D726+D730</f>
        <v>64950000</v>
      </c>
      <c r="E722" s="469">
        <f>E723+E726+E730</f>
        <v>65750000</v>
      </c>
      <c r="F722" s="470">
        <f>F723+F726+F730</f>
        <v>30990033.010000002</v>
      </c>
      <c r="G722" s="447">
        <f>G723+G726+G730</f>
        <v>12834000</v>
      </c>
    </row>
    <row r="723" spans="1:7" ht="12.75" hidden="1" customHeight="1" x14ac:dyDescent="0.2">
      <c r="A723" s="471"/>
      <c r="B723" s="449" t="s">
        <v>801</v>
      </c>
      <c r="C723" s="450">
        <f>C724</f>
        <v>52000000</v>
      </c>
      <c r="D723" s="454">
        <f>D724</f>
        <v>55000000</v>
      </c>
      <c r="E723" s="468">
        <v>56800000</v>
      </c>
      <c r="F723" s="470">
        <f>SUM(F724:F725)</f>
        <v>25198915.960000001</v>
      </c>
      <c r="G723" s="450">
        <f>SUM(G724:G725)</f>
        <v>800000</v>
      </c>
    </row>
    <row r="724" spans="1:7" ht="12.75" hidden="1" customHeight="1" x14ac:dyDescent="0.2">
      <c r="A724" s="471"/>
      <c r="B724" s="453" t="s">
        <v>818</v>
      </c>
      <c r="C724" s="452">
        <v>52000000</v>
      </c>
      <c r="D724" s="454">
        <f>52000000+3000000</f>
        <v>55000000</v>
      </c>
      <c r="E724" s="468">
        <v>56800000</v>
      </c>
      <c r="F724" s="304">
        <v>25198915.960000001</v>
      </c>
      <c r="G724" s="113">
        <v>0</v>
      </c>
    </row>
    <row r="725" spans="1:7" ht="12.75" hidden="1" customHeight="1" x14ac:dyDescent="0.2">
      <c r="A725" s="471"/>
      <c r="B725" s="474" t="s">
        <v>819</v>
      </c>
      <c r="C725" s="452"/>
      <c r="D725" s="454"/>
      <c r="E725" s="455"/>
      <c r="F725" s="304"/>
      <c r="G725" s="113">
        <v>800000</v>
      </c>
    </row>
    <row r="726" spans="1:7" ht="12.75" hidden="1" customHeight="1" x14ac:dyDescent="0.2">
      <c r="A726" s="471"/>
      <c r="B726" s="449" t="s">
        <v>813</v>
      </c>
      <c r="C726" s="452">
        <f>C727</f>
        <v>9450000</v>
      </c>
      <c r="D726" s="454">
        <f>D727</f>
        <v>9450000</v>
      </c>
      <c r="E726" s="455">
        <v>8450000</v>
      </c>
      <c r="F726" s="470">
        <f>F727</f>
        <v>5573946.25</v>
      </c>
      <c r="G726" s="452">
        <f>SUM(G727:G729)</f>
        <v>9884000</v>
      </c>
    </row>
    <row r="727" spans="1:7" ht="12.75" hidden="1" customHeight="1" x14ac:dyDescent="0.2">
      <c r="A727" s="471"/>
      <c r="B727" s="449" t="s">
        <v>820</v>
      </c>
      <c r="C727" s="452">
        <f>9750000-300000</f>
        <v>9450000</v>
      </c>
      <c r="D727" s="454">
        <f>9750000-300000</f>
        <v>9450000</v>
      </c>
      <c r="E727" s="455">
        <v>8450000</v>
      </c>
      <c r="F727" s="304">
        <v>5573946.25</v>
      </c>
      <c r="G727" s="113">
        <v>9850000</v>
      </c>
    </row>
    <row r="728" spans="1:7" ht="12.75" hidden="1" customHeight="1" x14ac:dyDescent="0.2">
      <c r="A728" s="471"/>
      <c r="B728" s="449" t="s">
        <v>821</v>
      </c>
      <c r="C728" s="450"/>
      <c r="D728" s="454"/>
      <c r="E728" s="455"/>
      <c r="F728" s="304"/>
      <c r="G728" s="113">
        <v>34000</v>
      </c>
    </row>
    <row r="729" spans="1:7" ht="12.75" hidden="1" customHeight="1" x14ac:dyDescent="0.2">
      <c r="A729" s="471"/>
      <c r="B729" s="453" t="s">
        <v>822</v>
      </c>
      <c r="C729" s="452"/>
      <c r="D729" s="454"/>
      <c r="E729" s="455"/>
      <c r="F729" s="304"/>
      <c r="G729" s="113">
        <v>0</v>
      </c>
    </row>
    <row r="730" spans="1:7" ht="12.75" hidden="1" customHeight="1" x14ac:dyDescent="0.2">
      <c r="A730" s="471"/>
      <c r="B730" s="449" t="s">
        <v>823</v>
      </c>
      <c r="C730" s="450">
        <f>C731</f>
        <v>500000</v>
      </c>
      <c r="D730" s="454">
        <f>D731</f>
        <v>500000</v>
      </c>
      <c r="E730" s="455">
        <v>500000</v>
      </c>
      <c r="F730" s="470">
        <f>F731</f>
        <v>217170.8</v>
      </c>
      <c r="G730" s="452">
        <f>SUM(G731:G733)</f>
        <v>2150000</v>
      </c>
    </row>
    <row r="731" spans="1:7" ht="12.75" hidden="1" customHeight="1" x14ac:dyDescent="0.2">
      <c r="A731" s="471"/>
      <c r="B731" s="449" t="s">
        <v>824</v>
      </c>
      <c r="C731" s="450">
        <v>500000</v>
      </c>
      <c r="D731" s="454">
        <v>500000</v>
      </c>
      <c r="E731" s="455">
        <v>500000</v>
      </c>
      <c r="F731" s="304">
        <v>217170.8</v>
      </c>
      <c r="G731" s="113">
        <v>500000</v>
      </c>
    </row>
    <row r="732" spans="1:7" ht="12.75" hidden="1" customHeight="1" x14ac:dyDescent="0.2">
      <c r="A732" s="475"/>
      <c r="B732" s="449" t="s">
        <v>825</v>
      </c>
      <c r="C732" s="450"/>
      <c r="D732" s="454"/>
      <c r="E732" s="455"/>
      <c r="F732" s="304"/>
      <c r="G732" s="113">
        <v>900000</v>
      </c>
    </row>
    <row r="733" spans="1:7" ht="12.75" hidden="1" customHeight="1" x14ac:dyDescent="0.2">
      <c r="A733" s="471"/>
      <c r="B733" s="449" t="s">
        <v>826</v>
      </c>
      <c r="C733" s="452"/>
      <c r="D733" s="454"/>
      <c r="E733" s="455"/>
      <c r="F733" s="304"/>
      <c r="G733" s="113">
        <v>750000</v>
      </c>
    </row>
    <row r="734" spans="1:7" s="2" customFormat="1" ht="12.75" hidden="1" customHeight="1" x14ac:dyDescent="0.2">
      <c r="A734" s="443">
        <v>3612</v>
      </c>
      <c r="B734" s="444" t="s">
        <v>827</v>
      </c>
      <c r="C734" s="445">
        <f>C735+C746</f>
        <v>49543000</v>
      </c>
      <c r="D734" s="469">
        <f>D735+D746</f>
        <v>45394000</v>
      </c>
      <c r="E734" s="469">
        <f>E735+E746</f>
        <v>41541631.149999999</v>
      </c>
      <c r="F734" s="470">
        <f>F735+F746</f>
        <v>22992944.09</v>
      </c>
      <c r="G734" s="445">
        <f>G735+G746</f>
        <v>129014000</v>
      </c>
    </row>
    <row r="735" spans="1:7" ht="12.75" hidden="1" customHeight="1" x14ac:dyDescent="0.2">
      <c r="A735" s="443"/>
      <c r="B735" s="449" t="s">
        <v>801</v>
      </c>
      <c r="C735" s="450">
        <f>SUM(C736:C740)</f>
        <v>4483000</v>
      </c>
      <c r="D735" s="454">
        <f>SUM(D736:D740)</f>
        <v>3333000</v>
      </c>
      <c r="E735" s="454">
        <f>SUM(E736:E740)</f>
        <v>2344298.37</v>
      </c>
      <c r="F735" s="470">
        <f>SUM(F736:F745)</f>
        <v>757778.37</v>
      </c>
      <c r="G735" s="450">
        <f>SUM(G736:G745)</f>
        <v>89954000</v>
      </c>
    </row>
    <row r="736" spans="1:7" ht="12.75" hidden="1" customHeight="1" x14ac:dyDescent="0.2">
      <c r="A736" s="443"/>
      <c r="B736" s="449" t="s">
        <v>828</v>
      </c>
      <c r="C736" s="450">
        <f>3300000-517000</f>
        <v>2783000</v>
      </c>
      <c r="D736" s="454">
        <f>3300000-517000-900000</f>
        <v>1883000</v>
      </c>
      <c r="E736" s="455">
        <v>1050000</v>
      </c>
      <c r="F736" s="476">
        <v>0</v>
      </c>
      <c r="G736" s="477">
        <v>654000</v>
      </c>
    </row>
    <row r="737" spans="1:7" ht="12.75" hidden="1" customHeight="1" x14ac:dyDescent="0.2">
      <c r="A737" s="443"/>
      <c r="B737" s="453" t="s">
        <v>829</v>
      </c>
      <c r="C737" s="452">
        <v>1000000</v>
      </c>
      <c r="D737" s="454">
        <f>1000000-250000</f>
        <v>750000</v>
      </c>
      <c r="E737" s="455">
        <v>651298.37</v>
      </c>
      <c r="F737" s="304">
        <v>651298.37</v>
      </c>
      <c r="G737" s="113">
        <v>0</v>
      </c>
    </row>
    <row r="738" spans="1:7" ht="12.75" hidden="1" customHeight="1" x14ac:dyDescent="0.2">
      <c r="A738" s="443" t="s">
        <v>446</v>
      </c>
      <c r="B738" s="453" t="s">
        <v>830</v>
      </c>
      <c r="C738" s="450">
        <f>8000000-8000000</f>
        <v>0</v>
      </c>
      <c r="D738" s="478">
        <v>107000</v>
      </c>
      <c r="E738" s="479">
        <v>107000</v>
      </c>
      <c r="F738" s="304">
        <v>106480</v>
      </c>
      <c r="G738" s="113">
        <v>0</v>
      </c>
    </row>
    <row r="739" spans="1:7" ht="12.75" hidden="1" customHeight="1" x14ac:dyDescent="0.2">
      <c r="A739" s="443"/>
      <c r="B739" s="449" t="s">
        <v>831</v>
      </c>
      <c r="C739" s="450">
        <v>350000</v>
      </c>
      <c r="D739" s="478">
        <v>293000</v>
      </c>
      <c r="E739" s="479">
        <v>240000</v>
      </c>
      <c r="F739" s="476">
        <v>0</v>
      </c>
      <c r="G739" s="388">
        <v>0</v>
      </c>
    </row>
    <row r="740" spans="1:7" ht="12.75" hidden="1" customHeight="1" x14ac:dyDescent="0.2">
      <c r="A740" s="443"/>
      <c r="B740" s="449" t="s">
        <v>832</v>
      </c>
      <c r="C740" s="450">
        <v>350000</v>
      </c>
      <c r="D740" s="478">
        <v>300000</v>
      </c>
      <c r="E740" s="480">
        <v>296000</v>
      </c>
      <c r="F740" s="304">
        <v>0</v>
      </c>
      <c r="G740" s="113">
        <v>0</v>
      </c>
    </row>
    <row r="741" spans="1:7" ht="12.75" hidden="1" customHeight="1" x14ac:dyDescent="0.2">
      <c r="A741" s="481"/>
      <c r="B741" s="453" t="s">
        <v>833</v>
      </c>
      <c r="C741" s="450"/>
      <c r="D741" s="482"/>
      <c r="E741" s="483"/>
      <c r="F741" s="484"/>
      <c r="G741" s="485">
        <v>14500000</v>
      </c>
    </row>
    <row r="742" spans="1:7" ht="12.75" hidden="1" customHeight="1" x14ac:dyDescent="0.2">
      <c r="A742" s="481"/>
      <c r="B742" s="453" t="s">
        <v>834</v>
      </c>
      <c r="C742" s="450"/>
      <c r="D742" s="482"/>
      <c r="E742" s="486"/>
      <c r="F742" s="484"/>
      <c r="G742" s="487">
        <v>9500000</v>
      </c>
    </row>
    <row r="743" spans="1:7" ht="12.75" hidden="1" customHeight="1" x14ac:dyDescent="0.2">
      <c r="A743" s="481"/>
      <c r="B743" s="453" t="s">
        <v>835</v>
      </c>
      <c r="C743" s="450"/>
      <c r="D743" s="482"/>
      <c r="E743" s="483"/>
      <c r="F743" s="484"/>
      <c r="G743" s="485">
        <v>65000000</v>
      </c>
    </row>
    <row r="744" spans="1:7" s="488" customFormat="1" ht="12.75" hidden="1" customHeight="1" x14ac:dyDescent="0.2">
      <c r="A744" s="489"/>
      <c r="B744" s="456" t="s">
        <v>836</v>
      </c>
      <c r="C744" s="490"/>
      <c r="D744" s="491"/>
      <c r="E744" s="492"/>
      <c r="F744" s="493"/>
      <c r="G744" s="494">
        <v>300000</v>
      </c>
    </row>
    <row r="745" spans="1:7" ht="12.75" hidden="1" customHeight="1" x14ac:dyDescent="0.2">
      <c r="A745" s="481"/>
      <c r="B745" s="453" t="s">
        <v>837</v>
      </c>
      <c r="C745" s="450"/>
      <c r="D745" s="482"/>
      <c r="E745" s="486"/>
      <c r="F745" s="484"/>
      <c r="G745" s="487">
        <v>0</v>
      </c>
    </row>
    <row r="746" spans="1:7" ht="12.75" hidden="1" customHeight="1" x14ac:dyDescent="0.2">
      <c r="A746" s="443"/>
      <c r="B746" s="449" t="s">
        <v>838</v>
      </c>
      <c r="C746" s="114">
        <f>C747+C751+C756+C764+C766+SUM(C776:C781)</f>
        <v>45060000</v>
      </c>
      <c r="D746" s="495">
        <f>D747+D751+D756+D764+D766+SUM(D776:D781)</f>
        <v>42061000</v>
      </c>
      <c r="E746" s="495">
        <f>E747+E751+E756+E764+E766+SUM(E776:E781)</f>
        <v>39197332.780000001</v>
      </c>
      <c r="F746" s="304">
        <f>F747+F751+F756+F764+F766+SUM(F776:F781)</f>
        <v>22235165.719999999</v>
      </c>
      <c r="G746" s="114">
        <f>G747+G751+G756+G764+G766+SUM(G776:G781)</f>
        <v>39060000</v>
      </c>
    </row>
    <row r="747" spans="1:7" ht="12.75" hidden="1" customHeight="1" x14ac:dyDescent="0.2">
      <c r="A747" s="443"/>
      <c r="B747" s="473" t="s">
        <v>839</v>
      </c>
      <c r="C747" s="490">
        <f>SUM(C748:C750)</f>
        <v>7950000</v>
      </c>
      <c r="D747" s="491">
        <f>SUM(D748:D750)</f>
        <v>8077000</v>
      </c>
      <c r="E747" s="491">
        <f>SUM(E748:E750)</f>
        <v>8077000</v>
      </c>
      <c r="F747" s="496">
        <f>SUM(F748:F750)</f>
        <v>3758467.68</v>
      </c>
      <c r="G747" s="497">
        <f>SUM(G748:G750)</f>
        <v>7250000</v>
      </c>
    </row>
    <row r="748" spans="1:7" ht="12.75" hidden="1" customHeight="1" x14ac:dyDescent="0.2">
      <c r="A748" s="471"/>
      <c r="B748" s="453" t="s">
        <v>840</v>
      </c>
      <c r="C748" s="452">
        <v>5750000</v>
      </c>
      <c r="D748" s="454">
        <v>5750000</v>
      </c>
      <c r="E748" s="455">
        <v>5750000</v>
      </c>
      <c r="F748" s="304">
        <v>3431421.48</v>
      </c>
      <c r="G748" s="113">
        <v>5750000</v>
      </c>
    </row>
    <row r="749" spans="1:7" ht="12.75" hidden="1" customHeight="1" x14ac:dyDescent="0.2">
      <c r="A749" s="471"/>
      <c r="B749" s="472" t="s">
        <v>841</v>
      </c>
      <c r="C749" s="452">
        <v>2000000</v>
      </c>
      <c r="D749" s="454">
        <v>2000000</v>
      </c>
      <c r="E749" s="455">
        <v>2000000</v>
      </c>
      <c r="F749" s="304">
        <v>0</v>
      </c>
      <c r="G749" s="113">
        <v>1500000</v>
      </c>
    </row>
    <row r="750" spans="1:7" ht="12.75" hidden="1" customHeight="1" x14ac:dyDescent="0.2">
      <c r="A750" s="471"/>
      <c r="B750" s="472" t="s">
        <v>842</v>
      </c>
      <c r="C750" s="452">
        <v>200000</v>
      </c>
      <c r="D750" s="478">
        <v>327000</v>
      </c>
      <c r="E750" s="479">
        <v>327000</v>
      </c>
      <c r="F750" s="304">
        <v>327046.2</v>
      </c>
      <c r="G750" s="113">
        <v>0</v>
      </c>
    </row>
    <row r="751" spans="1:7" ht="12.75" hidden="1" customHeight="1" x14ac:dyDescent="0.2">
      <c r="A751" s="443"/>
      <c r="B751" s="472" t="s">
        <v>843</v>
      </c>
      <c r="C751" s="497">
        <f>SUM(C752:C753)</f>
        <v>1500000</v>
      </c>
      <c r="D751" s="491">
        <f>SUM(D752:D753)</f>
        <v>1500000</v>
      </c>
      <c r="E751" s="491">
        <f>SUM(E752:E753)</f>
        <v>1500000</v>
      </c>
      <c r="F751" s="496">
        <f>SUM(F752:F753)</f>
        <v>629041</v>
      </c>
      <c r="G751" s="497">
        <f>G752+G753</f>
        <v>3300000</v>
      </c>
    </row>
    <row r="752" spans="1:7" ht="12.75" hidden="1" customHeight="1" x14ac:dyDescent="0.2">
      <c r="A752" s="471"/>
      <c r="B752" s="472" t="s">
        <v>844</v>
      </c>
      <c r="C752" s="452">
        <v>1500000</v>
      </c>
      <c r="D752" s="454">
        <v>1500000</v>
      </c>
      <c r="E752" s="468">
        <v>1500000</v>
      </c>
      <c r="F752" s="304">
        <v>629041</v>
      </c>
      <c r="G752" s="113">
        <v>2000000</v>
      </c>
    </row>
    <row r="753" spans="1:7" ht="12.75" hidden="1" customHeight="1" x14ac:dyDescent="0.2">
      <c r="A753" s="471"/>
      <c r="B753" s="472" t="s">
        <v>845</v>
      </c>
      <c r="C753" s="452">
        <f>SUM(C754:C755)</f>
        <v>0</v>
      </c>
      <c r="D753" s="454">
        <f>SUM(D754:D755)</f>
        <v>0</v>
      </c>
      <c r="E753" s="468">
        <v>0</v>
      </c>
      <c r="F753" s="498">
        <f>SUM(F754:F755)</f>
        <v>0</v>
      </c>
      <c r="G753" s="452">
        <f>SUM(G754:G755)</f>
        <v>1300000</v>
      </c>
    </row>
    <row r="754" spans="1:7" s="488" customFormat="1" ht="12.75" hidden="1" customHeight="1" x14ac:dyDescent="0.2">
      <c r="A754" s="489"/>
      <c r="B754" s="499" t="s">
        <v>846</v>
      </c>
      <c r="C754" s="497"/>
      <c r="D754" s="491"/>
      <c r="E754" s="500"/>
      <c r="F754" s="501"/>
      <c r="G754" s="502">
        <v>300000</v>
      </c>
    </row>
    <row r="755" spans="1:7" s="488" customFormat="1" ht="12.75" hidden="1" customHeight="1" x14ac:dyDescent="0.2">
      <c r="A755" s="489"/>
      <c r="B755" s="499" t="s">
        <v>847</v>
      </c>
      <c r="C755" s="452"/>
      <c r="D755" s="454"/>
      <c r="E755" s="468"/>
      <c r="F755" s="503"/>
      <c r="G755" s="504">
        <v>1000000</v>
      </c>
    </row>
    <row r="756" spans="1:7" s="488" customFormat="1" ht="12.75" hidden="1" customHeight="1" x14ac:dyDescent="0.2">
      <c r="A756" s="471"/>
      <c r="B756" s="472" t="s">
        <v>848</v>
      </c>
      <c r="C756" s="497">
        <f>SUM(C757:C758)</f>
        <v>4100000</v>
      </c>
      <c r="D756" s="491">
        <f>SUM(D757:D758)</f>
        <v>3293365</v>
      </c>
      <c r="E756" s="491">
        <f>SUM(E757:E758)</f>
        <v>3353907.7800000003</v>
      </c>
      <c r="F756" s="496">
        <f>SUM(F757:F758)</f>
        <v>3099279.41</v>
      </c>
      <c r="G756" s="497">
        <f>G757+G758</f>
        <v>3100000</v>
      </c>
    </row>
    <row r="757" spans="1:7" ht="12.75" hidden="1" customHeight="1" x14ac:dyDescent="0.2">
      <c r="A757" s="471"/>
      <c r="B757" s="505" t="s">
        <v>844</v>
      </c>
      <c r="C757" s="459">
        <v>2000000</v>
      </c>
      <c r="D757" s="478">
        <f>2000000-6635</f>
        <v>1993365</v>
      </c>
      <c r="E757" s="506">
        <v>2000000</v>
      </c>
      <c r="F757" s="304">
        <v>1745387.63</v>
      </c>
      <c r="G757" s="507">
        <v>2500000</v>
      </c>
    </row>
    <row r="758" spans="1:7" ht="12.75" hidden="1" customHeight="1" x14ac:dyDescent="0.2">
      <c r="A758" s="471"/>
      <c r="B758" s="508" t="s">
        <v>849</v>
      </c>
      <c r="C758" s="509">
        <f>SUM(C759:C763)</f>
        <v>2100000</v>
      </c>
      <c r="D758" s="454">
        <f>SUM(D759:D763)</f>
        <v>1300000</v>
      </c>
      <c r="E758" s="454">
        <f>SUM(E759:E763)</f>
        <v>1353907.78</v>
      </c>
      <c r="F758" s="498">
        <v>1353891.78</v>
      </c>
      <c r="G758" s="509">
        <f>SUM(G759:G763)</f>
        <v>600000</v>
      </c>
    </row>
    <row r="759" spans="1:7" ht="12.75" hidden="1" customHeight="1" x14ac:dyDescent="0.2">
      <c r="A759" s="489"/>
      <c r="B759" s="453" t="s">
        <v>850</v>
      </c>
      <c r="C759" s="450">
        <v>1300000</v>
      </c>
      <c r="D759" s="454">
        <v>1300000</v>
      </c>
      <c r="E759" s="455">
        <v>1353907.78</v>
      </c>
      <c r="F759" s="498">
        <f>SUM(F760:F763)</f>
        <v>0</v>
      </c>
      <c r="G759" s="452">
        <v>0</v>
      </c>
    </row>
    <row r="760" spans="1:7" s="488" customFormat="1" ht="12.75" hidden="1" customHeight="1" x14ac:dyDescent="0.2">
      <c r="A760" s="489"/>
      <c r="B760" s="453" t="s">
        <v>851</v>
      </c>
      <c r="C760" s="450">
        <v>800000</v>
      </c>
      <c r="D760" s="454">
        <f>800000-800000</f>
        <v>0</v>
      </c>
      <c r="E760" s="468">
        <v>0</v>
      </c>
      <c r="F760" s="304">
        <v>0</v>
      </c>
      <c r="G760" s="113">
        <v>0</v>
      </c>
    </row>
    <row r="761" spans="1:7" s="488" customFormat="1" ht="12.75" hidden="1" customHeight="1" x14ac:dyDescent="0.2">
      <c r="A761" s="489"/>
      <c r="B761" s="453" t="s">
        <v>852</v>
      </c>
      <c r="C761" s="452"/>
      <c r="D761" s="454"/>
      <c r="E761" s="455"/>
      <c r="F761" s="510"/>
      <c r="G761" s="374">
        <v>300000</v>
      </c>
    </row>
    <row r="762" spans="1:7" s="488" customFormat="1" ht="12.75" hidden="1" customHeight="1" x14ac:dyDescent="0.2">
      <c r="A762" s="489"/>
      <c r="B762" s="511" t="s">
        <v>853</v>
      </c>
      <c r="C762" s="452"/>
      <c r="D762" s="454"/>
      <c r="E762" s="455"/>
      <c r="F762" s="510"/>
      <c r="G762" s="393">
        <v>300000</v>
      </c>
    </row>
    <row r="763" spans="1:7" s="488" customFormat="1" ht="12.75" hidden="1" customHeight="1" x14ac:dyDescent="0.2">
      <c r="A763" s="489"/>
      <c r="B763" s="453" t="s">
        <v>854</v>
      </c>
      <c r="C763" s="452"/>
      <c r="D763" s="454"/>
      <c r="E763" s="455"/>
      <c r="F763" s="510"/>
      <c r="G763" s="393">
        <v>0</v>
      </c>
    </row>
    <row r="764" spans="1:7" s="488" customFormat="1" ht="12.75" hidden="1" customHeight="1" x14ac:dyDescent="0.2">
      <c r="A764" s="471"/>
      <c r="B764" s="449" t="s">
        <v>855</v>
      </c>
      <c r="C764" s="497">
        <f>SUM(C765:C765)</f>
        <v>600000</v>
      </c>
      <c r="D764" s="491">
        <f>SUM(D765:D765)</f>
        <v>473000</v>
      </c>
      <c r="E764" s="491">
        <f>SUM(E765:E765)</f>
        <v>473000</v>
      </c>
      <c r="F764" s="512">
        <f>SUM(F765:F765)</f>
        <v>117051.4</v>
      </c>
      <c r="G764" s="513">
        <v>0</v>
      </c>
    </row>
    <row r="765" spans="1:7" ht="12.75" hidden="1" customHeight="1" x14ac:dyDescent="0.2">
      <c r="A765" s="471"/>
      <c r="B765" s="449" t="s">
        <v>856</v>
      </c>
      <c r="C765" s="452">
        <v>600000</v>
      </c>
      <c r="D765" s="454">
        <v>473000</v>
      </c>
      <c r="E765" s="455">
        <v>473000</v>
      </c>
      <c r="F765" s="304">
        <v>117051.4</v>
      </c>
      <c r="G765" s="114">
        <v>0</v>
      </c>
    </row>
    <row r="766" spans="1:7" ht="12.75" hidden="1" customHeight="1" x14ac:dyDescent="0.2">
      <c r="A766" s="471"/>
      <c r="B766" s="472" t="s">
        <v>857</v>
      </c>
      <c r="C766" s="497">
        <f>C767+C768</f>
        <v>5500000</v>
      </c>
      <c r="D766" s="491">
        <f>D767+D768</f>
        <v>3391000</v>
      </c>
      <c r="E766" s="491">
        <f>E767+E768</f>
        <v>3133425</v>
      </c>
      <c r="F766" s="496">
        <f>F767+F768</f>
        <v>1795955.96</v>
      </c>
      <c r="G766" s="490">
        <f>G767+G768</f>
        <v>2500000</v>
      </c>
    </row>
    <row r="767" spans="1:7" ht="12.75" hidden="1" customHeight="1" x14ac:dyDescent="0.2">
      <c r="A767" s="471"/>
      <c r="B767" s="449" t="s">
        <v>858</v>
      </c>
      <c r="C767" s="452">
        <v>1500000</v>
      </c>
      <c r="D767" s="454">
        <v>1891000</v>
      </c>
      <c r="E767" s="455">
        <v>1891000</v>
      </c>
      <c r="F767" s="304">
        <v>853530.95</v>
      </c>
      <c r="G767" s="114">
        <v>1500000</v>
      </c>
    </row>
    <row r="768" spans="1:7" ht="12.75" hidden="1" customHeight="1" x14ac:dyDescent="0.2">
      <c r="A768" s="471"/>
      <c r="B768" s="514" t="s">
        <v>859</v>
      </c>
      <c r="C768" s="452">
        <f>SUM(C769:C775)</f>
        <v>4000000</v>
      </c>
      <c r="D768" s="454">
        <f>SUM(D769:D775)</f>
        <v>1500000</v>
      </c>
      <c r="E768" s="454">
        <f>SUM(E769:E775)</f>
        <v>1242425</v>
      </c>
      <c r="F768" s="498">
        <f>SUM(F769:F775)</f>
        <v>942425.01</v>
      </c>
      <c r="G768" s="450">
        <f>SUM(G769:G775)</f>
        <v>1000000</v>
      </c>
    </row>
    <row r="769" spans="1:7" ht="12.75" hidden="1" customHeight="1" x14ac:dyDescent="0.2">
      <c r="A769" s="489"/>
      <c r="B769" s="514" t="s">
        <v>860</v>
      </c>
      <c r="C769" s="452">
        <v>500000</v>
      </c>
      <c r="D769" s="454">
        <v>0</v>
      </c>
      <c r="E769" s="455">
        <v>0</v>
      </c>
      <c r="F769" s="498">
        <v>0</v>
      </c>
      <c r="G769" s="450">
        <v>0</v>
      </c>
    </row>
    <row r="770" spans="1:7" s="488" customFormat="1" ht="12.75" hidden="1" customHeight="1" x14ac:dyDescent="0.2">
      <c r="A770" s="489"/>
      <c r="B770" s="515" t="s">
        <v>861</v>
      </c>
      <c r="C770" s="450">
        <v>1500000</v>
      </c>
      <c r="D770" s="454">
        <f>1500000-300000</f>
        <v>1200000</v>
      </c>
      <c r="E770" s="455">
        <v>942425</v>
      </c>
      <c r="F770" s="304">
        <v>942425.01</v>
      </c>
      <c r="G770" s="114">
        <v>0</v>
      </c>
    </row>
    <row r="771" spans="1:7" s="488" customFormat="1" ht="12.75" hidden="1" customHeight="1" x14ac:dyDescent="0.2">
      <c r="A771" s="489"/>
      <c r="B771" s="515" t="s">
        <v>862</v>
      </c>
      <c r="C771" s="452">
        <v>500000</v>
      </c>
      <c r="D771" s="454">
        <f t="shared" ref="D771:D772" si="8">500000-400000</f>
        <v>100000</v>
      </c>
      <c r="E771" s="455">
        <v>100000</v>
      </c>
      <c r="F771" s="304">
        <v>0</v>
      </c>
      <c r="G771" s="114">
        <v>0</v>
      </c>
    </row>
    <row r="772" spans="1:7" s="488" customFormat="1" ht="12.75" hidden="1" customHeight="1" x14ac:dyDescent="0.2">
      <c r="A772" s="489"/>
      <c r="B772" s="516" t="s">
        <v>863</v>
      </c>
      <c r="C772" s="450">
        <v>500000</v>
      </c>
      <c r="D772" s="454">
        <f t="shared" si="8"/>
        <v>100000</v>
      </c>
      <c r="E772" s="455">
        <v>100000</v>
      </c>
      <c r="F772" s="304">
        <v>0</v>
      </c>
      <c r="G772" s="114">
        <v>0</v>
      </c>
    </row>
    <row r="773" spans="1:7" s="488" customFormat="1" ht="12.75" hidden="1" customHeight="1" x14ac:dyDescent="0.2">
      <c r="A773" s="489"/>
      <c r="B773" s="515" t="s">
        <v>864</v>
      </c>
      <c r="C773" s="450">
        <v>1000000</v>
      </c>
      <c r="D773" s="454">
        <f>1000000-900000</f>
        <v>100000</v>
      </c>
      <c r="E773" s="455">
        <v>100000</v>
      </c>
      <c r="F773" s="304">
        <v>0</v>
      </c>
      <c r="G773" s="113">
        <v>0</v>
      </c>
    </row>
    <row r="774" spans="1:7" s="488" customFormat="1" ht="12.75" hidden="1" customHeight="1" x14ac:dyDescent="0.2">
      <c r="A774" s="489"/>
      <c r="B774" s="515" t="s">
        <v>865</v>
      </c>
      <c r="C774" s="450"/>
      <c r="D774" s="454"/>
      <c r="E774" s="455"/>
      <c r="F774" s="304"/>
      <c r="G774" s="114">
        <v>500000</v>
      </c>
    </row>
    <row r="775" spans="1:7" s="488" customFormat="1" ht="12.75" hidden="1" customHeight="1" x14ac:dyDescent="0.2">
      <c r="A775" s="489"/>
      <c r="B775" s="517" t="s">
        <v>866</v>
      </c>
      <c r="C775" s="450"/>
      <c r="D775" s="454"/>
      <c r="E775" s="455"/>
      <c r="F775" s="304"/>
      <c r="G775" s="113">
        <v>500000</v>
      </c>
    </row>
    <row r="776" spans="1:7" s="488" customFormat="1" ht="12.75" hidden="1" customHeight="1" x14ac:dyDescent="0.2">
      <c r="A776" s="471"/>
      <c r="B776" s="514" t="s">
        <v>867</v>
      </c>
      <c r="C776" s="450">
        <v>100000</v>
      </c>
      <c r="D776" s="454">
        <f>100000-90000</f>
        <v>10000</v>
      </c>
      <c r="E776" s="455">
        <v>0</v>
      </c>
      <c r="F776" s="304">
        <v>0</v>
      </c>
      <c r="G776" s="114">
        <v>0</v>
      </c>
    </row>
    <row r="777" spans="1:7" s="488" customFormat="1" ht="12.75" hidden="1" customHeight="1" x14ac:dyDescent="0.2">
      <c r="A777" s="471"/>
      <c r="B777" s="449" t="s">
        <v>868</v>
      </c>
      <c r="C777" s="450">
        <v>260000</v>
      </c>
      <c r="D777" s="454">
        <v>260000</v>
      </c>
      <c r="E777" s="455">
        <v>260000</v>
      </c>
      <c r="F777" s="304">
        <v>119984</v>
      </c>
      <c r="G777" s="114">
        <v>260000</v>
      </c>
    </row>
    <row r="778" spans="1:7" ht="12.75" hidden="1" customHeight="1" x14ac:dyDescent="0.2">
      <c r="A778" s="471"/>
      <c r="B778" s="453" t="s">
        <v>869</v>
      </c>
      <c r="C778" s="450">
        <v>2850000</v>
      </c>
      <c r="D778" s="478">
        <f>2850000+6635</f>
        <v>2856635</v>
      </c>
      <c r="E778" s="479">
        <v>2300000</v>
      </c>
      <c r="F778" s="304">
        <v>1247627.56</v>
      </c>
      <c r="G778" s="114">
        <v>2500000</v>
      </c>
    </row>
    <row r="779" spans="1:7" ht="12.75" hidden="1" customHeight="1" x14ac:dyDescent="0.2">
      <c r="A779" s="471"/>
      <c r="B779" s="453" t="s">
        <v>870</v>
      </c>
      <c r="C779" s="450">
        <v>100000</v>
      </c>
      <c r="D779" s="454">
        <v>100000</v>
      </c>
      <c r="E779" s="455">
        <v>100000</v>
      </c>
      <c r="F779" s="304">
        <f>54064+6634.92</f>
        <v>60698.92</v>
      </c>
      <c r="G779" s="114">
        <v>100000</v>
      </c>
    </row>
    <row r="780" spans="1:7" ht="12.75" hidden="1" customHeight="1" x14ac:dyDescent="0.2">
      <c r="A780" s="471"/>
      <c r="B780" s="453" t="s">
        <v>871</v>
      </c>
      <c r="C780" s="450">
        <v>22100000</v>
      </c>
      <c r="D780" s="454">
        <v>22100000</v>
      </c>
      <c r="E780" s="455">
        <v>20000000</v>
      </c>
      <c r="F780" s="304">
        <v>11407059.789999999</v>
      </c>
      <c r="G780" s="114">
        <v>20000000</v>
      </c>
    </row>
    <row r="781" spans="1:7" ht="12.75" hidden="1" customHeight="1" x14ac:dyDescent="0.2">
      <c r="A781" s="518"/>
      <c r="B781" s="514" t="s">
        <v>872</v>
      </c>
      <c r="C781" s="450"/>
      <c r="D781" s="454"/>
      <c r="E781" s="455"/>
      <c r="F781" s="304"/>
      <c r="G781" s="114">
        <v>50000</v>
      </c>
    </row>
    <row r="782" spans="1:7" ht="12.75" hidden="1" customHeight="1" x14ac:dyDescent="0.2">
      <c r="A782" s="519">
        <v>3613</v>
      </c>
      <c r="B782" s="444" t="s">
        <v>873</v>
      </c>
      <c r="C782" s="447">
        <f>SUM(C783,C796,C797,C798,C815,C803,C816,C843)</f>
        <v>104815000</v>
      </c>
      <c r="D782" s="469">
        <f>SUM(D783,D796,D797,D798,D815,D803,D816,D843)</f>
        <v>34680450</v>
      </c>
      <c r="E782" s="469">
        <f>SUM(E783,E796,E797,E798,E815,E803,E816,E843)</f>
        <v>29164602.560000002</v>
      </c>
      <c r="F782" s="301">
        <f>SUM(F783,F796,F797,F798,F815,F803,F816,F843)</f>
        <v>11547335.569999998</v>
      </c>
      <c r="G782" s="105">
        <f>G783+G796+G797+G798+G803+G816+G817</f>
        <v>22809000</v>
      </c>
    </row>
    <row r="783" spans="1:7" ht="12.75" hidden="1" customHeight="1" x14ac:dyDescent="0.2">
      <c r="A783" s="520"/>
      <c r="B783" s="449" t="s">
        <v>874</v>
      </c>
      <c r="C783" s="490">
        <f>SUM(C784:C790)</f>
        <v>81680000</v>
      </c>
      <c r="D783" s="491">
        <f>SUM(D784:D790)</f>
        <v>13287000</v>
      </c>
      <c r="E783" s="491">
        <f>SUM(E784:E790)</f>
        <v>10861152.560000001</v>
      </c>
      <c r="F783" s="521">
        <f>SUM(F784:F795)</f>
        <v>5167417.13</v>
      </c>
      <c r="G783" s="497">
        <f>SUM(G784:G795)</f>
        <v>6843000</v>
      </c>
    </row>
    <row r="784" spans="1:7" s="2" customFormat="1" ht="12.75" hidden="1" customHeight="1" x14ac:dyDescent="0.2">
      <c r="A784" s="443"/>
      <c r="B784" s="453" t="s">
        <v>875</v>
      </c>
      <c r="C784" s="452">
        <f>4000000-500000</f>
        <v>3500000</v>
      </c>
      <c r="D784" s="454">
        <f>4000000-500000+500000</f>
        <v>4000000</v>
      </c>
      <c r="E784" s="455">
        <v>4000000</v>
      </c>
      <c r="F784" s="522">
        <v>5808</v>
      </c>
      <c r="G784" s="523">
        <v>0</v>
      </c>
    </row>
    <row r="785" spans="1:7" ht="12.75" hidden="1" customHeight="1" x14ac:dyDescent="0.2">
      <c r="A785" s="443"/>
      <c r="B785" s="453" t="s">
        <v>876</v>
      </c>
      <c r="C785" s="452"/>
      <c r="D785" s="454"/>
      <c r="E785" s="455"/>
      <c r="F785" s="522"/>
      <c r="G785" s="523">
        <v>750000</v>
      </c>
    </row>
    <row r="786" spans="1:7" ht="12.75" hidden="1" customHeight="1" x14ac:dyDescent="0.2">
      <c r="A786" s="443"/>
      <c r="B786" s="524" t="s">
        <v>877</v>
      </c>
      <c r="C786" s="450">
        <v>68000000</v>
      </c>
      <c r="D786" s="454">
        <f>68000000-13486022-53513978</f>
        <v>1000000</v>
      </c>
      <c r="E786" s="455">
        <v>0</v>
      </c>
      <c r="F786" s="498">
        <v>0</v>
      </c>
      <c r="G786" s="450">
        <v>500000</v>
      </c>
    </row>
    <row r="787" spans="1:7" ht="12.75" hidden="1" customHeight="1" x14ac:dyDescent="0.2">
      <c r="A787" s="443"/>
      <c r="B787" s="525" t="s">
        <v>878</v>
      </c>
      <c r="C787" s="450">
        <v>2000000</v>
      </c>
      <c r="D787" s="454">
        <f>2000000-1500000</f>
        <v>500000</v>
      </c>
      <c r="E787" s="455">
        <v>0</v>
      </c>
      <c r="F787" s="498">
        <v>0</v>
      </c>
      <c r="G787" s="450">
        <v>100000</v>
      </c>
    </row>
    <row r="788" spans="1:7" ht="12.75" hidden="1" customHeight="1" x14ac:dyDescent="0.2">
      <c r="A788" s="443"/>
      <c r="B788" s="525" t="s">
        <v>879</v>
      </c>
      <c r="C788" s="450">
        <v>5500000</v>
      </c>
      <c r="D788" s="454">
        <v>5500000</v>
      </c>
      <c r="E788" s="455">
        <v>5122889.3</v>
      </c>
      <c r="F788" s="304">
        <v>5122889.13</v>
      </c>
      <c r="G788" s="114">
        <v>0</v>
      </c>
    </row>
    <row r="789" spans="1:7" ht="12.75" hidden="1" customHeight="1" x14ac:dyDescent="0.2">
      <c r="A789" s="519"/>
      <c r="B789" s="524" t="s">
        <v>880</v>
      </c>
      <c r="C789" s="450">
        <v>500000</v>
      </c>
      <c r="D789" s="454">
        <v>500000</v>
      </c>
      <c r="E789" s="455">
        <v>730000</v>
      </c>
      <c r="F789" s="304">
        <v>38720</v>
      </c>
      <c r="G789" s="114">
        <v>0</v>
      </c>
    </row>
    <row r="790" spans="1:7" ht="12.75" hidden="1" customHeight="1" x14ac:dyDescent="0.2">
      <c r="A790" s="519"/>
      <c r="B790" s="525" t="s">
        <v>881</v>
      </c>
      <c r="C790" s="450">
        <v>2180000</v>
      </c>
      <c r="D790" s="454">
        <f>2180000-393000</f>
        <v>1787000</v>
      </c>
      <c r="E790" s="455">
        <v>1008263.26</v>
      </c>
      <c r="F790" s="304">
        <v>0</v>
      </c>
      <c r="G790" s="114">
        <v>393000</v>
      </c>
    </row>
    <row r="791" spans="1:7" ht="12.75" hidden="1" customHeight="1" x14ac:dyDescent="0.2">
      <c r="A791" s="519"/>
      <c r="B791" s="449" t="s">
        <v>882</v>
      </c>
      <c r="C791" s="452"/>
      <c r="D791" s="454"/>
      <c r="E791" s="455"/>
      <c r="F791" s="304"/>
      <c r="G791" s="114">
        <v>2300000</v>
      </c>
    </row>
    <row r="792" spans="1:7" ht="12.75" hidden="1" customHeight="1" x14ac:dyDescent="0.2">
      <c r="A792" s="519"/>
      <c r="B792" s="524" t="s">
        <v>883</v>
      </c>
      <c r="C792" s="452"/>
      <c r="D792" s="454"/>
      <c r="E792" s="455"/>
      <c r="F792" s="304"/>
      <c r="G792" s="114">
        <v>100000</v>
      </c>
    </row>
    <row r="793" spans="1:7" ht="12.75" hidden="1" customHeight="1" x14ac:dyDescent="0.2">
      <c r="A793" s="519"/>
      <c r="B793" s="525" t="s">
        <v>884</v>
      </c>
      <c r="C793" s="497"/>
      <c r="D793" s="454"/>
      <c r="E793" s="455"/>
      <c r="F793" s="304"/>
      <c r="G793" s="114">
        <v>0</v>
      </c>
    </row>
    <row r="794" spans="1:7" ht="12.75" hidden="1" customHeight="1" x14ac:dyDescent="0.2">
      <c r="A794" s="519"/>
      <c r="B794" s="449" t="s">
        <v>885</v>
      </c>
      <c r="C794" s="497"/>
      <c r="D794" s="454"/>
      <c r="E794" s="455"/>
      <c r="F794" s="304"/>
      <c r="G794" s="113">
        <v>2000000</v>
      </c>
    </row>
    <row r="795" spans="1:7" ht="12.75" hidden="1" customHeight="1" x14ac:dyDescent="0.2">
      <c r="A795" s="519"/>
      <c r="B795" s="449" t="s">
        <v>886</v>
      </c>
      <c r="C795" s="497"/>
      <c r="D795" s="454"/>
      <c r="E795" s="455"/>
      <c r="F795" s="304"/>
      <c r="G795" s="114">
        <v>700000</v>
      </c>
    </row>
    <row r="796" spans="1:7" ht="12.75" hidden="1" customHeight="1" x14ac:dyDescent="0.2">
      <c r="A796" s="520"/>
      <c r="B796" s="526" t="s">
        <v>887</v>
      </c>
      <c r="C796" s="497">
        <v>30000</v>
      </c>
      <c r="D796" s="491">
        <v>30000</v>
      </c>
      <c r="E796" s="492">
        <v>30000</v>
      </c>
      <c r="F796" s="301">
        <v>0</v>
      </c>
      <c r="G796" s="114">
        <v>30000</v>
      </c>
    </row>
    <row r="797" spans="1:7" ht="12.75" hidden="1" customHeight="1" x14ac:dyDescent="0.2">
      <c r="A797" s="520"/>
      <c r="B797" s="526" t="s">
        <v>888</v>
      </c>
      <c r="C797" s="497">
        <v>50000</v>
      </c>
      <c r="D797" s="491">
        <v>50000</v>
      </c>
      <c r="E797" s="492">
        <v>50000</v>
      </c>
      <c r="F797" s="301">
        <v>1434</v>
      </c>
      <c r="G797" s="114">
        <v>50000</v>
      </c>
    </row>
    <row r="798" spans="1:7" ht="12.75" hidden="1" customHeight="1" x14ac:dyDescent="0.2">
      <c r="A798" s="520"/>
      <c r="B798" s="526" t="s">
        <v>889</v>
      </c>
      <c r="C798" s="497">
        <f>SUM(C799:C802)</f>
        <v>6270000</v>
      </c>
      <c r="D798" s="491">
        <f>SUM(D799:D802)</f>
        <v>6270000</v>
      </c>
      <c r="E798" s="491">
        <f>SUM(E799:E802)</f>
        <v>5100000</v>
      </c>
      <c r="F798" s="301">
        <f>SUM(F799:F802)</f>
        <v>2588757.64</v>
      </c>
      <c r="G798" s="114">
        <f>SUM(G799:G802)</f>
        <v>5100000</v>
      </c>
    </row>
    <row r="799" spans="1:7" ht="12.75" hidden="1" customHeight="1" x14ac:dyDescent="0.2">
      <c r="A799" s="443"/>
      <c r="B799" s="514" t="s">
        <v>890</v>
      </c>
      <c r="C799" s="497">
        <v>970000</v>
      </c>
      <c r="D799" s="454">
        <v>970000</v>
      </c>
      <c r="E799" s="455">
        <v>800000</v>
      </c>
      <c r="F799" s="498">
        <v>389232.65</v>
      </c>
      <c r="G799" s="452">
        <v>800000</v>
      </c>
    </row>
    <row r="800" spans="1:7" ht="12.75" hidden="1" customHeight="1" x14ac:dyDescent="0.2">
      <c r="A800" s="443"/>
      <c r="B800" s="514" t="s">
        <v>891</v>
      </c>
      <c r="C800" s="490">
        <v>2000000</v>
      </c>
      <c r="D800" s="454">
        <v>2000000</v>
      </c>
      <c r="E800" s="468">
        <v>1500000</v>
      </c>
      <c r="F800" s="498">
        <v>624560.66</v>
      </c>
      <c r="G800" s="452">
        <v>1500000</v>
      </c>
    </row>
    <row r="801" spans="1:7" ht="12.75" hidden="1" customHeight="1" x14ac:dyDescent="0.2">
      <c r="A801" s="443"/>
      <c r="B801" s="514" t="s">
        <v>892</v>
      </c>
      <c r="C801" s="497">
        <v>1200000</v>
      </c>
      <c r="D801" s="454">
        <v>1200000</v>
      </c>
      <c r="E801" s="468">
        <v>1100000</v>
      </c>
      <c r="F801" s="498">
        <v>522246.79</v>
      </c>
      <c r="G801" s="452">
        <v>1100000</v>
      </c>
    </row>
    <row r="802" spans="1:7" ht="12.75" hidden="1" customHeight="1" x14ac:dyDescent="0.2">
      <c r="A802" s="443"/>
      <c r="B802" s="514" t="s">
        <v>893</v>
      </c>
      <c r="C802" s="450">
        <v>2100000</v>
      </c>
      <c r="D802" s="454">
        <v>2100000</v>
      </c>
      <c r="E802" s="468">
        <v>1700000</v>
      </c>
      <c r="F802" s="304">
        <v>1052717.54</v>
      </c>
      <c r="G802" s="113">
        <v>1700000</v>
      </c>
    </row>
    <row r="803" spans="1:7" ht="12.75" hidden="1" customHeight="1" x14ac:dyDescent="0.2">
      <c r="A803" s="520"/>
      <c r="B803" s="526" t="s">
        <v>894</v>
      </c>
      <c r="C803" s="490">
        <f>SUM(C804:C815)</f>
        <v>4635000</v>
      </c>
      <c r="D803" s="491">
        <f>SUM(D804:D815)</f>
        <v>4093450</v>
      </c>
      <c r="E803" s="491">
        <f>SUM(E804:E815)</f>
        <v>3553450</v>
      </c>
      <c r="F803" s="301">
        <f>SUM(F804:F815)</f>
        <v>2181359.8199999998</v>
      </c>
      <c r="G803" s="113">
        <f>SUM(G804:G815)</f>
        <v>4250000</v>
      </c>
    </row>
    <row r="804" spans="1:7" ht="12.75" hidden="1" customHeight="1" x14ac:dyDescent="0.2">
      <c r="A804" s="443"/>
      <c r="B804" s="527" t="s">
        <v>895</v>
      </c>
      <c r="C804" s="459">
        <v>100000</v>
      </c>
      <c r="D804" s="454">
        <v>100000</v>
      </c>
      <c r="E804" s="528">
        <v>60000</v>
      </c>
      <c r="F804" s="304">
        <v>0</v>
      </c>
      <c r="G804" s="114">
        <v>0</v>
      </c>
    </row>
    <row r="805" spans="1:7" ht="12.75" hidden="1" customHeight="1" x14ac:dyDescent="0.2">
      <c r="A805" s="443"/>
      <c r="B805" s="508" t="s">
        <v>896</v>
      </c>
      <c r="C805" s="509">
        <v>700000</v>
      </c>
      <c r="D805" s="454">
        <f>700000-550000</f>
        <v>150000</v>
      </c>
      <c r="E805" s="529">
        <v>100000</v>
      </c>
      <c r="F805" s="304">
        <v>0</v>
      </c>
      <c r="G805" s="113">
        <v>200000</v>
      </c>
    </row>
    <row r="806" spans="1:7" ht="12.75" hidden="1" customHeight="1" x14ac:dyDescent="0.2">
      <c r="A806" s="443"/>
      <c r="B806" s="449" t="s">
        <v>897</v>
      </c>
      <c r="C806" s="452">
        <v>50000</v>
      </c>
      <c r="D806" s="454">
        <v>50000</v>
      </c>
      <c r="E806" s="455">
        <v>0</v>
      </c>
      <c r="F806" s="304">
        <v>0</v>
      </c>
      <c r="G806" s="113">
        <v>50000</v>
      </c>
    </row>
    <row r="807" spans="1:7" ht="12.75" hidden="1" customHeight="1" x14ac:dyDescent="0.2">
      <c r="A807" s="443"/>
      <c r="B807" s="514" t="s">
        <v>898</v>
      </c>
      <c r="C807" s="452">
        <v>1200000</v>
      </c>
      <c r="D807" s="454">
        <v>1200000</v>
      </c>
      <c r="E807" s="468">
        <v>1200000</v>
      </c>
      <c r="F807" s="304">
        <v>829202.6</v>
      </c>
      <c r="G807" s="113">
        <v>1300000</v>
      </c>
    </row>
    <row r="808" spans="1:7" ht="12.75" hidden="1" customHeight="1" x14ac:dyDescent="0.2">
      <c r="A808" s="443"/>
      <c r="B808" s="525" t="s">
        <v>899</v>
      </c>
      <c r="C808" s="452">
        <f>100000+200000</f>
        <v>300000</v>
      </c>
      <c r="D808" s="454">
        <f>100000+200000</f>
        <v>300000</v>
      </c>
      <c r="E808" s="455">
        <v>0</v>
      </c>
      <c r="F808" s="304">
        <v>45548.22</v>
      </c>
      <c r="G808" s="113">
        <v>0</v>
      </c>
    </row>
    <row r="809" spans="1:7" ht="12.75" hidden="1" customHeight="1" x14ac:dyDescent="0.2">
      <c r="A809" s="443"/>
      <c r="B809" s="472" t="s">
        <v>900</v>
      </c>
      <c r="C809" s="450">
        <v>100000</v>
      </c>
      <c r="D809" s="454">
        <v>100000</v>
      </c>
      <c r="E809" s="455">
        <v>0</v>
      </c>
      <c r="F809" s="304">
        <v>8712</v>
      </c>
      <c r="G809" s="113">
        <v>100000</v>
      </c>
    </row>
    <row r="810" spans="1:7" ht="12.75" hidden="1" customHeight="1" x14ac:dyDescent="0.2">
      <c r="A810" s="443"/>
      <c r="B810" s="525" t="s">
        <v>901</v>
      </c>
      <c r="C810" s="452">
        <v>100000</v>
      </c>
      <c r="D810" s="454">
        <v>100000</v>
      </c>
      <c r="E810" s="455">
        <v>100000</v>
      </c>
      <c r="F810" s="304">
        <v>0</v>
      </c>
      <c r="G810" s="113">
        <v>250000</v>
      </c>
    </row>
    <row r="811" spans="1:7" ht="12.75" hidden="1" customHeight="1" x14ac:dyDescent="0.2">
      <c r="A811" s="443"/>
      <c r="B811" s="449" t="s">
        <v>902</v>
      </c>
      <c r="C811" s="450">
        <v>600000</v>
      </c>
      <c r="D811" s="454">
        <f>600000-2000</f>
        <v>598000</v>
      </c>
      <c r="E811" s="455">
        <v>598000</v>
      </c>
      <c r="F811" s="304">
        <f>30660+256090+11017</f>
        <v>297767</v>
      </c>
      <c r="G811" s="113">
        <v>700000</v>
      </c>
    </row>
    <row r="812" spans="1:7" ht="12.75" hidden="1" customHeight="1" x14ac:dyDescent="0.2">
      <c r="A812" s="443"/>
      <c r="B812" s="525" t="s">
        <v>903</v>
      </c>
      <c r="C812" s="452">
        <v>1470000</v>
      </c>
      <c r="D812" s="454">
        <v>1480450</v>
      </c>
      <c r="E812" s="455">
        <v>1480450</v>
      </c>
      <c r="F812" s="304">
        <v>990450</v>
      </c>
      <c r="G812" s="113">
        <v>1550000</v>
      </c>
    </row>
    <row r="813" spans="1:7" ht="12.75" hidden="1" customHeight="1" x14ac:dyDescent="0.2">
      <c r="A813" s="481"/>
      <c r="B813" s="514" t="s">
        <v>904</v>
      </c>
      <c r="C813" s="450"/>
      <c r="D813" s="454"/>
      <c r="E813" s="455"/>
      <c r="F813" s="304"/>
      <c r="G813" s="113">
        <v>50000</v>
      </c>
    </row>
    <row r="814" spans="1:7" ht="12.75" hidden="1" customHeight="1" x14ac:dyDescent="0.2">
      <c r="A814" s="520"/>
      <c r="B814" s="449" t="s">
        <v>905</v>
      </c>
      <c r="C814" s="497">
        <v>15000</v>
      </c>
      <c r="D814" s="491">
        <v>15000</v>
      </c>
      <c r="E814" s="491">
        <v>15000</v>
      </c>
      <c r="F814" s="304">
        <v>9680</v>
      </c>
      <c r="G814" s="113">
        <v>15000</v>
      </c>
    </row>
    <row r="815" spans="1:7" ht="12.75" hidden="1" customHeight="1" x14ac:dyDescent="0.2">
      <c r="A815" s="520"/>
      <c r="B815" s="453" t="s">
        <v>906</v>
      </c>
      <c r="C815" s="497">
        <v>0</v>
      </c>
      <c r="D815" s="491">
        <v>0</v>
      </c>
      <c r="E815" s="500">
        <v>0</v>
      </c>
      <c r="F815" s="304">
        <v>0</v>
      </c>
      <c r="G815" s="113">
        <v>35000</v>
      </c>
    </row>
    <row r="816" spans="1:7" ht="12.75" hidden="1" customHeight="1" x14ac:dyDescent="0.2">
      <c r="A816" s="520"/>
      <c r="B816" s="449" t="s">
        <v>907</v>
      </c>
      <c r="C816" s="497">
        <f>SUM(C818,C829)</f>
        <v>10400000</v>
      </c>
      <c r="D816" s="491">
        <f>SUM(D818,D829)</f>
        <v>9600000</v>
      </c>
      <c r="E816" s="491">
        <f>SUM(E818,E829)</f>
        <v>9060000</v>
      </c>
      <c r="F816" s="304">
        <f>SUM(F818,F829)</f>
        <v>1527768.88</v>
      </c>
      <c r="G816" s="113">
        <f>G818+G829+G843</f>
        <v>6050000</v>
      </c>
    </row>
    <row r="817" spans="1:7" ht="12.75" hidden="1" customHeight="1" x14ac:dyDescent="0.2">
      <c r="A817" s="520"/>
      <c r="B817" s="525" t="s">
        <v>908</v>
      </c>
      <c r="C817" s="450">
        <v>0</v>
      </c>
      <c r="D817" s="454">
        <v>0</v>
      </c>
      <c r="E817" s="455">
        <v>0</v>
      </c>
      <c r="F817" s="304">
        <v>0</v>
      </c>
      <c r="G817" s="113">
        <v>486000</v>
      </c>
    </row>
    <row r="818" spans="1:7" ht="12.75" hidden="1" customHeight="1" x14ac:dyDescent="0.2">
      <c r="A818" s="443"/>
      <c r="B818" s="473" t="s">
        <v>909</v>
      </c>
      <c r="C818" s="530">
        <f>C819+C820</f>
        <v>6500000</v>
      </c>
      <c r="D818" s="531">
        <f>D819+D820</f>
        <v>6500000</v>
      </c>
      <c r="E818" s="531">
        <f>E819+E820</f>
        <v>6200000</v>
      </c>
      <c r="F818" s="512">
        <f>F819+F820</f>
        <v>1288855.94</v>
      </c>
      <c r="G818" s="530">
        <f>G819+G820</f>
        <v>2550000</v>
      </c>
    </row>
    <row r="819" spans="1:7" ht="12.75" hidden="1" customHeight="1" x14ac:dyDescent="0.2">
      <c r="A819" s="443"/>
      <c r="B819" s="449" t="s">
        <v>910</v>
      </c>
      <c r="C819" s="452">
        <v>1500000</v>
      </c>
      <c r="D819" s="454">
        <v>1500000</v>
      </c>
      <c r="E819" s="468">
        <v>1500000</v>
      </c>
      <c r="F819" s="304">
        <v>1288855.94</v>
      </c>
      <c r="G819" s="113">
        <v>1500000</v>
      </c>
    </row>
    <row r="820" spans="1:7" ht="12.75" hidden="1" customHeight="1" x14ac:dyDescent="0.2">
      <c r="A820" s="443"/>
      <c r="B820" s="449" t="s">
        <v>911</v>
      </c>
      <c r="C820" s="113">
        <f>SUM(C821:C828)</f>
        <v>5000000</v>
      </c>
      <c r="D820" s="495">
        <f>SUM(D821:D828)</f>
        <v>5000000</v>
      </c>
      <c r="E820" s="495">
        <f>SUM(E821:E828)</f>
        <v>4700000</v>
      </c>
      <c r="F820" s="304">
        <f>SUM(F821:F828)</f>
        <v>0</v>
      </c>
      <c r="G820" s="113">
        <f>SUM(G821:G828)</f>
        <v>1050000</v>
      </c>
    </row>
    <row r="821" spans="1:7" ht="12.75" hidden="1" customHeight="1" x14ac:dyDescent="0.2">
      <c r="A821" s="520"/>
      <c r="B821" s="525" t="s">
        <v>912</v>
      </c>
      <c r="C821" s="490">
        <f>1500000-500000</f>
        <v>1000000</v>
      </c>
      <c r="D821" s="491">
        <f>1500000-500000</f>
        <v>1000000</v>
      </c>
      <c r="E821" s="492">
        <v>1000000</v>
      </c>
      <c r="F821" s="512">
        <v>0</v>
      </c>
      <c r="G821" s="530">
        <v>0</v>
      </c>
    </row>
    <row r="822" spans="1:7" s="488" customFormat="1" ht="12.75" hidden="1" customHeight="1" x14ac:dyDescent="0.2">
      <c r="A822" s="520"/>
      <c r="B822" s="525" t="s">
        <v>913</v>
      </c>
      <c r="C822" s="490">
        <v>500000</v>
      </c>
      <c r="D822" s="491">
        <v>500000</v>
      </c>
      <c r="E822" s="492">
        <v>500000</v>
      </c>
      <c r="F822" s="512">
        <v>0</v>
      </c>
      <c r="G822" s="113">
        <v>0</v>
      </c>
    </row>
    <row r="823" spans="1:7" s="488" customFormat="1" ht="12.75" hidden="1" customHeight="1" x14ac:dyDescent="0.2">
      <c r="A823" s="520"/>
      <c r="B823" s="515" t="s">
        <v>914</v>
      </c>
      <c r="C823" s="497">
        <v>3500000</v>
      </c>
      <c r="D823" s="491">
        <v>3500000</v>
      </c>
      <c r="E823" s="492">
        <v>3200000</v>
      </c>
      <c r="F823" s="512">
        <v>0</v>
      </c>
      <c r="G823" s="113">
        <v>0</v>
      </c>
    </row>
    <row r="824" spans="1:7" s="488" customFormat="1" ht="12.75" hidden="1" customHeight="1" x14ac:dyDescent="0.2">
      <c r="A824" s="520"/>
      <c r="B824" s="532" t="s">
        <v>915</v>
      </c>
      <c r="C824" s="497"/>
      <c r="D824" s="491"/>
      <c r="E824" s="500"/>
      <c r="F824" s="501"/>
      <c r="G824" s="374">
        <v>600000</v>
      </c>
    </row>
    <row r="825" spans="1:7" s="488" customFormat="1" ht="12.75" hidden="1" customHeight="1" x14ac:dyDescent="0.2">
      <c r="A825" s="520"/>
      <c r="B825" s="532" t="s">
        <v>916</v>
      </c>
      <c r="C825" s="497"/>
      <c r="D825" s="491"/>
      <c r="E825" s="500"/>
      <c r="F825" s="501"/>
      <c r="G825" s="374">
        <v>0</v>
      </c>
    </row>
    <row r="826" spans="1:7" s="488" customFormat="1" ht="12.75" hidden="1" customHeight="1" x14ac:dyDescent="0.2">
      <c r="A826" s="520"/>
      <c r="B826" s="532" t="s">
        <v>917</v>
      </c>
      <c r="C826" s="497"/>
      <c r="D826" s="491"/>
      <c r="E826" s="500"/>
      <c r="F826" s="501"/>
      <c r="G826" s="374">
        <v>0</v>
      </c>
    </row>
    <row r="827" spans="1:7" s="488" customFormat="1" ht="12.75" hidden="1" customHeight="1" x14ac:dyDescent="0.2">
      <c r="A827" s="520"/>
      <c r="B827" s="532" t="s">
        <v>918</v>
      </c>
      <c r="C827" s="497"/>
      <c r="D827" s="491"/>
      <c r="E827" s="500"/>
      <c r="F827" s="501"/>
      <c r="G827" s="374">
        <v>200000</v>
      </c>
    </row>
    <row r="828" spans="1:7" s="488" customFormat="1" ht="12.75" hidden="1" customHeight="1" x14ac:dyDescent="0.2">
      <c r="A828" s="520"/>
      <c r="B828" s="532" t="s">
        <v>919</v>
      </c>
      <c r="C828" s="497"/>
      <c r="D828" s="491"/>
      <c r="E828" s="500"/>
      <c r="F828" s="501"/>
      <c r="G828" s="374">
        <v>250000</v>
      </c>
    </row>
    <row r="829" spans="1:7" s="488" customFormat="1" ht="12.75" hidden="1" customHeight="1" x14ac:dyDescent="0.2">
      <c r="A829" s="443"/>
      <c r="B829" s="449" t="s">
        <v>920</v>
      </c>
      <c r="C829" s="497">
        <f>SUM(C830:C831)</f>
        <v>3900000</v>
      </c>
      <c r="D829" s="491">
        <f>SUM(D830:D831)</f>
        <v>3100000</v>
      </c>
      <c r="E829" s="491">
        <f>SUM(E830:E831)</f>
        <v>2860000</v>
      </c>
      <c r="F829" s="496">
        <f>SUM(F830:F831)</f>
        <v>238912.94</v>
      </c>
      <c r="G829" s="497">
        <f>SUM(G830:G831)</f>
        <v>2700000</v>
      </c>
    </row>
    <row r="830" spans="1:7" s="488" customFormat="1" ht="12.75" hidden="1" customHeight="1" x14ac:dyDescent="0.2">
      <c r="A830" s="443"/>
      <c r="B830" s="449" t="s">
        <v>921</v>
      </c>
      <c r="C830" s="450">
        <v>500000</v>
      </c>
      <c r="D830" s="454">
        <v>500000</v>
      </c>
      <c r="E830" s="455">
        <v>500000</v>
      </c>
      <c r="F830" s="498">
        <v>191147.39</v>
      </c>
      <c r="G830" s="452">
        <v>600000</v>
      </c>
    </row>
    <row r="831" spans="1:7" s="488" customFormat="1" ht="12.75" hidden="1" customHeight="1" x14ac:dyDescent="0.2">
      <c r="A831" s="443"/>
      <c r="B831" s="449" t="s">
        <v>922</v>
      </c>
      <c r="C831" s="452">
        <f>SUM(C832:C842)</f>
        <v>3400000</v>
      </c>
      <c r="D831" s="454">
        <f>SUM(D832:D842)</f>
        <v>2600000</v>
      </c>
      <c r="E831" s="454">
        <f>SUM(E832:E842)</f>
        <v>2360000</v>
      </c>
      <c r="F831" s="498">
        <f>SUM(F832:F842)</f>
        <v>47765.55</v>
      </c>
      <c r="G831" s="452">
        <f>SUM(G832:G842)</f>
        <v>2100000</v>
      </c>
    </row>
    <row r="832" spans="1:7" s="488" customFormat="1" ht="12.75" hidden="1" customHeight="1" x14ac:dyDescent="0.2">
      <c r="A832" s="520"/>
      <c r="B832" s="453" t="s">
        <v>923</v>
      </c>
      <c r="C832" s="450">
        <v>100000</v>
      </c>
      <c r="D832" s="454">
        <v>100000</v>
      </c>
      <c r="E832" s="455">
        <v>100000</v>
      </c>
      <c r="F832" s="498">
        <v>0</v>
      </c>
      <c r="G832" s="452">
        <v>0</v>
      </c>
    </row>
    <row r="833" spans="1:7" ht="12.75" hidden="1" customHeight="1" x14ac:dyDescent="0.2">
      <c r="A833" s="520"/>
      <c r="B833" s="453" t="s">
        <v>924</v>
      </c>
      <c r="C833" s="450">
        <v>300000</v>
      </c>
      <c r="D833" s="454">
        <f>300000-100000</f>
        <v>200000</v>
      </c>
      <c r="E833" s="455">
        <v>200000</v>
      </c>
      <c r="F833" s="498">
        <v>23015</v>
      </c>
      <c r="G833" s="452">
        <v>0</v>
      </c>
    </row>
    <row r="834" spans="1:7" ht="12.75" hidden="1" customHeight="1" x14ac:dyDescent="0.2">
      <c r="A834" s="520"/>
      <c r="B834" s="453" t="s">
        <v>925</v>
      </c>
      <c r="C834" s="452">
        <v>100000</v>
      </c>
      <c r="D834" s="454">
        <v>100000</v>
      </c>
      <c r="E834" s="455">
        <v>60000</v>
      </c>
      <c r="F834" s="498">
        <v>0</v>
      </c>
      <c r="G834" s="450">
        <v>500000</v>
      </c>
    </row>
    <row r="835" spans="1:7" ht="12.75" hidden="1" customHeight="1" x14ac:dyDescent="0.2">
      <c r="A835" s="520"/>
      <c r="B835" s="516" t="s">
        <v>926</v>
      </c>
      <c r="C835" s="452">
        <f>350000-300000</f>
        <v>50000</v>
      </c>
      <c r="D835" s="454">
        <f>350000-300000</f>
        <v>50000</v>
      </c>
      <c r="E835" s="455">
        <v>50000</v>
      </c>
      <c r="F835" s="498">
        <v>0</v>
      </c>
      <c r="G835" s="452">
        <v>100000</v>
      </c>
    </row>
    <row r="836" spans="1:7" s="488" customFormat="1" ht="12.75" hidden="1" customHeight="1" x14ac:dyDescent="0.2">
      <c r="A836" s="520"/>
      <c r="B836" s="516" t="s">
        <v>927</v>
      </c>
      <c r="C836" s="452">
        <v>200000</v>
      </c>
      <c r="D836" s="454">
        <f>200000-200000</f>
        <v>0</v>
      </c>
      <c r="E836" s="468">
        <v>0</v>
      </c>
      <c r="F836" s="498">
        <v>0</v>
      </c>
      <c r="G836" s="452">
        <v>0</v>
      </c>
    </row>
    <row r="837" spans="1:7" s="488" customFormat="1" ht="12.75" hidden="1" customHeight="1" x14ac:dyDescent="0.2">
      <c r="A837" s="520"/>
      <c r="B837" s="453" t="s">
        <v>928</v>
      </c>
      <c r="C837" s="452"/>
      <c r="D837" s="454"/>
      <c r="E837" s="468"/>
      <c r="F837" s="498"/>
      <c r="G837" s="452">
        <v>200000</v>
      </c>
    </row>
    <row r="838" spans="1:7" s="488" customFormat="1" ht="12.75" hidden="1" customHeight="1" x14ac:dyDescent="0.2">
      <c r="A838" s="520"/>
      <c r="B838" s="516" t="s">
        <v>929</v>
      </c>
      <c r="C838" s="452">
        <v>1300000</v>
      </c>
      <c r="D838" s="454">
        <v>1300000</v>
      </c>
      <c r="E838" s="468">
        <v>1900000</v>
      </c>
      <c r="F838" s="304">
        <v>0</v>
      </c>
      <c r="G838" s="113">
        <v>0</v>
      </c>
    </row>
    <row r="839" spans="1:7" s="488" customFormat="1" ht="12.75" hidden="1" customHeight="1" x14ac:dyDescent="0.2">
      <c r="A839" s="520"/>
      <c r="B839" s="516" t="s">
        <v>930</v>
      </c>
      <c r="C839" s="452"/>
      <c r="D839" s="454"/>
      <c r="E839" s="468"/>
      <c r="F839" s="304"/>
      <c r="G839" s="114">
        <v>200000</v>
      </c>
    </row>
    <row r="840" spans="1:7" s="488" customFormat="1" ht="12.75" hidden="1" customHeight="1" x14ac:dyDescent="0.2">
      <c r="A840" s="520"/>
      <c r="B840" s="516" t="s">
        <v>931</v>
      </c>
      <c r="C840" s="450">
        <v>300000</v>
      </c>
      <c r="D840" s="454">
        <v>300000</v>
      </c>
      <c r="E840" s="468">
        <v>0</v>
      </c>
      <c r="F840" s="304">
        <v>24750.55</v>
      </c>
      <c r="G840" s="113">
        <v>300000</v>
      </c>
    </row>
    <row r="841" spans="1:7" s="488" customFormat="1" ht="12.75" hidden="1" customHeight="1" x14ac:dyDescent="0.2">
      <c r="A841" s="520"/>
      <c r="B841" s="515" t="s">
        <v>932</v>
      </c>
      <c r="C841" s="450">
        <v>50000</v>
      </c>
      <c r="D841" s="454">
        <v>50000</v>
      </c>
      <c r="E841" s="455">
        <v>50000</v>
      </c>
      <c r="F841" s="304">
        <v>0</v>
      </c>
      <c r="G841" s="114">
        <v>800000</v>
      </c>
    </row>
    <row r="842" spans="1:7" s="488" customFormat="1" ht="12.75" hidden="1" customHeight="1" x14ac:dyDescent="0.2">
      <c r="A842" s="520"/>
      <c r="B842" s="525" t="s">
        <v>933</v>
      </c>
      <c r="C842" s="450">
        <v>1000000</v>
      </c>
      <c r="D842" s="454">
        <f>1000000-500000</f>
        <v>500000</v>
      </c>
      <c r="E842" s="468">
        <v>0</v>
      </c>
      <c r="F842" s="533">
        <v>0</v>
      </c>
      <c r="G842" s="149">
        <v>0</v>
      </c>
    </row>
    <row r="843" spans="1:7" s="488" customFormat="1" ht="12.75" hidden="1" customHeight="1" x14ac:dyDescent="0.2">
      <c r="A843" s="443"/>
      <c r="B843" s="534" t="s">
        <v>934</v>
      </c>
      <c r="C843" s="450">
        <f>SUM(C844:C848)</f>
        <v>1750000</v>
      </c>
      <c r="D843" s="454">
        <f>SUM(D844:D848)</f>
        <v>1350000</v>
      </c>
      <c r="E843" s="454">
        <f>SUM(E844:E848)</f>
        <v>510000</v>
      </c>
      <c r="F843" s="498">
        <f>SUM(F844:F848)</f>
        <v>80598.100000000006</v>
      </c>
      <c r="G843" s="450">
        <f>SUM(G844:G848)</f>
        <v>800000</v>
      </c>
    </row>
    <row r="844" spans="1:7" s="488" customFormat="1" ht="12.75" hidden="1" customHeight="1" x14ac:dyDescent="0.2">
      <c r="A844" s="443"/>
      <c r="B844" s="516" t="s">
        <v>935</v>
      </c>
      <c r="C844" s="450">
        <v>500000</v>
      </c>
      <c r="D844" s="454">
        <f>500000-50000</f>
        <v>450000</v>
      </c>
      <c r="E844" s="468">
        <v>200000</v>
      </c>
      <c r="F844" s="498">
        <v>0</v>
      </c>
      <c r="G844" s="450">
        <v>100000</v>
      </c>
    </row>
    <row r="845" spans="1:7" s="488" customFormat="1" ht="12.75" hidden="1" customHeight="1" x14ac:dyDescent="0.2">
      <c r="A845" s="443"/>
      <c r="B845" s="516" t="s">
        <v>936</v>
      </c>
      <c r="C845" s="452">
        <v>500000</v>
      </c>
      <c r="D845" s="454">
        <f>500000-50000-100000</f>
        <v>350000</v>
      </c>
      <c r="E845" s="455">
        <v>100000</v>
      </c>
      <c r="F845" s="498">
        <v>0</v>
      </c>
      <c r="G845" s="450">
        <v>300000</v>
      </c>
    </row>
    <row r="846" spans="1:7" s="488" customFormat="1" ht="12.75" hidden="1" customHeight="1" x14ac:dyDescent="0.2">
      <c r="A846" s="443"/>
      <c r="B846" s="516" t="s">
        <v>937</v>
      </c>
      <c r="C846" s="452">
        <v>50000</v>
      </c>
      <c r="D846" s="454">
        <v>50000</v>
      </c>
      <c r="E846" s="455">
        <v>50000</v>
      </c>
      <c r="F846" s="498">
        <v>0</v>
      </c>
      <c r="G846" s="450">
        <v>100000</v>
      </c>
    </row>
    <row r="847" spans="1:7" ht="12.75" hidden="1" customHeight="1" x14ac:dyDescent="0.2">
      <c r="A847" s="443"/>
      <c r="B847" s="516" t="s">
        <v>938</v>
      </c>
      <c r="C847" s="450">
        <v>200000</v>
      </c>
      <c r="D847" s="535">
        <f>200000-50000</f>
        <v>150000</v>
      </c>
      <c r="E847" s="455">
        <v>60000</v>
      </c>
      <c r="F847" s="536">
        <v>0</v>
      </c>
      <c r="G847" s="452">
        <v>0</v>
      </c>
    </row>
    <row r="848" spans="1:7" ht="12.75" hidden="1" customHeight="1" x14ac:dyDescent="0.2">
      <c r="A848" s="519"/>
      <c r="B848" s="516" t="s">
        <v>939</v>
      </c>
      <c r="C848" s="450">
        <f>1000000-500000</f>
        <v>500000</v>
      </c>
      <c r="D848" s="454">
        <f>1000000-500000-50000-100000</f>
        <v>350000</v>
      </c>
      <c r="E848" s="455">
        <v>100000</v>
      </c>
      <c r="F848" s="498">
        <v>80598.100000000006</v>
      </c>
      <c r="G848" s="452">
        <v>300000</v>
      </c>
    </row>
    <row r="849" spans="1:110" ht="12.75" hidden="1" customHeight="1" x14ac:dyDescent="0.2">
      <c r="A849" s="519">
        <v>3634</v>
      </c>
      <c r="B849" s="537" t="s">
        <v>940</v>
      </c>
      <c r="C849" s="445">
        <f>SUM(C850:C854)</f>
        <v>30034000</v>
      </c>
      <c r="D849" s="469">
        <f>SUM(D850:D854)</f>
        <v>22594783</v>
      </c>
      <c r="E849" s="469">
        <f>SUM(E850:E854)</f>
        <v>21335963.350000001</v>
      </c>
      <c r="F849" s="470">
        <f>SUM(F850:F854)</f>
        <v>9802375.8000000007</v>
      </c>
      <c r="G849" s="445">
        <f>SUM(G850:G854)</f>
        <v>28550000</v>
      </c>
    </row>
    <row r="850" spans="1:110" ht="12.75" hidden="1" customHeight="1" x14ac:dyDescent="0.2">
      <c r="A850" s="443"/>
      <c r="B850" s="525" t="s">
        <v>941</v>
      </c>
      <c r="C850" s="452">
        <v>500000</v>
      </c>
      <c r="D850" s="454">
        <v>500000</v>
      </c>
      <c r="E850" s="468">
        <v>200000</v>
      </c>
      <c r="F850" s="304">
        <v>97574.11</v>
      </c>
      <c r="G850" s="113">
        <v>200000</v>
      </c>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row>
    <row r="851" spans="1:110" ht="12.75" hidden="1" customHeight="1" x14ac:dyDescent="0.2">
      <c r="A851" s="443"/>
      <c r="B851" s="525" t="s">
        <v>942</v>
      </c>
      <c r="C851" s="450">
        <v>500000</v>
      </c>
      <c r="D851" s="454">
        <v>500000</v>
      </c>
      <c r="E851" s="528">
        <v>380000</v>
      </c>
      <c r="F851" s="498">
        <v>0</v>
      </c>
      <c r="G851" s="459">
        <v>500000</v>
      </c>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row>
    <row r="852" spans="1:110" s="538" customFormat="1" ht="12.75" hidden="1" customHeight="1" x14ac:dyDescent="0.2">
      <c r="A852" s="443"/>
      <c r="B852" s="449" t="s">
        <v>943</v>
      </c>
      <c r="C852" s="450">
        <v>500000</v>
      </c>
      <c r="D852" s="454">
        <v>500000</v>
      </c>
      <c r="E852" s="529">
        <v>200000</v>
      </c>
      <c r="F852" s="498">
        <v>131442.38</v>
      </c>
      <c r="G852" s="509">
        <v>600000</v>
      </c>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row>
    <row r="853" spans="1:110" ht="12.75" hidden="1" customHeight="1" x14ac:dyDescent="0.2">
      <c r="A853" s="443"/>
      <c r="B853" s="525" t="s">
        <v>944</v>
      </c>
      <c r="C853" s="452">
        <v>0</v>
      </c>
      <c r="D853" s="454">
        <v>0</v>
      </c>
      <c r="E853" s="468">
        <v>0</v>
      </c>
      <c r="F853" s="498"/>
      <c r="G853" s="452">
        <v>1000000</v>
      </c>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row>
    <row r="854" spans="1:110" ht="12.75" hidden="1" customHeight="1" x14ac:dyDescent="0.2">
      <c r="A854" s="471"/>
      <c r="B854" s="449" t="s">
        <v>945</v>
      </c>
      <c r="C854" s="452">
        <f>SUM(C855:C862)</f>
        <v>28534000</v>
      </c>
      <c r="D854" s="454">
        <f>SUM(D855:D862)</f>
        <v>21094783</v>
      </c>
      <c r="E854" s="454">
        <f>SUM(E855:E862)</f>
        <v>20555963.350000001</v>
      </c>
      <c r="F854" s="498">
        <f>SUM(F855:F862)</f>
        <v>9573359.3100000005</v>
      </c>
      <c r="G854" s="452">
        <f>SUM(G855:G871)</f>
        <v>26250000</v>
      </c>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row>
    <row r="855" spans="1:110" ht="12.75" hidden="1" customHeight="1" x14ac:dyDescent="0.2">
      <c r="A855" s="471"/>
      <c r="B855" s="525" t="s">
        <v>946</v>
      </c>
      <c r="C855" s="452">
        <v>700000</v>
      </c>
      <c r="D855" s="454">
        <v>700000</v>
      </c>
      <c r="E855" s="468">
        <v>600000</v>
      </c>
      <c r="F855" s="304">
        <v>0</v>
      </c>
      <c r="G855" s="113">
        <v>0</v>
      </c>
    </row>
    <row r="856" spans="1:110" ht="12.75" hidden="1" customHeight="1" x14ac:dyDescent="0.2">
      <c r="A856" s="471"/>
      <c r="B856" s="525" t="s">
        <v>947</v>
      </c>
      <c r="C856" s="452"/>
      <c r="D856" s="454"/>
      <c r="E856" s="468"/>
      <c r="F856" s="304">
        <v>0</v>
      </c>
      <c r="G856" s="113">
        <v>900000</v>
      </c>
    </row>
    <row r="857" spans="1:110" ht="12.75" hidden="1" customHeight="1" x14ac:dyDescent="0.2">
      <c r="A857" s="471"/>
      <c r="B857" s="525" t="s">
        <v>948</v>
      </c>
      <c r="C857" s="452">
        <v>160000</v>
      </c>
      <c r="D857" s="454">
        <v>160000</v>
      </c>
      <c r="E857" s="468">
        <v>50000</v>
      </c>
      <c r="F857" s="304">
        <v>0</v>
      </c>
      <c r="G857" s="113">
        <v>0</v>
      </c>
    </row>
    <row r="858" spans="1:110" ht="12.75" hidden="1" customHeight="1" x14ac:dyDescent="0.2">
      <c r="A858" s="471"/>
      <c r="B858" s="525" t="s">
        <v>949</v>
      </c>
      <c r="C858" s="452">
        <v>14645000</v>
      </c>
      <c r="D858" s="454">
        <f>14645000-3000000-1104217-748000</f>
        <v>9792783</v>
      </c>
      <c r="E858" s="468">
        <v>9700000</v>
      </c>
      <c r="F858" s="304">
        <v>8000</v>
      </c>
      <c r="G858" s="114">
        <v>0</v>
      </c>
    </row>
    <row r="859" spans="1:110" ht="12.75" hidden="1" customHeight="1" x14ac:dyDescent="0.2">
      <c r="A859" s="471"/>
      <c r="B859" s="525" t="s">
        <v>950</v>
      </c>
      <c r="C859" s="452">
        <v>0</v>
      </c>
      <c r="D859" s="454">
        <v>748000</v>
      </c>
      <c r="E859" s="468">
        <v>679297.55</v>
      </c>
      <c r="F859" s="304">
        <v>747662.55</v>
      </c>
      <c r="G859" s="113">
        <v>0</v>
      </c>
    </row>
    <row r="860" spans="1:110" s="2" customFormat="1" ht="12.75" hidden="1" customHeight="1" x14ac:dyDescent="0.2">
      <c r="A860" s="471"/>
      <c r="B860" s="525" t="s">
        <v>951</v>
      </c>
      <c r="C860" s="450">
        <v>8067000</v>
      </c>
      <c r="D860" s="454">
        <f>8067000-1700000-727000</f>
        <v>5640000</v>
      </c>
      <c r="E860" s="468">
        <v>5600000</v>
      </c>
      <c r="F860" s="304">
        <v>4973916.7300000004</v>
      </c>
      <c r="G860" s="113">
        <v>0</v>
      </c>
    </row>
    <row r="861" spans="1:110" s="2" customFormat="1" ht="12.75" hidden="1" customHeight="1" x14ac:dyDescent="0.2">
      <c r="A861" s="471"/>
      <c r="B861" s="525" t="s">
        <v>952</v>
      </c>
      <c r="C861" s="450">
        <v>3372000</v>
      </c>
      <c r="D861" s="454">
        <f>3372000-572000</f>
        <v>2800000</v>
      </c>
      <c r="E861" s="468">
        <v>2672665.7999999998</v>
      </c>
      <c r="F861" s="304">
        <v>2589780.7999999998</v>
      </c>
      <c r="G861" s="114">
        <v>0</v>
      </c>
    </row>
    <row r="862" spans="1:110" s="2" customFormat="1" ht="12.75" hidden="1" customHeight="1" x14ac:dyDescent="0.2">
      <c r="A862" s="471"/>
      <c r="B862" s="525" t="s">
        <v>953</v>
      </c>
      <c r="C862" s="450">
        <v>1590000</v>
      </c>
      <c r="D862" s="454">
        <f>1590000-336000</f>
        <v>1254000</v>
      </c>
      <c r="E862" s="468">
        <v>1254000</v>
      </c>
      <c r="F862" s="304">
        <v>1253999.23</v>
      </c>
      <c r="G862" s="113">
        <v>0</v>
      </c>
    </row>
    <row r="863" spans="1:110" s="2" customFormat="1" ht="12.75" hidden="1" customHeight="1" x14ac:dyDescent="0.2">
      <c r="A863" s="471"/>
      <c r="B863" s="539" t="s">
        <v>954</v>
      </c>
      <c r="C863" s="452"/>
      <c r="D863" s="454"/>
      <c r="E863" s="468"/>
      <c r="F863" s="510"/>
      <c r="G863" s="450">
        <v>200000</v>
      </c>
    </row>
    <row r="864" spans="1:110" s="2" customFormat="1" ht="12.75" hidden="1" customHeight="1" x14ac:dyDescent="0.2">
      <c r="A864" s="471"/>
      <c r="B864" s="540" t="s">
        <v>955</v>
      </c>
      <c r="C864" s="450"/>
      <c r="D864" s="454"/>
      <c r="E864" s="468"/>
      <c r="F864" s="510"/>
      <c r="G864" s="450">
        <v>4750000</v>
      </c>
    </row>
    <row r="865" spans="1:7" s="2" customFormat="1" ht="12.75" hidden="1" customHeight="1" x14ac:dyDescent="0.2">
      <c r="A865" s="471"/>
      <c r="B865" s="540" t="s">
        <v>956</v>
      </c>
      <c r="C865" s="452"/>
      <c r="D865" s="454"/>
      <c r="E865" s="455"/>
      <c r="F865" s="510"/>
      <c r="G865" s="452">
        <v>3300000</v>
      </c>
    </row>
    <row r="866" spans="1:7" s="2" customFormat="1" ht="12.75" hidden="1" customHeight="1" x14ac:dyDescent="0.2">
      <c r="A866" s="471"/>
      <c r="B866" s="540" t="s">
        <v>957</v>
      </c>
      <c r="C866" s="450"/>
      <c r="D866" s="454"/>
      <c r="E866" s="468"/>
      <c r="F866" s="510"/>
      <c r="G866" s="450">
        <v>3750000</v>
      </c>
    </row>
    <row r="867" spans="1:7" s="2" customFormat="1" ht="12.75" hidden="1" customHeight="1" x14ac:dyDescent="0.2">
      <c r="A867" s="471"/>
      <c r="B867" s="540" t="s">
        <v>958</v>
      </c>
      <c r="C867" s="452"/>
      <c r="D867" s="454"/>
      <c r="E867" s="455"/>
      <c r="F867" s="510"/>
      <c r="G867" s="450">
        <v>2050000</v>
      </c>
    </row>
    <row r="868" spans="1:7" s="2" customFormat="1" ht="12.75" hidden="1" customHeight="1" x14ac:dyDescent="0.2">
      <c r="A868" s="471"/>
      <c r="B868" s="540" t="s">
        <v>959</v>
      </c>
      <c r="C868" s="452"/>
      <c r="D868" s="454"/>
      <c r="E868" s="455"/>
      <c r="F868" s="510"/>
      <c r="G868" s="452">
        <v>2000000</v>
      </c>
    </row>
    <row r="869" spans="1:7" s="2" customFormat="1" ht="12.75" hidden="1" customHeight="1" x14ac:dyDescent="0.2">
      <c r="A869" s="471"/>
      <c r="B869" s="540" t="s">
        <v>960</v>
      </c>
      <c r="C869" s="452"/>
      <c r="D869" s="454"/>
      <c r="E869" s="468"/>
      <c r="F869" s="510"/>
      <c r="G869" s="452">
        <v>6000000</v>
      </c>
    </row>
    <row r="870" spans="1:7" s="2" customFormat="1" ht="12.75" hidden="1" customHeight="1" x14ac:dyDescent="0.2">
      <c r="A870" s="471"/>
      <c r="B870" s="540" t="s">
        <v>961</v>
      </c>
      <c r="C870" s="452"/>
      <c r="D870" s="454"/>
      <c r="E870" s="468"/>
      <c r="F870" s="510"/>
      <c r="G870" s="452">
        <v>2000000</v>
      </c>
    </row>
    <row r="871" spans="1:7" s="2" customFormat="1" ht="12.75" hidden="1" customHeight="1" x14ac:dyDescent="0.2">
      <c r="A871" s="471"/>
      <c r="B871" s="540" t="s">
        <v>962</v>
      </c>
      <c r="C871" s="450"/>
      <c r="D871" s="454"/>
      <c r="E871" s="468"/>
      <c r="F871" s="510"/>
      <c r="G871" s="450">
        <v>1300000</v>
      </c>
    </row>
    <row r="872" spans="1:7" s="2" customFormat="1" ht="12.75" hidden="1" customHeight="1" x14ac:dyDescent="0.2">
      <c r="A872" s="443">
        <v>3699</v>
      </c>
      <c r="B872" s="537" t="s">
        <v>963</v>
      </c>
      <c r="C872" s="447">
        <f>C873</f>
        <v>10000</v>
      </c>
      <c r="D872" s="469">
        <f>D873</f>
        <v>10000</v>
      </c>
      <c r="E872" s="469">
        <f>E873</f>
        <v>10000</v>
      </c>
      <c r="F872" s="301">
        <v>0</v>
      </c>
      <c r="G872" s="109">
        <v>0</v>
      </c>
    </row>
    <row r="873" spans="1:7" s="2" customFormat="1" ht="12.75" hidden="1" customHeight="1" x14ac:dyDescent="0.2">
      <c r="A873" s="471"/>
      <c r="B873" s="541" t="s">
        <v>964</v>
      </c>
      <c r="C873" s="450">
        <v>10000</v>
      </c>
      <c r="D873" s="454">
        <v>10000</v>
      </c>
      <c r="E873" s="468">
        <v>10000</v>
      </c>
      <c r="F873" s="304">
        <v>0</v>
      </c>
      <c r="G873" s="114">
        <v>0</v>
      </c>
    </row>
    <row r="874" spans="1:7" s="2" customFormat="1" ht="12.75" hidden="1" customHeight="1" x14ac:dyDescent="0.2">
      <c r="A874" s="443">
        <v>4351</v>
      </c>
      <c r="B874" s="537" t="s">
        <v>965</v>
      </c>
      <c r="C874" s="447">
        <v>10000</v>
      </c>
      <c r="D874" s="469">
        <v>10000</v>
      </c>
      <c r="E874" s="469">
        <v>10000</v>
      </c>
      <c r="F874" s="301">
        <v>3512.87</v>
      </c>
      <c r="G874" s="105">
        <v>10000</v>
      </c>
    </row>
    <row r="875" spans="1:7" s="2" customFormat="1" ht="12.75" hidden="1" customHeight="1" x14ac:dyDescent="0.2">
      <c r="A875" s="443">
        <v>4374</v>
      </c>
      <c r="B875" s="537" t="s">
        <v>753</v>
      </c>
      <c r="C875" s="445">
        <f>C876</f>
        <v>1015000</v>
      </c>
      <c r="D875" s="469">
        <f>D876</f>
        <v>915000</v>
      </c>
      <c r="E875" s="469">
        <f>E876</f>
        <v>915000</v>
      </c>
      <c r="F875" s="470">
        <f>F876</f>
        <v>630565.32999999996</v>
      </c>
      <c r="G875" s="445">
        <f>G876</f>
        <v>850000</v>
      </c>
    </row>
    <row r="876" spans="1:7" ht="12.75" hidden="1" customHeight="1" x14ac:dyDescent="0.2">
      <c r="A876" s="471"/>
      <c r="B876" s="467" t="s">
        <v>966</v>
      </c>
      <c r="C876" s="452">
        <f>SUM(C877,C878)</f>
        <v>1015000</v>
      </c>
      <c r="D876" s="454">
        <f>SUM(D877,D878)</f>
        <v>915000</v>
      </c>
      <c r="E876" s="454">
        <f>SUM(E877,E878)</f>
        <v>915000</v>
      </c>
      <c r="F876" s="498">
        <f>SUM(F877,F878)</f>
        <v>630565.32999999996</v>
      </c>
      <c r="G876" s="452">
        <f>SUM(G877,G878)</f>
        <v>850000</v>
      </c>
    </row>
    <row r="877" spans="1:7" ht="12.75" hidden="1" customHeight="1" x14ac:dyDescent="0.2">
      <c r="A877" s="542"/>
      <c r="B877" s="499" t="s">
        <v>967</v>
      </c>
      <c r="C877" s="452">
        <v>690000</v>
      </c>
      <c r="D877" s="454">
        <v>690000</v>
      </c>
      <c r="E877" s="468">
        <v>690000</v>
      </c>
      <c r="F877" s="304">
        <v>630565.32999999996</v>
      </c>
      <c r="G877" s="113">
        <v>600000</v>
      </c>
    </row>
    <row r="878" spans="1:7" ht="12.75" hidden="1" customHeight="1" x14ac:dyDescent="0.2">
      <c r="A878" s="542"/>
      <c r="B878" s="543" t="s">
        <v>968</v>
      </c>
      <c r="C878" s="452">
        <v>325000</v>
      </c>
      <c r="D878" s="454">
        <f>325000-100000</f>
        <v>225000</v>
      </c>
      <c r="E878" s="468">
        <v>225000</v>
      </c>
      <c r="F878" s="304">
        <v>0</v>
      </c>
      <c r="G878" s="113">
        <v>250000</v>
      </c>
    </row>
    <row r="879" spans="1:7" ht="12.75" hidden="1" customHeight="1" x14ac:dyDescent="0.2">
      <c r="A879" s="443">
        <v>6171</v>
      </c>
      <c r="B879" s="537" t="s">
        <v>969</v>
      </c>
      <c r="C879" s="447">
        <f>SUM(C880:C883)</f>
        <v>910000</v>
      </c>
      <c r="D879" s="469">
        <f>SUM(D880:D883)</f>
        <v>912000</v>
      </c>
      <c r="E879" s="469">
        <f>SUM(E880:E883)</f>
        <v>592000</v>
      </c>
      <c r="F879" s="470">
        <f>SUM(F880:F883)</f>
        <v>217174.47</v>
      </c>
      <c r="G879" s="447">
        <f>SUM(G880:G884)</f>
        <v>2550000</v>
      </c>
    </row>
    <row r="880" spans="1:7" ht="12.75" hidden="1" customHeight="1" x14ac:dyDescent="0.2">
      <c r="A880" s="471"/>
      <c r="B880" s="472" t="s">
        <v>970</v>
      </c>
      <c r="C880" s="452">
        <f>20000+220000</f>
        <v>240000</v>
      </c>
      <c r="D880" s="478">
        <v>140000</v>
      </c>
      <c r="E880" s="480">
        <v>20000</v>
      </c>
      <c r="F880" s="304">
        <v>2000</v>
      </c>
      <c r="G880" s="113">
        <v>50000</v>
      </c>
    </row>
    <row r="881" spans="1:256" ht="12.75" hidden="1" customHeight="1" x14ac:dyDescent="0.2">
      <c r="A881" s="542"/>
      <c r="B881" s="472" t="s">
        <v>971</v>
      </c>
      <c r="C881" s="452">
        <v>70000</v>
      </c>
      <c r="D881" s="478">
        <v>172000</v>
      </c>
      <c r="E881" s="480">
        <v>172000</v>
      </c>
      <c r="F881" s="304">
        <v>215174.47</v>
      </c>
      <c r="G881" s="113">
        <v>0</v>
      </c>
    </row>
    <row r="882" spans="1:256" ht="12.75" hidden="1" customHeight="1" x14ac:dyDescent="0.2">
      <c r="A882" s="542"/>
      <c r="B882" s="474" t="s">
        <v>972</v>
      </c>
      <c r="C882" s="452">
        <v>600000</v>
      </c>
      <c r="D882" s="454">
        <v>600000</v>
      </c>
      <c r="E882" s="468">
        <v>400000</v>
      </c>
      <c r="F882" s="304">
        <v>0</v>
      </c>
      <c r="G882" s="113">
        <v>2000000</v>
      </c>
    </row>
    <row r="883" spans="1:256" ht="12.75" hidden="1" customHeight="1" x14ac:dyDescent="0.2">
      <c r="A883" s="471"/>
      <c r="B883" s="474" t="s">
        <v>973</v>
      </c>
      <c r="C883" s="452">
        <v>0</v>
      </c>
      <c r="D883" s="454">
        <v>0</v>
      </c>
      <c r="E883" s="468">
        <v>0</v>
      </c>
      <c r="F883" s="304">
        <v>0</v>
      </c>
      <c r="G883" s="113">
        <v>300000</v>
      </c>
    </row>
    <row r="884" spans="1:256" ht="12.75" hidden="1" customHeight="1" x14ac:dyDescent="0.2">
      <c r="A884" s="544"/>
      <c r="B884" s="505" t="s">
        <v>974</v>
      </c>
      <c r="C884" s="459">
        <v>0</v>
      </c>
      <c r="D884" s="454">
        <v>0</v>
      </c>
      <c r="E884" s="528">
        <v>0</v>
      </c>
      <c r="F884" s="304">
        <v>0</v>
      </c>
      <c r="G884" s="166">
        <v>200000</v>
      </c>
    </row>
    <row r="885" spans="1:256" s="545" customFormat="1" ht="20.25" hidden="1" x14ac:dyDescent="0.3">
      <c r="A885" s="64"/>
      <c r="B885" s="546" t="s">
        <v>52</v>
      </c>
      <c r="C885" s="281">
        <f>SUM(C886+C891+C896)</f>
        <v>1211750</v>
      </c>
      <c r="D885" s="547">
        <f>SUM(D886+D891+D896)</f>
        <v>637750</v>
      </c>
      <c r="E885" s="281">
        <f>SUM(E886+E891+E896)</f>
        <v>379640</v>
      </c>
      <c r="F885" s="280">
        <f>SUM(F886+F891+F896)</f>
        <v>120303.64</v>
      </c>
      <c r="G885" s="281">
        <f>SUM(G886+G891+G896)</f>
        <v>600000</v>
      </c>
      <c r="H885" s="32"/>
      <c r="IP885" s="98"/>
      <c r="IQ885" s="98"/>
      <c r="IR885" s="98"/>
      <c r="IS885" s="98"/>
      <c r="IT885" s="98"/>
      <c r="IU885" s="98"/>
      <c r="IV885" s="98"/>
    </row>
    <row r="886" spans="1:256" s="545" customFormat="1" hidden="1" x14ac:dyDescent="0.2">
      <c r="A886" s="102">
        <v>2169</v>
      </c>
      <c r="B886" s="103" t="s">
        <v>975</v>
      </c>
      <c r="C886" s="105">
        <f>SUM(C887+C888+C889)</f>
        <v>250000</v>
      </c>
      <c r="D886" s="105">
        <f>SUM(D887+D888+D889+D890)</f>
        <v>250000</v>
      </c>
      <c r="E886" s="105">
        <f>SUM(E887+E888+E889+E890)</f>
        <v>9000</v>
      </c>
      <c r="F886" s="105">
        <f>SUM(F887+F888+F889+F890)</f>
        <v>2553.6400000000003</v>
      </c>
      <c r="G886" s="105">
        <v>250000</v>
      </c>
      <c r="H886" s="88"/>
      <c r="IP886" s="98"/>
      <c r="IQ886" s="98"/>
      <c r="IR886" s="98"/>
      <c r="IS886" s="98"/>
      <c r="IT886" s="98"/>
      <c r="IU886" s="98"/>
      <c r="IV886" s="98"/>
    </row>
    <row r="887" spans="1:256" s="545" customFormat="1" hidden="1" x14ac:dyDescent="0.2">
      <c r="A887" s="102"/>
      <c r="B887" s="306" t="s">
        <v>976</v>
      </c>
      <c r="C887" s="113">
        <v>47000</v>
      </c>
      <c r="D887" s="113">
        <v>47000</v>
      </c>
      <c r="E887" s="113">
        <v>3000</v>
      </c>
      <c r="F887" s="113">
        <v>0</v>
      </c>
      <c r="G887" s="114">
        <v>47000</v>
      </c>
      <c r="H887" s="32"/>
      <c r="IP887" s="98"/>
      <c r="IQ887" s="98"/>
      <c r="IR887" s="98"/>
      <c r="IS887" s="98"/>
      <c r="IT887" s="98"/>
      <c r="IU887" s="98"/>
      <c r="IV887" s="98"/>
    </row>
    <row r="888" spans="1:256" s="545" customFormat="1" hidden="1" x14ac:dyDescent="0.2">
      <c r="A888" s="102"/>
      <c r="B888" s="306" t="s">
        <v>977</v>
      </c>
      <c r="C888" s="113">
        <v>200000</v>
      </c>
      <c r="D888" s="113">
        <v>199000</v>
      </c>
      <c r="E888" s="113">
        <v>5000</v>
      </c>
      <c r="F888" s="113">
        <v>1553.64</v>
      </c>
      <c r="G888" s="114">
        <v>200000</v>
      </c>
      <c r="H888" s="32"/>
      <c r="IP888" s="98"/>
      <c r="IQ888" s="98"/>
      <c r="IR888" s="98"/>
      <c r="IS888" s="98"/>
      <c r="IT888" s="98"/>
      <c r="IU888" s="98"/>
      <c r="IV888" s="98"/>
    </row>
    <row r="889" spans="1:256" s="545" customFormat="1" hidden="1" x14ac:dyDescent="0.2">
      <c r="A889" s="102"/>
      <c r="B889" s="306" t="s">
        <v>978</v>
      </c>
      <c r="C889" s="113">
        <v>3000</v>
      </c>
      <c r="D889" s="113">
        <v>3000</v>
      </c>
      <c r="E889" s="113">
        <v>0</v>
      </c>
      <c r="F889" s="113">
        <v>0</v>
      </c>
      <c r="G889" s="114">
        <v>3000</v>
      </c>
      <c r="H889" s="32"/>
      <c r="IP889" s="98"/>
      <c r="IQ889" s="98"/>
      <c r="IR889" s="98"/>
      <c r="IS889" s="98"/>
      <c r="IT889" s="98"/>
      <c r="IU889" s="98"/>
      <c r="IV889" s="98"/>
    </row>
    <row r="890" spans="1:256" s="545" customFormat="1" hidden="1" x14ac:dyDescent="0.2">
      <c r="A890" s="102"/>
      <c r="B890" s="306" t="s">
        <v>979</v>
      </c>
      <c r="C890" s="113">
        <v>0</v>
      </c>
      <c r="D890" s="113">
        <v>1000</v>
      </c>
      <c r="E890" s="113">
        <v>1000</v>
      </c>
      <c r="F890" s="113">
        <v>1000</v>
      </c>
      <c r="G890" s="114">
        <v>0</v>
      </c>
      <c r="H890" s="32"/>
      <c r="IP890" s="98"/>
      <c r="IQ890" s="98"/>
      <c r="IR890" s="98"/>
      <c r="IS890" s="98"/>
      <c r="IT890" s="98"/>
      <c r="IU890" s="98"/>
      <c r="IV890" s="98"/>
    </row>
    <row r="891" spans="1:256" s="545" customFormat="1" hidden="1" x14ac:dyDescent="0.2">
      <c r="A891" s="106">
        <v>3635</v>
      </c>
      <c r="B891" s="107" t="s">
        <v>980</v>
      </c>
      <c r="C891" s="109">
        <f>SUM(C892+C893+C894+C895)</f>
        <v>387750</v>
      </c>
      <c r="D891" s="109">
        <f>SUM(D892+D893+D894+D895)</f>
        <v>387750</v>
      </c>
      <c r="E891" s="109">
        <f>SUM(E892+E893+E894+E895)</f>
        <v>370640</v>
      </c>
      <c r="F891" s="109">
        <f>SUM(F892+F893+F894+F895)</f>
        <v>117750</v>
      </c>
      <c r="G891" s="109">
        <f>SUM(G892+G893+G894+G895)</f>
        <v>350000</v>
      </c>
      <c r="H891" s="88"/>
      <c r="IP891" s="98"/>
      <c r="IQ891" s="98"/>
      <c r="IR891" s="98"/>
      <c r="IS891" s="98"/>
      <c r="IT891" s="98"/>
      <c r="IU891" s="98"/>
      <c r="IV891" s="98"/>
    </row>
    <row r="892" spans="1:256" s="545" customFormat="1" hidden="1" x14ac:dyDescent="0.2">
      <c r="A892" s="111"/>
      <c r="B892" s="112" t="s">
        <v>981</v>
      </c>
      <c r="C892" s="113">
        <v>20000</v>
      </c>
      <c r="D892" s="113">
        <v>20000</v>
      </c>
      <c r="E892" s="113">
        <v>16940</v>
      </c>
      <c r="F892" s="113">
        <v>0</v>
      </c>
      <c r="G892" s="114">
        <v>50000</v>
      </c>
      <c r="H892" s="88"/>
      <c r="IP892" s="98"/>
      <c r="IQ892" s="98"/>
      <c r="IR892" s="98"/>
      <c r="IS892" s="98"/>
      <c r="IT892" s="98"/>
      <c r="IU892" s="98"/>
      <c r="IV892" s="98"/>
    </row>
    <row r="893" spans="1:256" s="545" customFormat="1" hidden="1" x14ac:dyDescent="0.2">
      <c r="A893" s="111"/>
      <c r="B893" s="112" t="s">
        <v>982</v>
      </c>
      <c r="C893" s="113">
        <v>250000</v>
      </c>
      <c r="D893" s="113">
        <v>250000</v>
      </c>
      <c r="E893" s="113">
        <v>235950</v>
      </c>
      <c r="F893" s="113">
        <v>0</v>
      </c>
      <c r="G893" s="114">
        <v>0</v>
      </c>
      <c r="H893" s="32"/>
      <c r="IP893" s="98"/>
      <c r="IQ893" s="98"/>
      <c r="IR893" s="98"/>
      <c r="IS893" s="98"/>
      <c r="IT893" s="98"/>
      <c r="IU893" s="98"/>
      <c r="IV893" s="98"/>
    </row>
    <row r="894" spans="1:256" s="545" customFormat="1" hidden="1" x14ac:dyDescent="0.2">
      <c r="A894" s="111"/>
      <c r="B894" s="112" t="s">
        <v>983</v>
      </c>
      <c r="C894" s="113">
        <v>0</v>
      </c>
      <c r="D894" s="113">
        <v>0</v>
      </c>
      <c r="E894" s="266">
        <v>0</v>
      </c>
      <c r="F894" s="266">
        <v>0</v>
      </c>
      <c r="G894" s="114">
        <v>300000</v>
      </c>
      <c r="H894" s="32"/>
      <c r="IP894" s="98"/>
      <c r="IQ894" s="98"/>
      <c r="IR894" s="98"/>
      <c r="IS894" s="98"/>
      <c r="IT894" s="98"/>
      <c r="IU894" s="98"/>
      <c r="IV894" s="98"/>
    </row>
    <row r="895" spans="1:256" s="545" customFormat="1" hidden="1" x14ac:dyDescent="0.2">
      <c r="A895" s="548"/>
      <c r="B895" s="112" t="s">
        <v>984</v>
      </c>
      <c r="C895" s="266">
        <v>117750</v>
      </c>
      <c r="D895" s="266">
        <v>117750</v>
      </c>
      <c r="E895" s="266">
        <v>117750</v>
      </c>
      <c r="F895" s="266">
        <v>117750</v>
      </c>
      <c r="G895" s="143">
        <v>0</v>
      </c>
      <c r="H895" s="32"/>
      <c r="IP895" s="98"/>
      <c r="IQ895" s="98"/>
      <c r="IR895" s="98"/>
      <c r="IS895" s="98"/>
      <c r="IT895" s="98"/>
      <c r="IU895" s="98"/>
      <c r="IV895" s="98"/>
    </row>
    <row r="896" spans="1:256" s="545" customFormat="1" ht="15.75" hidden="1" x14ac:dyDescent="0.25">
      <c r="A896" s="549"/>
      <c r="B896" s="64" t="s">
        <v>985</v>
      </c>
      <c r="C896" s="287">
        <v>574000</v>
      </c>
      <c r="D896" s="287">
        <v>0</v>
      </c>
      <c r="E896" s="287">
        <v>0</v>
      </c>
      <c r="F896" s="231">
        <v>0</v>
      </c>
      <c r="G896" s="287">
        <v>0</v>
      </c>
      <c r="H896" s="32"/>
      <c r="IP896" s="98"/>
      <c r="IQ896" s="98"/>
      <c r="IR896" s="98"/>
      <c r="IS896" s="98"/>
      <c r="IT896" s="98"/>
      <c r="IU896" s="98"/>
      <c r="IV896" s="98"/>
    </row>
    <row r="897" spans="1:256" s="545" customFormat="1" hidden="1" x14ac:dyDescent="0.2">
      <c r="A897" s="424">
        <v>3699</v>
      </c>
      <c r="B897" s="103" t="s">
        <v>986</v>
      </c>
      <c r="C897" s="105">
        <v>574000</v>
      </c>
      <c r="D897" s="105">
        <v>0</v>
      </c>
      <c r="E897" s="105">
        <v>0</v>
      </c>
      <c r="F897" s="105">
        <v>0</v>
      </c>
      <c r="G897" s="105">
        <v>0</v>
      </c>
      <c r="H897" s="88"/>
      <c r="IP897" s="98"/>
      <c r="IQ897" s="98"/>
      <c r="IR897" s="98"/>
      <c r="IS897" s="98"/>
      <c r="IT897" s="98"/>
      <c r="IU897" s="98"/>
      <c r="IV897" s="98"/>
    </row>
    <row r="898" spans="1:256" s="550" customFormat="1" hidden="1" x14ac:dyDescent="0.2">
      <c r="A898" s="421"/>
      <c r="B898" s="107"/>
      <c r="C898" s="266"/>
      <c r="D898" s="266"/>
      <c r="E898" s="266"/>
      <c r="F898" s="266"/>
      <c r="G898" s="266"/>
      <c r="H898" s="88"/>
      <c r="IP898" s="1"/>
      <c r="IQ898" s="1"/>
      <c r="IR898" s="1"/>
      <c r="IS898" s="1"/>
      <c r="IT898" s="1"/>
      <c r="IU898" s="1"/>
      <c r="IV898" s="1"/>
    </row>
    <row r="899" spans="1:256" s="244" customFormat="1" ht="20.25" hidden="1" x14ac:dyDescent="0.3">
      <c r="A899" s="312"/>
      <c r="B899" s="93" t="s">
        <v>54</v>
      </c>
      <c r="C899" s="551">
        <f>SUM(C900:C906,C908:C910,C913,C919)</f>
        <v>39215960</v>
      </c>
      <c r="D899" s="551">
        <f>SUM(D900:D906,D908:D910,D913,D919)</f>
        <v>110513968.37</v>
      </c>
      <c r="E899" s="551">
        <f>SUM(E900:E906,E908:E910,E913,E919)</f>
        <v>104362912.75</v>
      </c>
      <c r="F899" s="552">
        <f>SUM(F900:F906,F908:F910,F913,F919)</f>
        <v>111132121.87</v>
      </c>
      <c r="G899" s="551">
        <f>SUM(G900:G906,G908:G910,G913,G919)</f>
        <v>36184308.620000005</v>
      </c>
      <c r="H899" s="88"/>
    </row>
    <row r="900" spans="1:256" s="553" customFormat="1" ht="15.75" hidden="1" x14ac:dyDescent="0.2">
      <c r="A900" s="554" t="s">
        <v>987</v>
      </c>
      <c r="B900" s="390" t="s">
        <v>988</v>
      </c>
      <c r="C900" s="555">
        <v>50000</v>
      </c>
      <c r="D900" s="555">
        <v>50000</v>
      </c>
      <c r="E900" s="555">
        <v>50000</v>
      </c>
      <c r="F900" s="555">
        <v>50000</v>
      </c>
      <c r="G900" s="105">
        <v>10000</v>
      </c>
      <c r="H900" s="88"/>
    </row>
    <row r="901" spans="1:256" s="553" customFormat="1" ht="48.75" hidden="1" x14ac:dyDescent="0.2">
      <c r="A901" s="556" t="s">
        <v>989</v>
      </c>
      <c r="B901" s="370" t="s">
        <v>990</v>
      </c>
      <c r="C901" s="105">
        <f>12860.75+242500</f>
        <v>255360.75</v>
      </c>
      <c r="D901" s="105">
        <f>12860.75+242500</f>
        <v>255360.75</v>
      </c>
      <c r="E901" s="105">
        <f>12860.75+242500</f>
        <v>255360.75</v>
      </c>
      <c r="F901" s="105">
        <f>7186.9+120577.86</f>
        <v>127764.76</v>
      </c>
      <c r="G901" s="105">
        <f>6808.62+242500</f>
        <v>249308.62</v>
      </c>
      <c r="H901" s="32"/>
    </row>
    <row r="902" spans="1:256" s="98" customFormat="1" ht="12.75" hidden="1" customHeight="1" x14ac:dyDescent="0.3">
      <c r="A902" s="106">
        <v>3113</v>
      </c>
      <c r="B902" s="107" t="s">
        <v>991</v>
      </c>
      <c r="C902" s="109">
        <v>0</v>
      </c>
      <c r="D902" s="109">
        <f>26198.73+1237.11</f>
        <v>27435.84</v>
      </c>
      <c r="E902" s="109">
        <f>26198.73+1237.11</f>
        <v>27435.84</v>
      </c>
      <c r="F902" s="109">
        <f>26198.73+1237.11</f>
        <v>27435.84</v>
      </c>
      <c r="G902" s="105">
        <v>0</v>
      </c>
      <c r="H902" s="88"/>
      <c r="N902" s="557"/>
    </row>
    <row r="903" spans="1:256" s="98" customFormat="1" ht="12.75" hidden="1" customHeight="1" x14ac:dyDescent="0.3">
      <c r="A903" s="106">
        <v>3311</v>
      </c>
      <c r="B903" s="107" t="s">
        <v>992</v>
      </c>
      <c r="C903" s="109">
        <v>0</v>
      </c>
      <c r="D903" s="109">
        <v>291160.94</v>
      </c>
      <c r="E903" s="109">
        <v>291160.94</v>
      </c>
      <c r="F903" s="109">
        <v>291160.94</v>
      </c>
      <c r="G903" s="105">
        <v>0</v>
      </c>
      <c r="H903" s="88"/>
      <c r="N903" s="557"/>
    </row>
    <row r="904" spans="1:256" s="98" customFormat="1" ht="12.75" hidden="1" customHeight="1" x14ac:dyDescent="0.3">
      <c r="A904" s="106">
        <v>3392</v>
      </c>
      <c r="B904" s="107" t="s">
        <v>993</v>
      </c>
      <c r="C904" s="109">
        <v>0</v>
      </c>
      <c r="D904" s="109">
        <v>214337.64</v>
      </c>
      <c r="E904" s="109">
        <v>214337.64</v>
      </c>
      <c r="F904" s="109">
        <v>214337.64</v>
      </c>
      <c r="G904" s="105">
        <v>0</v>
      </c>
      <c r="H904" s="88"/>
      <c r="N904" s="557"/>
    </row>
    <row r="905" spans="1:256" s="98" customFormat="1" ht="12.75" hidden="1" customHeight="1" x14ac:dyDescent="0.3">
      <c r="A905" s="106">
        <v>3634</v>
      </c>
      <c r="B905" s="107" t="s">
        <v>994</v>
      </c>
      <c r="C905" s="109">
        <v>0</v>
      </c>
      <c r="D905" s="109">
        <v>7703155</v>
      </c>
      <c r="E905" s="109">
        <v>7703155</v>
      </c>
      <c r="F905" s="109">
        <v>7703693</v>
      </c>
      <c r="G905" s="105">
        <v>8000000</v>
      </c>
      <c r="H905" s="88"/>
      <c r="N905" s="558"/>
    </row>
    <row r="906" spans="1:256" s="553" customFormat="1" ht="15.75" hidden="1" x14ac:dyDescent="0.2">
      <c r="A906" s="102">
        <v>3639</v>
      </c>
      <c r="B906" s="103" t="s">
        <v>995</v>
      </c>
      <c r="C906" s="105">
        <f>C907</f>
        <v>150000</v>
      </c>
      <c r="D906" s="105">
        <f>D907</f>
        <v>150000</v>
      </c>
      <c r="E906" s="105">
        <f>E907</f>
        <v>100000</v>
      </c>
      <c r="F906" s="105">
        <f>F907</f>
        <v>47016</v>
      </c>
      <c r="G906" s="105">
        <f>G907</f>
        <v>150000</v>
      </c>
      <c r="H906" s="88"/>
    </row>
    <row r="907" spans="1:256" s="553" customFormat="1" ht="12.75" hidden="1" customHeight="1" x14ac:dyDescent="0.2">
      <c r="A907" s="106"/>
      <c r="B907" s="306" t="s">
        <v>996</v>
      </c>
      <c r="C907" s="114">
        <f>150*1000</f>
        <v>150000</v>
      </c>
      <c r="D907" s="114">
        <v>150000</v>
      </c>
      <c r="E907" s="113">
        <v>100000</v>
      </c>
      <c r="F907" s="113">
        <v>47016</v>
      </c>
      <c r="G907" s="114">
        <v>150000</v>
      </c>
      <c r="H907" s="88"/>
    </row>
    <row r="908" spans="1:256" hidden="1" x14ac:dyDescent="0.2">
      <c r="A908" s="106">
        <v>6171</v>
      </c>
      <c r="B908" s="559" t="s">
        <v>997</v>
      </c>
      <c r="C908" s="105">
        <v>200000</v>
      </c>
      <c r="D908" s="105">
        <v>200000</v>
      </c>
      <c r="E908" s="109">
        <v>100000</v>
      </c>
      <c r="F908" s="109">
        <v>3509</v>
      </c>
      <c r="G908" s="105">
        <v>150000</v>
      </c>
      <c r="H908" s="32"/>
    </row>
    <row r="909" spans="1:256" hidden="1" x14ac:dyDescent="0.2">
      <c r="A909" s="106">
        <v>6310</v>
      </c>
      <c r="B909" s="107" t="s">
        <v>998</v>
      </c>
      <c r="C909" s="109">
        <v>350000</v>
      </c>
      <c r="D909" s="109">
        <v>350000</v>
      </c>
      <c r="E909" s="109">
        <v>320000</v>
      </c>
      <c r="F909" s="109">
        <v>217186.23</v>
      </c>
      <c r="G909" s="105">
        <v>320000</v>
      </c>
      <c r="H909" s="88"/>
    </row>
    <row r="910" spans="1:256" hidden="1" x14ac:dyDescent="0.2">
      <c r="A910" s="106">
        <v>6399</v>
      </c>
      <c r="B910" s="107" t="s">
        <v>999</v>
      </c>
      <c r="C910" s="109">
        <f>SUM(C911:C912)</f>
        <v>28000000</v>
      </c>
      <c r="D910" s="109">
        <f>SUM(D911:D912)</f>
        <v>23831976</v>
      </c>
      <c r="E910" s="109">
        <f>SUM(E911:E912)</f>
        <v>25015870</v>
      </c>
      <c r="F910" s="109">
        <f>SUM(F911:F912)</f>
        <v>25015870</v>
      </c>
      <c r="G910" s="109">
        <f>SUM(G911:G912)</f>
        <v>26000000</v>
      </c>
      <c r="H910" s="88"/>
    </row>
    <row r="911" spans="1:256" hidden="1" x14ac:dyDescent="0.2">
      <c r="A911" s="111"/>
      <c r="B911" s="112" t="s">
        <v>1000</v>
      </c>
      <c r="C911" s="113">
        <v>25000000</v>
      </c>
      <c r="D911" s="109">
        <v>22015870</v>
      </c>
      <c r="E911" s="109">
        <v>22015870</v>
      </c>
      <c r="F911" s="109">
        <v>22015870</v>
      </c>
      <c r="G911" s="113">
        <v>23000000</v>
      </c>
      <c r="H911" s="88"/>
    </row>
    <row r="912" spans="1:256" hidden="1" x14ac:dyDescent="0.2">
      <c r="A912" s="111"/>
      <c r="B912" s="112" t="s">
        <v>1001</v>
      </c>
      <c r="C912" s="113">
        <v>3000000</v>
      </c>
      <c r="D912" s="113">
        <v>1816106</v>
      </c>
      <c r="E912" s="114">
        <v>3000000</v>
      </c>
      <c r="F912" s="114">
        <v>3000000</v>
      </c>
      <c r="G912" s="114">
        <v>3000000</v>
      </c>
      <c r="H912" s="88"/>
    </row>
    <row r="913" spans="1:14" s="98" customFormat="1" ht="12.75" hidden="1" customHeight="1" x14ac:dyDescent="0.3">
      <c r="A913" s="106">
        <v>6402</v>
      </c>
      <c r="B913" s="107" t="s">
        <v>1002</v>
      </c>
      <c r="C913" s="109">
        <f>SUM(C914:C918)</f>
        <v>0</v>
      </c>
      <c r="D913" s="109">
        <f>SUM(D914:D918)</f>
        <v>60592.58</v>
      </c>
      <c r="E913" s="109">
        <f>SUM(E914:E918)</f>
        <v>60592.58</v>
      </c>
      <c r="F913" s="109">
        <f>SUM(F914:F918)</f>
        <v>60592.58</v>
      </c>
      <c r="G913" s="109">
        <f>SUM(G914:G918)</f>
        <v>0</v>
      </c>
      <c r="H913" s="88"/>
      <c r="N913" s="558"/>
    </row>
    <row r="914" spans="1:14" s="2" customFormat="1" ht="12.75" hidden="1" customHeight="1" x14ac:dyDescent="0.3">
      <c r="A914" s="115"/>
      <c r="B914" s="159" t="s">
        <v>1003</v>
      </c>
      <c r="C914" s="113">
        <v>0</v>
      </c>
      <c r="D914" s="113">
        <v>2283</v>
      </c>
      <c r="E914" s="113">
        <v>2283</v>
      </c>
      <c r="F914" s="113">
        <v>2283</v>
      </c>
      <c r="G914" s="114">
        <v>0</v>
      </c>
      <c r="H914" s="88"/>
      <c r="N914" s="558"/>
    </row>
    <row r="915" spans="1:14" s="2" customFormat="1" ht="12.75" hidden="1" customHeight="1" x14ac:dyDescent="0.3">
      <c r="A915" s="115"/>
      <c r="B915" s="159" t="s">
        <v>1004</v>
      </c>
      <c r="C915" s="113">
        <v>0</v>
      </c>
      <c r="D915" s="113">
        <v>7004</v>
      </c>
      <c r="E915" s="113">
        <v>7004</v>
      </c>
      <c r="F915" s="113">
        <v>7004</v>
      </c>
      <c r="G915" s="114">
        <v>0</v>
      </c>
      <c r="H915" s="88"/>
      <c r="N915" s="558"/>
    </row>
    <row r="916" spans="1:14" s="2" customFormat="1" ht="12.75" hidden="1" customHeight="1" x14ac:dyDescent="0.3">
      <c r="A916" s="115"/>
      <c r="B916" s="159" t="s">
        <v>1005</v>
      </c>
      <c r="C916" s="113">
        <v>0</v>
      </c>
      <c r="D916" s="113">
        <v>31176</v>
      </c>
      <c r="E916" s="113">
        <v>31176</v>
      </c>
      <c r="F916" s="113">
        <v>31176</v>
      </c>
      <c r="G916" s="114">
        <v>0</v>
      </c>
      <c r="H916" s="88"/>
      <c r="N916" s="558"/>
    </row>
    <row r="917" spans="1:14" s="2" customFormat="1" ht="12.75" hidden="1" customHeight="1" x14ac:dyDescent="0.3">
      <c r="A917" s="115"/>
      <c r="B917" s="159" t="s">
        <v>1006</v>
      </c>
      <c r="C917" s="113">
        <v>0</v>
      </c>
      <c r="D917" s="113">
        <v>5607</v>
      </c>
      <c r="E917" s="113">
        <v>5607</v>
      </c>
      <c r="F917" s="113">
        <v>5607</v>
      </c>
      <c r="G917" s="114">
        <v>0</v>
      </c>
      <c r="H917" s="88"/>
      <c r="N917" s="558"/>
    </row>
    <row r="918" spans="1:14" s="2" customFormat="1" ht="12.75" hidden="1" customHeight="1" x14ac:dyDescent="0.3">
      <c r="A918" s="115"/>
      <c r="B918" s="159" t="s">
        <v>1007</v>
      </c>
      <c r="C918" s="113">
        <v>0</v>
      </c>
      <c r="D918" s="113">
        <v>14522.58</v>
      </c>
      <c r="E918" s="113">
        <v>14522.58</v>
      </c>
      <c r="F918" s="113">
        <v>14522.58</v>
      </c>
      <c r="G918" s="114">
        <v>0</v>
      </c>
      <c r="H918" s="88"/>
      <c r="N918" s="558"/>
    </row>
    <row r="919" spans="1:14" s="244" customFormat="1" ht="15.75" hidden="1" x14ac:dyDescent="0.25">
      <c r="A919" s="106">
        <v>6409</v>
      </c>
      <c r="B919" s="107" t="s">
        <v>1008</v>
      </c>
      <c r="C919" s="109">
        <f>SUM(C920:C921)</f>
        <v>10210599.25</v>
      </c>
      <c r="D919" s="109">
        <f>SUM(D920:D921)</f>
        <v>77379949.620000005</v>
      </c>
      <c r="E919" s="109">
        <f>SUM(E920:E921)</f>
        <v>70225000</v>
      </c>
      <c r="F919" s="109">
        <f>SUM(F920:F921)</f>
        <v>77373555.88000001</v>
      </c>
      <c r="G919" s="109">
        <f>SUM(G920:G921)</f>
        <v>1305000</v>
      </c>
      <c r="H919" s="88"/>
    </row>
    <row r="920" spans="1:14" s="98" customFormat="1" hidden="1" x14ac:dyDescent="0.2">
      <c r="A920" s="111"/>
      <c r="B920" s="112" t="s">
        <v>1009</v>
      </c>
      <c r="C920" s="113">
        <f>10000*1000-0.75+600</f>
        <v>10000599.25</v>
      </c>
      <c r="D920" s="113">
        <v>77154949.620000005</v>
      </c>
      <c r="E920" s="113">
        <v>70000000</v>
      </c>
      <c r="F920" s="113">
        <v>77154949.620000005</v>
      </c>
      <c r="G920" s="114">
        <v>1000000</v>
      </c>
      <c r="H920" s="88"/>
    </row>
    <row r="921" spans="1:14" s="98" customFormat="1" ht="36.75" hidden="1" x14ac:dyDescent="0.2">
      <c r="A921" s="560"/>
      <c r="B921" s="561" t="s">
        <v>1010</v>
      </c>
      <c r="C921" s="241">
        <v>210000</v>
      </c>
      <c r="D921" s="241">
        <v>225000</v>
      </c>
      <c r="E921" s="266">
        <v>225000</v>
      </c>
      <c r="F921" s="113">
        <v>218606.26</v>
      </c>
      <c r="G921" s="114">
        <f>(5+80+50+80+30+5+60)*1000-5000</f>
        <v>305000</v>
      </c>
      <c r="H921" s="32"/>
    </row>
    <row r="922" spans="1:14" s="98" customFormat="1" ht="23.25" hidden="1" x14ac:dyDescent="0.35">
      <c r="A922" s="562"/>
      <c r="B922" s="563" t="s">
        <v>55</v>
      </c>
      <c r="C922" s="363">
        <f>SUM(C266+C354+C481+C486+C492+C503+C507+C511+C604+C608+C625+C633+C673+C679+C702+C885+C899)</f>
        <v>870089265</v>
      </c>
      <c r="D922" s="363">
        <f>SUM(D266+D354+D481+D486+D492+D503+D507+D511+D604+D608+D625+D633+D673+D679+D702+D885+D899)</f>
        <v>866332786.38999999</v>
      </c>
      <c r="E922" s="363">
        <f>SUM(E266+E354+E481+E486+E492+E503+E507+E511+E604+E608+E625+E633+E673+E679+E702+E885+E899)</f>
        <v>772802863.4000001</v>
      </c>
      <c r="F922" s="363">
        <f>SUM(F266+F354+F481+F486+F492+F503+F507+F511+F604+F608+F625+F633+F673+F679+F702+F885+F899)</f>
        <v>495324827.22000003</v>
      </c>
      <c r="G922" s="363">
        <f>SUM(G266+G354+G481+G486+G492+G503+G507+G511+G604+G608+G625+G633+G673+G679+G702+G885+G899)</f>
        <v>886320745.25</v>
      </c>
      <c r="H922" s="32"/>
    </row>
    <row r="923" spans="1:14" hidden="1" x14ac:dyDescent="0.2">
      <c r="B923" s="564"/>
      <c r="F923" s="1"/>
    </row>
    <row r="924" spans="1:14" x14ac:dyDescent="0.2">
      <c r="F924" s="1"/>
    </row>
    <row r="925" spans="1:14" s="98" customFormat="1" x14ac:dyDescent="0.2">
      <c r="A925" s="1"/>
      <c r="B925" s="1"/>
      <c r="C925" s="1"/>
      <c r="D925" s="1"/>
      <c r="E925" s="1"/>
      <c r="F925" s="2"/>
      <c r="G925" s="1"/>
      <c r="H925" s="1"/>
    </row>
    <row r="926" spans="1:14" s="98" customFormat="1" x14ac:dyDescent="0.2">
      <c r="A926" s="1"/>
      <c r="B926" s="1"/>
      <c r="C926" s="1"/>
      <c r="D926" s="1"/>
      <c r="E926" s="1"/>
      <c r="F926" s="2"/>
      <c r="G926" s="1"/>
      <c r="H926" s="1"/>
    </row>
  </sheetData>
  <sheetProtection selectLockedCells="1" selectUnlockedCells="1"/>
  <printOptions horizontalCentered="1"/>
  <pageMargins left="0" right="0" top="0.39375000000000004" bottom="0.39375000000000004" header="0.51180555555555562" footer="0"/>
  <pageSetup paperSize="9" firstPageNumber="0" fitToHeight="0" orientation="landscape" horizontalDpi="300" verticalDpi="300"/>
  <headerFooter>
    <oddFooter>&amp;C&amp;P</oddFooter>
  </headerFooter>
  <rowBreaks count="2" manualBreakCount="2">
    <brk id="50" max="16383" man="1"/>
    <brk id="263" max="16383" man="1"/>
  </rowBreaks>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2"/>
  </sheetPr>
  <dimension ref="A1:BHH886"/>
  <sheetViews>
    <sheetView workbookViewId="0">
      <selection activeCell="B228" sqref="B228"/>
    </sheetView>
  </sheetViews>
  <sheetFormatPr defaultColWidth="9.5703125" defaultRowHeight="12.75" x14ac:dyDescent="0.2"/>
  <cols>
    <col min="1" max="1" width="11.85546875" style="1" customWidth="1"/>
    <col min="2" max="2" width="91.85546875" style="1" customWidth="1"/>
    <col min="3" max="4" width="26.85546875" style="1" customWidth="1"/>
    <col min="5" max="5" width="26.7109375" style="1" customWidth="1"/>
    <col min="6" max="6" width="22" style="1" hidden="1" customWidth="1"/>
    <col min="7" max="8" width="10.5703125" style="1" customWidth="1"/>
    <col min="9" max="9" width="12.140625" style="1" customWidth="1"/>
    <col min="10" max="10" width="19.140625" style="1" customWidth="1"/>
    <col min="11" max="16384" width="9.5703125" style="1"/>
  </cols>
  <sheetData>
    <row r="1" spans="1:10" ht="49.5" customHeight="1" x14ac:dyDescent="0.2">
      <c r="A1" s="565" t="s">
        <v>1011</v>
      </c>
      <c r="B1" s="566" t="s">
        <v>1012</v>
      </c>
      <c r="C1" s="567" t="s">
        <v>1013</v>
      </c>
      <c r="D1" s="567" t="s">
        <v>1014</v>
      </c>
      <c r="E1" s="568" t="s">
        <v>1015</v>
      </c>
      <c r="F1" s="569" t="s">
        <v>1016</v>
      </c>
      <c r="G1" s="568" t="s">
        <v>1017</v>
      </c>
      <c r="H1" s="568" t="s">
        <v>1018</v>
      </c>
      <c r="I1" s="568" t="s">
        <v>1019</v>
      </c>
      <c r="J1" s="570" t="s">
        <v>1020</v>
      </c>
    </row>
    <row r="2" spans="1:10" ht="20.25" x14ac:dyDescent="0.3">
      <c r="A2" s="571"/>
      <c r="B2" s="572" t="s">
        <v>56</v>
      </c>
      <c r="C2" s="573"/>
      <c r="D2" s="573"/>
      <c r="E2" s="574"/>
      <c r="F2" s="575"/>
      <c r="G2" s="576"/>
      <c r="H2" s="577"/>
      <c r="I2" s="578"/>
    </row>
    <row r="3" spans="1:10" s="98" customFormat="1" ht="18" x14ac:dyDescent="0.25">
      <c r="A3" s="579"/>
      <c r="B3" s="580" t="s">
        <v>57</v>
      </c>
      <c r="C3" s="581">
        <f>C32</f>
        <v>545682000</v>
      </c>
      <c r="D3" s="581">
        <f>D32</f>
        <v>565149250</v>
      </c>
      <c r="E3" s="581">
        <f t="shared" ref="E3:I3" si="0">E32</f>
        <v>297417157.41000003</v>
      </c>
      <c r="F3" s="581"/>
      <c r="G3" s="581">
        <f t="shared" si="0"/>
        <v>54.503750794418735</v>
      </c>
      <c r="H3" s="581">
        <f t="shared" si="0"/>
        <v>52.626303124351672</v>
      </c>
      <c r="I3" s="581">
        <f t="shared" si="0"/>
        <v>109.24957552584948</v>
      </c>
      <c r="J3" s="1"/>
    </row>
    <row r="4" spans="1:10" s="98" customFormat="1" ht="18.75" customHeight="1" x14ac:dyDescent="0.25">
      <c r="A4" s="582"/>
      <c r="B4" s="579" t="s">
        <v>10</v>
      </c>
      <c r="C4" s="583">
        <f>C66</f>
        <v>163957324.72000003</v>
      </c>
      <c r="D4" s="583">
        <f>D66</f>
        <v>189794148.43000001</v>
      </c>
      <c r="E4" s="583">
        <f t="shared" ref="E4:I4" si="1">E66</f>
        <v>203617804.81</v>
      </c>
      <c r="F4" s="583"/>
      <c r="G4" s="583">
        <f t="shared" si="1"/>
        <v>124.18951404442015</v>
      </c>
      <c r="H4" s="583">
        <f t="shared" si="1"/>
        <v>107.2834997782339</v>
      </c>
      <c r="I4" s="583">
        <f t="shared" si="1"/>
        <v>239.96718764646877</v>
      </c>
      <c r="J4" s="1"/>
    </row>
    <row r="5" spans="1:10" s="98" customFormat="1" ht="18.75" customHeight="1" x14ac:dyDescent="0.25">
      <c r="A5" s="584"/>
      <c r="B5" s="579" t="s">
        <v>11</v>
      </c>
      <c r="C5" s="583">
        <f>C165</f>
        <v>72976820.010000005</v>
      </c>
      <c r="D5" s="583">
        <f>D165</f>
        <v>71051552</v>
      </c>
      <c r="E5" s="583">
        <f t="shared" ref="E5:I5" si="2">E165</f>
        <v>3001467</v>
      </c>
      <c r="F5" s="583"/>
      <c r="G5" s="583">
        <f t="shared" si="2"/>
        <v>4.1129046176425739</v>
      </c>
      <c r="H5" s="583">
        <f t="shared" si="2"/>
        <v>4.2243510739920218</v>
      </c>
      <c r="I5" s="583">
        <f t="shared" si="2"/>
        <v>84.922924136526106</v>
      </c>
      <c r="J5" s="1"/>
    </row>
    <row r="6" spans="1:10" s="98" customFormat="1" ht="18.75" customHeight="1" x14ac:dyDescent="0.25">
      <c r="A6" s="584"/>
      <c r="B6" s="579" t="s">
        <v>196</v>
      </c>
      <c r="C6" s="585">
        <f>C185</f>
        <v>56420206.439999998</v>
      </c>
      <c r="D6" s="585">
        <f>D185</f>
        <v>85639315.75999999</v>
      </c>
      <c r="E6" s="585">
        <f t="shared" ref="E6:I6" si="3">E185</f>
        <v>62714416.380000003</v>
      </c>
      <c r="F6" s="585"/>
      <c r="G6" s="585">
        <f t="shared" si="3"/>
        <v>111.15594985759859</v>
      </c>
      <c r="H6" s="585">
        <f t="shared" si="3"/>
        <v>73.230870451784199</v>
      </c>
      <c r="I6" s="585">
        <f t="shared" si="3"/>
        <v>94.923914068078346</v>
      </c>
      <c r="J6" s="1"/>
    </row>
    <row r="7" spans="1:10" s="98" customFormat="1" ht="20.25" x14ac:dyDescent="0.3">
      <c r="A7" s="586"/>
      <c r="B7" s="587" t="s">
        <v>13</v>
      </c>
      <c r="C7" s="588">
        <f>C232</f>
        <v>839036351.17000008</v>
      </c>
      <c r="D7" s="588">
        <f>D232</f>
        <v>911634266.19000006</v>
      </c>
      <c r="E7" s="588">
        <f t="shared" ref="E7:I7" si="4">E232</f>
        <v>566750845.60000002</v>
      </c>
      <c r="F7" s="588"/>
      <c r="G7" s="588">
        <f t="shared" si="4"/>
        <v>67.547829698878999</v>
      </c>
      <c r="H7" s="588">
        <f t="shared" si="4"/>
        <v>62.168664191247011</v>
      </c>
      <c r="I7" s="588">
        <f t="shared" si="4"/>
        <v>132.82458367466842</v>
      </c>
      <c r="J7" s="1"/>
    </row>
    <row r="8" spans="1:10" s="98" customFormat="1" ht="18" x14ac:dyDescent="0.25">
      <c r="A8" s="589"/>
      <c r="B8" s="590" t="s">
        <v>14</v>
      </c>
      <c r="C8" s="591">
        <f>C234</f>
        <v>173504211.83249995</v>
      </c>
      <c r="D8" s="591">
        <f>D234</f>
        <v>173504211.83249995</v>
      </c>
      <c r="E8" s="591">
        <f t="shared" ref="E8:I8" si="5">E234</f>
        <v>-167712452.99000001</v>
      </c>
      <c r="F8" s="591"/>
      <c r="G8" s="591">
        <f t="shared" si="5"/>
        <v>-96.661891500310503</v>
      </c>
      <c r="H8" s="591">
        <f t="shared" si="5"/>
        <v>-96.661891500310503</v>
      </c>
      <c r="I8" s="591">
        <f t="shared" si="5"/>
        <v>208.91654667245518</v>
      </c>
      <c r="J8" s="1"/>
    </row>
    <row r="9" spans="1:10" s="85" customFormat="1" ht="24" customHeight="1" x14ac:dyDescent="0.4">
      <c r="A9" s="592"/>
      <c r="B9" s="593" t="s">
        <v>15</v>
      </c>
      <c r="C9" s="594">
        <f>C243</f>
        <v>1012540563.0025001</v>
      </c>
      <c r="D9" s="594">
        <f>D243</f>
        <v>1085138478.0225</v>
      </c>
      <c r="E9" s="594">
        <f t="shared" ref="E9:I9" si="6">E243</f>
        <v>399038392.61000001</v>
      </c>
      <c r="F9" s="594"/>
      <c r="G9" s="594">
        <f t="shared" si="6"/>
        <v>39.409620433054663</v>
      </c>
      <c r="H9" s="594">
        <f t="shared" si="6"/>
        <v>36.77303871273525</v>
      </c>
      <c r="I9" s="594">
        <f t="shared" si="6"/>
        <v>106.01051353184567</v>
      </c>
    </row>
    <row r="10" spans="1:10" s="98" customFormat="1" ht="20.25" x14ac:dyDescent="0.3">
      <c r="A10" s="595"/>
      <c r="B10" s="572" t="s">
        <v>257</v>
      </c>
      <c r="C10" s="596"/>
      <c r="D10" s="596"/>
      <c r="E10" s="597"/>
      <c r="F10" s="597"/>
      <c r="G10" s="598"/>
      <c r="H10" s="598"/>
      <c r="I10" s="598"/>
      <c r="J10" s="1"/>
    </row>
    <row r="11" spans="1:10" s="599" customFormat="1" ht="15" x14ac:dyDescent="0.2">
      <c r="A11" s="600"/>
      <c r="B11" s="601" t="s">
        <v>17</v>
      </c>
      <c r="C11" s="602">
        <f>C30-C12</f>
        <v>732444521</v>
      </c>
      <c r="D11" s="602">
        <f>D30-D12</f>
        <v>779176980.78999996</v>
      </c>
      <c r="E11" s="602">
        <f>E30-E12</f>
        <v>361323057.18000001</v>
      </c>
      <c r="F11" s="603"/>
      <c r="G11" s="603">
        <f t="shared" ref="G11:G12" si="7">E11/C11*100</f>
        <v>49.331116121489835</v>
      </c>
      <c r="H11" s="603">
        <f t="shared" ref="H11:H12" si="8">E11/D11*100</f>
        <v>46.372398837252362</v>
      </c>
      <c r="I11" s="603">
        <f t="shared" ref="I11:I12" si="9">E11/J11*100</f>
        <v>102.35721694260845</v>
      </c>
      <c r="J11" s="604">
        <v>353002033.44</v>
      </c>
    </row>
    <row r="12" spans="1:10" s="599" customFormat="1" ht="15" x14ac:dyDescent="0.2">
      <c r="A12" s="600"/>
      <c r="B12" s="601" t="s">
        <v>18</v>
      </c>
      <c r="C12" s="605">
        <v>280096042</v>
      </c>
      <c r="D12" s="605">
        <v>305961497.23000002</v>
      </c>
      <c r="E12" s="606">
        <v>37715335.43</v>
      </c>
      <c r="F12" s="606"/>
      <c r="G12" s="603">
        <f t="shared" si="7"/>
        <v>13.465144012995371</v>
      </c>
      <c r="H12" s="603">
        <f t="shared" si="8"/>
        <v>12.326824051866991</v>
      </c>
      <c r="I12" s="603">
        <f t="shared" si="9"/>
        <v>161.09440637698378</v>
      </c>
      <c r="J12" s="604">
        <v>23411946</v>
      </c>
    </row>
    <row r="13" spans="1:10" s="12" customFormat="1" ht="18" x14ac:dyDescent="0.25">
      <c r="A13" s="607"/>
      <c r="B13" s="579" t="s">
        <v>258</v>
      </c>
      <c r="C13" s="583">
        <f>C245</f>
        <v>90523182</v>
      </c>
      <c r="D13" s="583">
        <f>D245</f>
        <v>90564543</v>
      </c>
      <c r="E13" s="583">
        <f t="shared" ref="E13:I13" si="10">E245</f>
        <v>28384340.98</v>
      </c>
      <c r="F13" s="583"/>
      <c r="G13" s="583">
        <f t="shared" si="10"/>
        <v>31.355880728982772</v>
      </c>
      <c r="H13" s="583">
        <f t="shared" si="10"/>
        <v>31.341560438283228</v>
      </c>
      <c r="I13" s="583">
        <f t="shared" si="10"/>
        <v>120.49887730816025</v>
      </c>
    </row>
    <row r="14" spans="1:10" s="12" customFormat="1" ht="20.25" customHeight="1" x14ac:dyDescent="0.25">
      <c r="A14" s="607"/>
      <c r="B14" s="579" t="s">
        <v>1021</v>
      </c>
      <c r="C14" s="583">
        <f>C350</f>
        <v>268131950</v>
      </c>
      <c r="D14" s="583">
        <f>D350</f>
        <v>267381950</v>
      </c>
      <c r="E14" s="583">
        <f t="shared" ref="E14:I14" si="11">E350</f>
        <v>24866502.440000001</v>
      </c>
      <c r="F14" s="583"/>
      <c r="G14" s="583">
        <f t="shared" si="11"/>
        <v>9.2739796357726121</v>
      </c>
      <c r="H14" s="583">
        <f t="shared" si="11"/>
        <v>9.2999929277200657</v>
      </c>
      <c r="I14" s="583">
        <f t="shared" si="11"/>
        <v>210.90785694347883</v>
      </c>
    </row>
    <row r="15" spans="1:10" s="12" customFormat="1" ht="18" x14ac:dyDescent="0.25">
      <c r="A15" s="608"/>
      <c r="B15" s="609" t="s">
        <v>31</v>
      </c>
      <c r="C15" s="610">
        <f>C542</f>
        <v>15000</v>
      </c>
      <c r="D15" s="610">
        <f>D542</f>
        <v>15000</v>
      </c>
      <c r="E15" s="610">
        <f t="shared" ref="E15:I15" si="12">E542</f>
        <v>0</v>
      </c>
      <c r="F15" s="610"/>
      <c r="G15" s="610">
        <f t="shared" si="12"/>
        <v>0</v>
      </c>
      <c r="H15" s="610">
        <f t="shared" si="12"/>
        <v>0</v>
      </c>
      <c r="I15" s="610">
        <f t="shared" si="12"/>
        <v>0</v>
      </c>
    </row>
    <row r="16" spans="1:10" s="611" customFormat="1" ht="18" x14ac:dyDescent="0.25">
      <c r="A16" s="579"/>
      <c r="B16" s="579" t="s">
        <v>1022</v>
      </c>
      <c r="C16" s="610">
        <f>C545</f>
        <v>15625044</v>
      </c>
      <c r="D16" s="610">
        <f>D545</f>
        <v>16236396.609999999</v>
      </c>
      <c r="E16" s="610">
        <f t="shared" ref="E16:I16" si="13">E545</f>
        <v>5723771.7400000002</v>
      </c>
      <c r="F16" s="610"/>
      <c r="G16" s="610">
        <f t="shared" si="13"/>
        <v>36.632035980186686</v>
      </c>
      <c r="H16" s="610">
        <f t="shared" si="13"/>
        <v>35.252721878416843</v>
      </c>
      <c r="I16" s="610">
        <f t="shared" si="13"/>
        <v>113.60996025769472</v>
      </c>
      <c r="J16" s="12"/>
    </row>
    <row r="17" spans="1:248" s="611" customFormat="1" ht="18" x14ac:dyDescent="0.25">
      <c r="A17" s="608"/>
      <c r="B17" s="609" t="s">
        <v>33</v>
      </c>
      <c r="C17" s="610">
        <f>C551</f>
        <v>11266280</v>
      </c>
      <c r="D17" s="610">
        <f>D551</f>
        <v>11266280</v>
      </c>
      <c r="E17" s="610">
        <f t="shared" ref="E17:I17" si="14">E551</f>
        <v>5520449.7400000002</v>
      </c>
      <c r="F17" s="610"/>
      <c r="G17" s="610">
        <f t="shared" si="14"/>
        <v>48.999756263824437</v>
      </c>
      <c r="H17" s="610">
        <f t="shared" si="14"/>
        <v>48.999756263824437</v>
      </c>
      <c r="I17" s="610">
        <f t="shared" si="14"/>
        <v>105.66471240070632</v>
      </c>
      <c r="J17" s="12"/>
    </row>
    <row r="18" spans="1:248" s="611" customFormat="1" ht="18" x14ac:dyDescent="0.25">
      <c r="A18" s="612"/>
      <c r="B18" s="579" t="s">
        <v>34</v>
      </c>
      <c r="C18" s="583">
        <f>C560</f>
        <v>162000</v>
      </c>
      <c r="D18" s="583">
        <f>D560</f>
        <v>162000</v>
      </c>
      <c r="E18" s="583">
        <f t="shared" ref="E18:I18" si="15">E560</f>
        <v>6830.06</v>
      </c>
      <c r="F18" s="583"/>
      <c r="G18" s="583">
        <f t="shared" si="15"/>
        <v>4.2160864197530863</v>
      </c>
      <c r="H18" s="583">
        <f t="shared" si="15"/>
        <v>4.2160864197530863</v>
      </c>
      <c r="I18" s="583">
        <f t="shared" si="15"/>
        <v>13.849582285667939</v>
      </c>
      <c r="J18" s="12"/>
    </row>
    <row r="19" spans="1:248" s="611" customFormat="1" ht="18" x14ac:dyDescent="0.25">
      <c r="A19" s="608"/>
      <c r="B19" s="579" t="s">
        <v>624</v>
      </c>
      <c r="C19" s="583">
        <f>C564</f>
        <v>1000000</v>
      </c>
      <c r="D19" s="583">
        <f>D564</f>
        <v>1224000</v>
      </c>
      <c r="E19" s="583">
        <f t="shared" ref="E19:I19" si="16">E564</f>
        <v>355497.35</v>
      </c>
      <c r="F19" s="583"/>
      <c r="G19" s="583">
        <f t="shared" si="16"/>
        <v>35.549734999999998</v>
      </c>
      <c r="H19" s="583">
        <f t="shared" si="16"/>
        <v>29.043901143790844</v>
      </c>
      <c r="I19" s="583">
        <f t="shared" si="16"/>
        <v>35.951942321449287</v>
      </c>
      <c r="J19" s="12"/>
    </row>
    <row r="20" spans="1:248" s="613" customFormat="1" ht="18" x14ac:dyDescent="0.25">
      <c r="A20" s="609"/>
      <c r="B20" s="614" t="s">
        <v>36</v>
      </c>
      <c r="C20" s="585">
        <f>C568</f>
        <v>112714300</v>
      </c>
      <c r="D20" s="585">
        <f>D568</f>
        <v>131296914.09999999</v>
      </c>
      <c r="E20" s="585">
        <f t="shared" ref="E20:I20" si="17">E568</f>
        <v>73172442.230000004</v>
      </c>
      <c r="F20" s="585"/>
      <c r="G20" s="585">
        <f t="shared" si="17"/>
        <v>64.918508325917827</v>
      </c>
      <c r="H20" s="585">
        <f t="shared" si="17"/>
        <v>55.730511818632309</v>
      </c>
      <c r="I20" s="585">
        <f t="shared" si="17"/>
        <v>105.29251333453517</v>
      </c>
      <c r="J20" s="615"/>
    </row>
    <row r="21" spans="1:248" s="12" customFormat="1" ht="21" customHeight="1" x14ac:dyDescent="0.25">
      <c r="A21" s="579"/>
      <c r="B21" s="579" t="s">
        <v>710</v>
      </c>
      <c r="C21" s="610">
        <f>C653</f>
        <v>27924400</v>
      </c>
      <c r="D21" s="610">
        <f>D653</f>
        <v>27924400</v>
      </c>
      <c r="E21" s="610">
        <f t="shared" ref="E21:I21" si="18">E653</f>
        <v>12791948.49</v>
      </c>
      <c r="F21" s="610"/>
      <c r="G21" s="610">
        <f t="shared" si="18"/>
        <v>45.809215202475258</v>
      </c>
      <c r="H21" s="610">
        <f t="shared" si="18"/>
        <v>45.809215202475258</v>
      </c>
      <c r="I21" s="610">
        <f t="shared" si="18"/>
        <v>96.257871315575358</v>
      </c>
    </row>
    <row r="22" spans="1:248" s="12" customFormat="1" ht="18" x14ac:dyDescent="0.25">
      <c r="A22" s="579"/>
      <c r="B22" s="579" t="s">
        <v>713</v>
      </c>
      <c r="C22" s="583">
        <f>C657</f>
        <v>35630624</v>
      </c>
      <c r="D22" s="583">
        <f>D657</f>
        <v>35630624</v>
      </c>
      <c r="E22" s="583">
        <f t="shared" ref="E22:I22" si="19">E657</f>
        <v>16644897.779999999</v>
      </c>
      <c r="F22" s="583"/>
      <c r="G22" s="583">
        <f t="shared" si="19"/>
        <v>46.71514531993602</v>
      </c>
      <c r="H22" s="583">
        <f t="shared" si="19"/>
        <v>46.71514531993602</v>
      </c>
      <c r="I22" s="583">
        <f t="shared" si="19"/>
        <v>99.786153213539365</v>
      </c>
    </row>
    <row r="23" spans="1:248" s="12" customFormat="1" ht="18" x14ac:dyDescent="0.25">
      <c r="A23" s="579"/>
      <c r="B23" s="579" t="s">
        <v>729</v>
      </c>
      <c r="C23" s="581">
        <f>C674</f>
        <v>171743160</v>
      </c>
      <c r="D23" s="581">
        <f>D674</f>
        <v>172842003.99000001</v>
      </c>
      <c r="E23" s="581">
        <f t="shared" ref="E23:I23" si="20">E674</f>
        <v>75877777.680000007</v>
      </c>
      <c r="F23" s="581"/>
      <c r="G23" s="581">
        <f t="shared" si="20"/>
        <v>44.180960499387581</v>
      </c>
      <c r="H23" s="581">
        <f t="shared" si="20"/>
        <v>43.900079800272394</v>
      </c>
      <c r="I23" s="581">
        <f t="shared" si="20"/>
        <v>100.98555029636901</v>
      </c>
    </row>
    <row r="24" spans="1:248" s="12" customFormat="1" ht="18" x14ac:dyDescent="0.25">
      <c r="A24" s="579"/>
      <c r="B24" s="579" t="s">
        <v>43</v>
      </c>
      <c r="C24" s="581">
        <f>C683</f>
        <v>17006123</v>
      </c>
      <c r="D24" s="581">
        <f>D683</f>
        <v>17065123</v>
      </c>
      <c r="E24" s="581">
        <f t="shared" ref="E24:I24" si="21">E683</f>
        <v>11539056.880000001</v>
      </c>
      <c r="F24" s="581"/>
      <c r="G24" s="581">
        <f t="shared" si="21"/>
        <v>67.852366350637368</v>
      </c>
      <c r="H24" s="581">
        <f t="shared" si="21"/>
        <v>67.617777381387768</v>
      </c>
      <c r="I24" s="581">
        <f t="shared" si="21"/>
        <v>91.451387042864724</v>
      </c>
    </row>
    <row r="25" spans="1:248" s="12" customFormat="1" ht="18" x14ac:dyDescent="0.25">
      <c r="A25" s="609"/>
      <c r="B25" s="609" t="s">
        <v>771</v>
      </c>
      <c r="C25" s="610">
        <f>C714</f>
        <v>19471500</v>
      </c>
      <c r="D25" s="610">
        <f>D714</f>
        <v>24044500</v>
      </c>
      <c r="E25" s="610">
        <f t="shared" ref="E25:I25" si="22">E714</f>
        <v>6442331.1100000003</v>
      </c>
      <c r="F25" s="610"/>
      <c r="G25" s="610">
        <f t="shared" si="22"/>
        <v>33.085951827029248</v>
      </c>
      <c r="H25" s="610">
        <f t="shared" si="22"/>
        <v>26.793366923828739</v>
      </c>
      <c r="I25" s="610">
        <f t="shared" si="22"/>
        <v>96.116022691131391</v>
      </c>
    </row>
    <row r="26" spans="1:248" s="12" customFormat="1" ht="18" x14ac:dyDescent="0.25">
      <c r="A26" s="579"/>
      <c r="B26" s="579" t="s">
        <v>1023</v>
      </c>
      <c r="C26" s="610">
        <f>C721</f>
        <v>67229000</v>
      </c>
      <c r="D26" s="610">
        <f>D721</f>
        <v>70566434</v>
      </c>
      <c r="E26" s="610">
        <f t="shared" ref="E26:I26" si="23">E721</f>
        <v>32162110.5</v>
      </c>
      <c r="F26" s="610"/>
      <c r="G26" s="610">
        <f t="shared" si="23"/>
        <v>47.839638400095197</v>
      </c>
      <c r="H26" s="610">
        <f t="shared" si="23"/>
        <v>45.577066427928045</v>
      </c>
      <c r="I26" s="610">
        <f t="shared" si="23"/>
        <v>86.387014401900302</v>
      </c>
    </row>
    <row r="27" spans="1:248" s="12" customFormat="1" ht="18" x14ac:dyDescent="0.25">
      <c r="A27" s="616"/>
      <c r="B27" s="609" t="s">
        <v>797</v>
      </c>
      <c r="C27" s="610">
        <f>C745</f>
        <v>136758000</v>
      </c>
      <c r="D27" s="610">
        <f>D745</f>
        <v>136758000</v>
      </c>
      <c r="E27" s="610">
        <f t="shared" ref="E27:I27" si="24">E745</f>
        <v>54879283.859999999</v>
      </c>
      <c r="F27" s="610"/>
      <c r="G27" s="610">
        <f t="shared" si="24"/>
        <v>40.128755802219978</v>
      </c>
      <c r="H27" s="610">
        <f t="shared" si="24"/>
        <v>40.128755802219978</v>
      </c>
      <c r="I27" s="610">
        <f t="shared" si="24"/>
        <v>100.65212094639044</v>
      </c>
    </row>
    <row r="28" spans="1:248" s="617" customFormat="1" ht="18" x14ac:dyDescent="0.25">
      <c r="A28" s="579"/>
      <c r="B28" s="579" t="s">
        <v>52</v>
      </c>
      <c r="C28" s="610">
        <f>C854</f>
        <v>350000</v>
      </c>
      <c r="D28" s="610">
        <f>D854</f>
        <v>350000</v>
      </c>
      <c r="E28" s="610">
        <f t="shared" ref="E28:I28" si="25">E854</f>
        <v>18150</v>
      </c>
      <c r="F28" s="610"/>
      <c r="G28" s="610">
        <f t="shared" si="25"/>
        <v>5.1857142857142859</v>
      </c>
      <c r="H28" s="610">
        <f t="shared" si="25"/>
        <v>5.1857142857142859</v>
      </c>
      <c r="I28" s="610">
        <f t="shared" si="25"/>
        <v>11.778066190785204</v>
      </c>
      <c r="IH28" s="611"/>
      <c r="II28" s="611"/>
      <c r="IJ28" s="611"/>
      <c r="IK28" s="611"/>
      <c r="IL28" s="611"/>
      <c r="IM28" s="611"/>
      <c r="IN28" s="611"/>
    </row>
    <row r="29" spans="1:248" s="611" customFormat="1" ht="18" x14ac:dyDescent="0.25">
      <c r="A29" s="590"/>
      <c r="B29" s="590" t="s">
        <v>54</v>
      </c>
      <c r="C29" s="618">
        <f>C862</f>
        <v>36990000</v>
      </c>
      <c r="D29" s="618">
        <f>D862</f>
        <v>81810309.319999993</v>
      </c>
      <c r="E29" s="618">
        <f t="shared" ref="E29:I29" si="26">E862</f>
        <v>50399587.770000003</v>
      </c>
      <c r="F29" s="618"/>
      <c r="G29" s="618">
        <f t="shared" si="26"/>
        <v>136.25192692619629</v>
      </c>
      <c r="H29" s="618">
        <f t="shared" si="26"/>
        <v>61.605423801617285</v>
      </c>
      <c r="I29" s="618">
        <f t="shared" si="26"/>
        <v>114.03636222103411</v>
      </c>
      <c r="J29" s="12"/>
    </row>
    <row r="30" spans="1:248" s="98" customFormat="1" ht="23.25" x14ac:dyDescent="0.35">
      <c r="A30" s="619"/>
      <c r="B30" s="619" t="s">
        <v>55</v>
      </c>
      <c r="C30" s="620">
        <f>C882</f>
        <v>1012540563</v>
      </c>
      <c r="D30" s="620">
        <f>D882</f>
        <v>1085138478.02</v>
      </c>
      <c r="E30" s="621">
        <f>E882</f>
        <v>399038392.61000001</v>
      </c>
      <c r="F30" s="622"/>
      <c r="G30" s="621">
        <f>G882</f>
        <v>39.409620433151971</v>
      </c>
      <c r="H30" s="621">
        <f>H882</f>
        <v>36.773038712819975</v>
      </c>
      <c r="I30" s="621">
        <f>I882</f>
        <v>106.01051353184567</v>
      </c>
      <c r="J30" s="1"/>
    </row>
    <row r="31" spans="1:248" ht="22.5" customHeight="1" x14ac:dyDescent="0.3">
      <c r="A31" s="623"/>
      <c r="B31" s="624" t="s">
        <v>56</v>
      </c>
      <c r="C31" s="625"/>
      <c r="D31" s="625"/>
      <c r="E31" s="626"/>
      <c r="F31" s="570"/>
      <c r="G31" s="626"/>
      <c r="H31" s="626"/>
      <c r="I31" s="627"/>
    </row>
    <row r="32" spans="1:248" s="98" customFormat="1" ht="18" x14ac:dyDescent="0.25">
      <c r="A32" s="628"/>
      <c r="B32" s="629" t="s">
        <v>57</v>
      </c>
      <c r="C32" s="630">
        <f t="shared" ref="C32:D32" si="27">SUM(C33:C44,C48:C53,C60:C64)</f>
        <v>545682000</v>
      </c>
      <c r="D32" s="630">
        <f t="shared" si="27"/>
        <v>565149250</v>
      </c>
      <c r="E32" s="631">
        <v>297417157.41000003</v>
      </c>
      <c r="F32" s="632">
        <f>SUM(E33:E44,E48:E53,E60:E64)</f>
        <v>297417157.40999997</v>
      </c>
      <c r="G32" s="631">
        <f t="shared" ref="G32:G95" si="28">E32/C32*100</f>
        <v>54.503750794418735</v>
      </c>
      <c r="H32" s="631">
        <f t="shared" ref="H32:H95" si="29">E32/D32*100</f>
        <v>52.626303124351672</v>
      </c>
      <c r="I32" s="633">
        <f t="shared" ref="I32:I95" si="30">E32/J32*100</f>
        <v>109.24957552584948</v>
      </c>
      <c r="J32" s="29">
        <v>272236442.08999997</v>
      </c>
    </row>
    <row r="33" spans="1:10" s="98" customFormat="1" ht="12.75" customHeight="1" x14ac:dyDescent="0.2">
      <c r="A33" s="634">
        <v>1111</v>
      </c>
      <c r="B33" s="635" t="s">
        <v>1024</v>
      </c>
      <c r="C33" s="636">
        <v>76180000</v>
      </c>
      <c r="D33" s="636">
        <v>76180000</v>
      </c>
      <c r="E33" s="576">
        <v>36440982.93</v>
      </c>
      <c r="F33" s="577"/>
      <c r="G33" s="636">
        <f t="shared" si="28"/>
        <v>47.835367458650566</v>
      </c>
      <c r="H33" s="637">
        <f t="shared" si="29"/>
        <v>47.835367458650566</v>
      </c>
      <c r="I33" s="638">
        <f t="shared" si="30"/>
        <v>107.56648489081277</v>
      </c>
      <c r="J33" s="29">
        <v>33877636.670000002</v>
      </c>
    </row>
    <row r="34" spans="1:10" s="98" customFormat="1" ht="12.75" customHeight="1" x14ac:dyDescent="0.2">
      <c r="A34" s="639">
        <v>1111</v>
      </c>
      <c r="B34" s="640" t="s">
        <v>1025</v>
      </c>
      <c r="C34" s="641">
        <v>7440000</v>
      </c>
      <c r="D34" s="641">
        <v>7440000</v>
      </c>
      <c r="E34" s="642">
        <v>3547633.11</v>
      </c>
      <c r="F34" s="643"/>
      <c r="G34" s="642">
        <f t="shared" si="28"/>
        <v>47.683240725806449</v>
      </c>
      <c r="H34" s="644">
        <f t="shared" si="29"/>
        <v>47.683240725806449</v>
      </c>
      <c r="I34" s="645">
        <f t="shared" si="30"/>
        <v>117.59334017679348</v>
      </c>
      <c r="J34" s="29">
        <v>3016865.67</v>
      </c>
    </row>
    <row r="35" spans="1:10" s="98" customFormat="1" ht="12.75" customHeight="1" x14ac:dyDescent="0.2">
      <c r="A35" s="639">
        <v>1112</v>
      </c>
      <c r="B35" s="640" t="s">
        <v>1026</v>
      </c>
      <c r="C35" s="641">
        <v>5470000</v>
      </c>
      <c r="D35" s="641">
        <v>5470000</v>
      </c>
      <c r="E35" s="646">
        <v>1107346.28</v>
      </c>
      <c r="F35" s="647"/>
      <c r="G35" s="642">
        <f t="shared" si="28"/>
        <v>20.243990493601462</v>
      </c>
      <c r="H35" s="644">
        <f t="shared" si="29"/>
        <v>20.243990493601462</v>
      </c>
      <c r="I35" s="645">
        <f t="shared" si="30"/>
        <v>98.250606299266039</v>
      </c>
      <c r="J35" s="29">
        <v>1127063.05</v>
      </c>
    </row>
    <row r="36" spans="1:10" s="98" customFormat="1" ht="12.75" customHeight="1" x14ac:dyDescent="0.2">
      <c r="A36" s="639">
        <v>1113</v>
      </c>
      <c r="B36" s="640" t="s">
        <v>1027</v>
      </c>
      <c r="C36" s="641">
        <v>14850000</v>
      </c>
      <c r="D36" s="641">
        <v>14850000</v>
      </c>
      <c r="E36" s="646">
        <v>8200204.9000000004</v>
      </c>
      <c r="F36" s="647"/>
      <c r="G36" s="642">
        <f t="shared" si="28"/>
        <v>55.220235016835019</v>
      </c>
      <c r="H36" s="644">
        <f t="shared" si="29"/>
        <v>55.220235016835019</v>
      </c>
      <c r="I36" s="645">
        <f t="shared" si="30"/>
        <v>104.69425820258793</v>
      </c>
      <c r="J36" s="29">
        <v>7832525.9100000001</v>
      </c>
    </row>
    <row r="37" spans="1:10" s="98" customFormat="1" ht="12.75" customHeight="1" x14ac:dyDescent="0.2">
      <c r="A37" s="639">
        <v>1121</v>
      </c>
      <c r="B37" s="640" t="s">
        <v>1028</v>
      </c>
      <c r="C37" s="641">
        <f>119931345-1345</f>
        <v>119930000</v>
      </c>
      <c r="D37" s="641">
        <f>119931345-1345</f>
        <v>119930000</v>
      </c>
      <c r="E37" s="646">
        <v>45151912.600000001</v>
      </c>
      <c r="F37" s="647"/>
      <c r="G37" s="642">
        <f t="shared" si="28"/>
        <v>37.648555490702911</v>
      </c>
      <c r="H37" s="644">
        <f t="shared" si="29"/>
        <v>37.648555490702911</v>
      </c>
      <c r="I37" s="645">
        <f t="shared" si="30"/>
        <v>97.599450829445871</v>
      </c>
      <c r="J37" s="29">
        <v>46262465.840000004</v>
      </c>
    </row>
    <row r="38" spans="1:10" s="98" customFormat="1" ht="25.5" customHeight="1" x14ac:dyDescent="0.2">
      <c r="A38" s="639">
        <v>1122</v>
      </c>
      <c r="B38" s="648" t="s">
        <v>1029</v>
      </c>
      <c r="C38" s="649">
        <v>30000000</v>
      </c>
      <c r="D38" s="649">
        <f>30000000+16435050</f>
        <v>46435050</v>
      </c>
      <c r="E38" s="649">
        <v>46435050</v>
      </c>
      <c r="F38" s="650"/>
      <c r="G38" s="642">
        <f t="shared" si="28"/>
        <v>154.7835</v>
      </c>
      <c r="H38" s="644">
        <f t="shared" si="29"/>
        <v>100</v>
      </c>
      <c r="I38" s="651">
        <f t="shared" si="30"/>
        <v>155.04345619488674</v>
      </c>
      <c r="J38" s="29">
        <v>29949700</v>
      </c>
    </row>
    <row r="39" spans="1:10" s="98" customFormat="1" ht="12.75" customHeight="1" x14ac:dyDescent="0.2">
      <c r="A39" s="639">
        <v>1211</v>
      </c>
      <c r="B39" s="640" t="s">
        <v>1030</v>
      </c>
      <c r="C39" s="646">
        <v>233630000</v>
      </c>
      <c r="D39" s="646">
        <v>233630000</v>
      </c>
      <c r="E39" s="646">
        <v>109432940.09</v>
      </c>
      <c r="F39" s="647"/>
      <c r="G39" s="642">
        <f t="shared" si="28"/>
        <v>46.840277400162648</v>
      </c>
      <c r="H39" s="644">
        <f t="shared" si="29"/>
        <v>46.840277400162648</v>
      </c>
      <c r="I39" s="645">
        <f t="shared" si="30"/>
        <v>98.421137222765253</v>
      </c>
      <c r="J39" s="29">
        <v>111188453.19</v>
      </c>
    </row>
    <row r="40" spans="1:10" s="98" customFormat="1" ht="25.5" x14ac:dyDescent="0.2">
      <c r="A40" s="639">
        <v>1334</v>
      </c>
      <c r="B40" s="648" t="s">
        <v>1031</v>
      </c>
      <c r="C40" s="652">
        <v>50000</v>
      </c>
      <c r="D40" s="652">
        <v>50000</v>
      </c>
      <c r="E40" s="652">
        <v>21778.7</v>
      </c>
      <c r="F40" s="653"/>
      <c r="G40" s="642">
        <f t="shared" si="28"/>
        <v>43.557400000000001</v>
      </c>
      <c r="H40" s="644">
        <f t="shared" si="29"/>
        <v>43.557400000000001</v>
      </c>
      <c r="I40" s="651">
        <f t="shared" si="30"/>
        <v>55.513865275253558</v>
      </c>
      <c r="J40" s="654">
        <v>39231.1</v>
      </c>
    </row>
    <row r="41" spans="1:10" s="98" customFormat="1" x14ac:dyDescent="0.2">
      <c r="A41" s="639">
        <v>1335</v>
      </c>
      <c r="B41" s="640" t="s">
        <v>1032</v>
      </c>
      <c r="C41" s="652">
        <v>2000</v>
      </c>
      <c r="D41" s="652">
        <v>2000</v>
      </c>
      <c r="E41" s="652">
        <v>2133.88</v>
      </c>
      <c r="F41" s="653"/>
      <c r="G41" s="642">
        <f t="shared" si="28"/>
        <v>106.694</v>
      </c>
      <c r="H41" s="644">
        <f t="shared" si="29"/>
        <v>106.694</v>
      </c>
      <c r="I41" s="645">
        <f t="shared" si="30"/>
        <v>120.01304807540889</v>
      </c>
      <c r="J41" s="29">
        <v>1778.04</v>
      </c>
    </row>
    <row r="42" spans="1:10" s="98" customFormat="1" x14ac:dyDescent="0.2">
      <c r="A42" s="639">
        <v>1336</v>
      </c>
      <c r="B42" s="640" t="s">
        <v>1033</v>
      </c>
      <c r="C42" s="652">
        <v>0</v>
      </c>
      <c r="D42" s="652">
        <f>32200</f>
        <v>32200</v>
      </c>
      <c r="E42" s="652">
        <v>32200</v>
      </c>
      <c r="F42" s="653"/>
      <c r="G42" s="642">
        <v>0</v>
      </c>
      <c r="H42" s="644">
        <f t="shared" si="29"/>
        <v>100</v>
      </c>
      <c r="I42" s="645">
        <f t="shared" si="30"/>
        <v>383.33333333333337</v>
      </c>
      <c r="J42" s="29">
        <v>8400</v>
      </c>
    </row>
    <row r="43" spans="1:10" s="98" customFormat="1" x14ac:dyDescent="0.2">
      <c r="A43" s="639">
        <v>1341</v>
      </c>
      <c r="B43" s="640" t="s">
        <v>1034</v>
      </c>
      <c r="C43" s="652">
        <v>600000</v>
      </c>
      <c r="D43" s="652">
        <v>600000</v>
      </c>
      <c r="E43" s="652">
        <v>515336.37</v>
      </c>
      <c r="F43" s="653"/>
      <c r="G43" s="642">
        <f t="shared" si="28"/>
        <v>85.889395000000007</v>
      </c>
      <c r="H43" s="644">
        <f t="shared" si="29"/>
        <v>85.889395000000007</v>
      </c>
      <c r="I43" s="645">
        <f t="shared" si="30"/>
        <v>94.371936276024641</v>
      </c>
      <c r="J43" s="29">
        <v>546069.51</v>
      </c>
    </row>
    <row r="44" spans="1:10" s="98" customFormat="1" x14ac:dyDescent="0.2">
      <c r="A44" s="639">
        <v>1343</v>
      </c>
      <c r="B44" s="640" t="s">
        <v>1035</v>
      </c>
      <c r="C44" s="655">
        <f t="shared" ref="C44:D44" si="31">SUM(C45:C47)</f>
        <v>425000</v>
      </c>
      <c r="D44" s="655">
        <f t="shared" si="31"/>
        <v>425000</v>
      </c>
      <c r="E44" s="655">
        <v>185634</v>
      </c>
      <c r="F44" s="656">
        <f>SUM(E45:E47)</f>
        <v>185634</v>
      </c>
      <c r="G44" s="642">
        <f t="shared" si="28"/>
        <v>43.678588235294121</v>
      </c>
      <c r="H44" s="644">
        <f t="shared" si="29"/>
        <v>43.678588235294121</v>
      </c>
      <c r="I44" s="645">
        <f t="shared" si="30"/>
        <v>63.604436419205292</v>
      </c>
      <c r="J44" s="29">
        <v>291857</v>
      </c>
    </row>
    <row r="45" spans="1:10" x14ac:dyDescent="0.2">
      <c r="A45" s="657"/>
      <c r="B45" s="658" t="s">
        <v>1036</v>
      </c>
      <c r="C45" s="653">
        <v>250000</v>
      </c>
      <c r="D45" s="653">
        <v>250000</v>
      </c>
      <c r="E45" s="653">
        <v>137758</v>
      </c>
      <c r="F45" s="653"/>
      <c r="G45" s="643">
        <f t="shared" si="28"/>
        <v>55.103199999999994</v>
      </c>
      <c r="H45" s="659">
        <f t="shared" si="29"/>
        <v>55.103199999999994</v>
      </c>
      <c r="I45" s="660">
        <f t="shared" si="30"/>
        <v>65.134730043452151</v>
      </c>
      <c r="J45" s="29">
        <v>211497</v>
      </c>
    </row>
    <row r="46" spans="1:10" x14ac:dyDescent="0.2">
      <c r="A46" s="661"/>
      <c r="B46" s="658" t="s">
        <v>1037</v>
      </c>
      <c r="C46" s="653">
        <v>90000</v>
      </c>
      <c r="D46" s="653">
        <v>90000</v>
      </c>
      <c r="E46" s="653">
        <v>18502</v>
      </c>
      <c r="F46" s="653"/>
      <c r="G46" s="643">
        <f t="shared" si="28"/>
        <v>20.557777777777776</v>
      </c>
      <c r="H46" s="659">
        <f t="shared" si="29"/>
        <v>20.557777777777776</v>
      </c>
      <c r="I46" s="660">
        <f t="shared" si="30"/>
        <v>467.22222222222223</v>
      </c>
      <c r="J46" s="29">
        <v>3960</v>
      </c>
    </row>
    <row r="47" spans="1:10" x14ac:dyDescent="0.2">
      <c r="A47" s="661"/>
      <c r="B47" s="658" t="s">
        <v>1038</v>
      </c>
      <c r="C47" s="653">
        <v>85000</v>
      </c>
      <c r="D47" s="653">
        <v>85000</v>
      </c>
      <c r="E47" s="653">
        <v>29374</v>
      </c>
      <c r="F47" s="653"/>
      <c r="G47" s="643">
        <f t="shared" si="28"/>
        <v>34.557647058823534</v>
      </c>
      <c r="H47" s="659">
        <f t="shared" si="29"/>
        <v>34.557647058823534</v>
      </c>
      <c r="I47" s="660">
        <f t="shared" si="30"/>
        <v>38.447643979057595</v>
      </c>
      <c r="J47" s="29">
        <v>76400</v>
      </c>
    </row>
    <row r="48" spans="1:10" ht="25.5" x14ac:dyDescent="0.2">
      <c r="A48" s="662">
        <v>1345</v>
      </c>
      <c r="B48" s="648" t="s">
        <v>1039</v>
      </c>
      <c r="C48" s="652">
        <v>17500000</v>
      </c>
      <c r="D48" s="652">
        <v>17500000</v>
      </c>
      <c r="E48" s="652">
        <v>14788057.289999999</v>
      </c>
      <c r="F48" s="653"/>
      <c r="G48" s="642">
        <f t="shared" si="28"/>
        <v>84.503184514285707</v>
      </c>
      <c r="H48" s="644">
        <f t="shared" si="29"/>
        <v>84.503184514285707</v>
      </c>
      <c r="I48" s="651">
        <f t="shared" si="30"/>
        <v>133.50032325270021</v>
      </c>
      <c r="J48" s="654">
        <v>11077169.65</v>
      </c>
    </row>
    <row r="49" spans="1:1568" s="98" customFormat="1" ht="24.75" x14ac:dyDescent="0.2">
      <c r="A49" s="639">
        <v>1346</v>
      </c>
      <c r="B49" s="648" t="s">
        <v>1040</v>
      </c>
      <c r="C49" s="652">
        <v>180000</v>
      </c>
      <c r="D49" s="652">
        <v>180000</v>
      </c>
      <c r="E49" s="652">
        <v>150600</v>
      </c>
      <c r="F49" s="653"/>
      <c r="G49" s="642">
        <f t="shared" si="28"/>
        <v>83.666666666666671</v>
      </c>
      <c r="H49" s="644">
        <f t="shared" si="29"/>
        <v>83.666666666666671</v>
      </c>
      <c r="I49" s="651">
        <f t="shared" si="30"/>
        <v>85.132843414358391</v>
      </c>
      <c r="J49" s="654">
        <v>176900</v>
      </c>
    </row>
    <row r="50" spans="1:1568" s="98" customFormat="1" x14ac:dyDescent="0.2">
      <c r="A50" s="639">
        <v>1353</v>
      </c>
      <c r="B50" s="640" t="s">
        <v>1041</v>
      </c>
      <c r="C50" s="663">
        <v>750000</v>
      </c>
      <c r="D50" s="663">
        <v>750000</v>
      </c>
      <c r="E50" s="652">
        <v>538600</v>
      </c>
      <c r="F50" s="653"/>
      <c r="G50" s="642">
        <f t="shared" si="28"/>
        <v>71.813333333333333</v>
      </c>
      <c r="H50" s="644">
        <f t="shared" si="29"/>
        <v>71.813333333333333</v>
      </c>
      <c r="I50" s="645">
        <f t="shared" si="30"/>
        <v>135.66750629722921</v>
      </c>
      <c r="J50" s="29">
        <v>397000</v>
      </c>
    </row>
    <row r="51" spans="1:1568" s="98" customFormat="1" ht="12.75" customHeight="1" x14ac:dyDescent="0.2">
      <c r="A51" s="639">
        <v>1356</v>
      </c>
      <c r="B51" s="640" t="s">
        <v>1042</v>
      </c>
      <c r="C51" s="649">
        <v>250000</v>
      </c>
      <c r="D51" s="649">
        <v>250000</v>
      </c>
      <c r="E51" s="652">
        <v>242547.84</v>
      </c>
      <c r="F51" s="650"/>
      <c r="G51" s="642">
        <f t="shared" si="28"/>
        <v>97.019135999999989</v>
      </c>
      <c r="H51" s="644">
        <f t="shared" si="29"/>
        <v>97.019135999999989</v>
      </c>
      <c r="I51" s="645">
        <f t="shared" si="30"/>
        <v>100</v>
      </c>
      <c r="J51" s="29">
        <v>242547.84</v>
      </c>
    </row>
    <row r="52" spans="1:1568" s="98" customFormat="1" ht="12.75" customHeight="1" x14ac:dyDescent="0.2">
      <c r="A52" s="639">
        <v>1359</v>
      </c>
      <c r="B52" s="640" t="s">
        <v>1043</v>
      </c>
      <c r="C52" s="649">
        <v>0</v>
      </c>
      <c r="D52" s="649">
        <v>0</v>
      </c>
      <c r="E52" s="649">
        <v>6000</v>
      </c>
      <c r="F52" s="650"/>
      <c r="G52" s="642">
        <v>0</v>
      </c>
      <c r="H52" s="644">
        <v>0</v>
      </c>
      <c r="I52" s="645">
        <f t="shared" si="30"/>
        <v>66.666666666666657</v>
      </c>
      <c r="J52" s="29">
        <v>9000</v>
      </c>
    </row>
    <row r="53" spans="1:1568" s="98" customFormat="1" ht="12.75" customHeight="1" x14ac:dyDescent="0.2">
      <c r="A53" s="639">
        <v>1361</v>
      </c>
      <c r="B53" s="640" t="s">
        <v>1044</v>
      </c>
      <c r="C53" s="655">
        <f t="shared" ref="C53:D53" si="32">SUM(C54:C59)</f>
        <v>8825000</v>
      </c>
      <c r="D53" s="655">
        <f t="shared" si="32"/>
        <v>8825000</v>
      </c>
      <c r="E53" s="649">
        <v>6152465</v>
      </c>
      <c r="F53" s="656">
        <f>SUM(E54:E59)</f>
        <v>6152465</v>
      </c>
      <c r="G53" s="642">
        <f t="shared" si="28"/>
        <v>69.716317280453254</v>
      </c>
      <c r="H53" s="644">
        <f t="shared" si="29"/>
        <v>69.716317280453254</v>
      </c>
      <c r="I53" s="645">
        <f t="shared" si="30"/>
        <v>103.20036164363341</v>
      </c>
      <c r="J53" s="29">
        <v>5961670</v>
      </c>
    </row>
    <row r="54" spans="1:1568" ht="12.75" customHeight="1" x14ac:dyDescent="0.2">
      <c r="A54" s="661"/>
      <c r="B54" s="658" t="s">
        <v>1045</v>
      </c>
      <c r="C54" s="653">
        <v>5500000</v>
      </c>
      <c r="D54" s="653">
        <v>5500000</v>
      </c>
      <c r="E54" s="656">
        <v>3522120</v>
      </c>
      <c r="F54" s="653"/>
      <c r="G54" s="643">
        <f t="shared" si="28"/>
        <v>64.038545454545456</v>
      </c>
      <c r="H54" s="659">
        <f t="shared" si="29"/>
        <v>64.038545454545456</v>
      </c>
      <c r="I54" s="664">
        <f t="shared" si="30"/>
        <v>102.57013598379667</v>
      </c>
      <c r="J54" s="29">
        <v>3433865</v>
      </c>
    </row>
    <row r="55" spans="1:1568" ht="27.75" customHeight="1" x14ac:dyDescent="0.2">
      <c r="A55" s="665"/>
      <c r="B55" s="666" t="s">
        <v>1046</v>
      </c>
      <c r="C55" s="653">
        <v>416000</v>
      </c>
      <c r="D55" s="653">
        <v>416000</v>
      </c>
      <c r="E55" s="653">
        <v>274260</v>
      </c>
      <c r="F55" s="653"/>
      <c r="G55" s="643">
        <f t="shared" si="28"/>
        <v>65.927884615384613</v>
      </c>
      <c r="H55" s="659">
        <f t="shared" si="29"/>
        <v>65.927884615384613</v>
      </c>
      <c r="I55" s="664">
        <f t="shared" si="30"/>
        <v>101.62482630847616</v>
      </c>
      <c r="J55" s="654">
        <v>269875</v>
      </c>
    </row>
    <row r="56" spans="1:1568" ht="12.75" customHeight="1" x14ac:dyDescent="0.2">
      <c r="A56" s="661"/>
      <c r="B56" s="658" t="s">
        <v>1047</v>
      </c>
      <c r="C56" s="653">
        <v>1000000</v>
      </c>
      <c r="D56" s="653">
        <v>1000000</v>
      </c>
      <c r="E56" s="653">
        <v>603750</v>
      </c>
      <c r="F56" s="650"/>
      <c r="G56" s="643">
        <f t="shared" si="28"/>
        <v>60.375</v>
      </c>
      <c r="H56" s="659">
        <f t="shared" si="29"/>
        <v>60.375</v>
      </c>
      <c r="I56" s="660">
        <f t="shared" si="30"/>
        <v>92.741935483870961</v>
      </c>
      <c r="J56" s="29">
        <v>651000</v>
      </c>
    </row>
    <row r="57" spans="1:1568" s="126" customFormat="1" ht="24" customHeight="1" x14ac:dyDescent="0.2">
      <c r="A57" s="657"/>
      <c r="B57" s="666" t="s">
        <v>1048</v>
      </c>
      <c r="C57" s="650">
        <v>1719000</v>
      </c>
      <c r="D57" s="650">
        <v>1719000</v>
      </c>
      <c r="E57" s="650">
        <v>1611860</v>
      </c>
      <c r="F57" s="650"/>
      <c r="G57" s="643">
        <f t="shared" si="28"/>
        <v>93.767306573589295</v>
      </c>
      <c r="H57" s="659">
        <f t="shared" si="29"/>
        <v>93.767306573589295</v>
      </c>
      <c r="I57" s="664">
        <f t="shared" si="30"/>
        <v>110.7975089016896</v>
      </c>
      <c r="J57" s="654">
        <v>1454780</v>
      </c>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c r="AML57" s="1"/>
      <c r="AMM57" s="1"/>
      <c r="AMN57" s="1"/>
      <c r="AMO57" s="1"/>
      <c r="AMP57" s="1"/>
      <c r="AMQ57" s="1"/>
      <c r="AMR57" s="1"/>
      <c r="AMS57" s="1"/>
      <c r="AMT57" s="1"/>
      <c r="AMU57" s="1"/>
      <c r="AMV57" s="1"/>
      <c r="AMW57" s="1"/>
      <c r="AMX57" s="1"/>
      <c r="AMY57" s="1"/>
      <c r="AMZ57" s="1"/>
      <c r="ANA57" s="1"/>
      <c r="ANB57" s="1"/>
      <c r="ANC57" s="1"/>
      <c r="AND57" s="1"/>
      <c r="ANE57" s="1"/>
      <c r="ANF57" s="1"/>
      <c r="ANG57" s="1"/>
      <c r="ANH57" s="1"/>
      <c r="ANI57" s="1"/>
      <c r="ANJ57" s="1"/>
      <c r="ANK57" s="1"/>
      <c r="ANL57" s="1"/>
      <c r="ANM57" s="1"/>
      <c r="ANN57" s="1"/>
      <c r="ANO57" s="1"/>
      <c r="ANP57" s="1"/>
      <c r="ANQ57" s="1"/>
      <c r="ANR57" s="1"/>
      <c r="ANS57" s="1"/>
      <c r="ANT57" s="1"/>
      <c r="ANU57" s="1"/>
      <c r="ANV57" s="1"/>
      <c r="ANW57" s="1"/>
      <c r="ANX57" s="1"/>
      <c r="ANY57" s="1"/>
      <c r="ANZ57" s="1"/>
      <c r="AOA57" s="1"/>
      <c r="AOB57" s="1"/>
      <c r="AOC57" s="1"/>
      <c r="AOD57" s="1"/>
      <c r="AOE57" s="1"/>
      <c r="AOF57" s="1"/>
      <c r="AOG57" s="1"/>
      <c r="AOH57" s="1"/>
      <c r="AOI57" s="1"/>
      <c r="AOJ57" s="1"/>
      <c r="AOK57" s="1"/>
      <c r="AOL57" s="1"/>
      <c r="AOM57" s="1"/>
      <c r="AON57" s="1"/>
      <c r="AOO57" s="1"/>
      <c r="AOP57" s="1"/>
      <c r="AOQ57" s="1"/>
      <c r="AOR57" s="1"/>
      <c r="AOS57" s="1"/>
      <c r="AOT57" s="1"/>
      <c r="AOU57" s="1"/>
      <c r="AOV57" s="1"/>
      <c r="AOW57" s="1"/>
      <c r="AOX57" s="1"/>
      <c r="AOY57" s="1"/>
      <c r="AOZ57" s="1"/>
      <c r="APA57" s="1"/>
      <c r="APB57" s="1"/>
      <c r="APC57" s="1"/>
      <c r="APD57" s="1"/>
      <c r="APE57" s="1"/>
      <c r="APF57" s="1"/>
      <c r="APG57" s="1"/>
      <c r="APH57" s="1"/>
      <c r="API57" s="1"/>
      <c r="APJ57" s="1"/>
      <c r="APK57" s="1"/>
      <c r="APL57" s="1"/>
      <c r="APM57" s="1"/>
      <c r="APN57" s="1"/>
      <c r="APO57" s="1"/>
      <c r="APP57" s="1"/>
      <c r="APQ57" s="1"/>
      <c r="APR57" s="1"/>
      <c r="APS57" s="1"/>
      <c r="APT57" s="1"/>
      <c r="APU57" s="1"/>
      <c r="APV57" s="1"/>
      <c r="APW57" s="1"/>
      <c r="APX57" s="1"/>
      <c r="APY57" s="1"/>
      <c r="APZ57" s="1"/>
      <c r="AQA57" s="1"/>
      <c r="AQB57" s="1"/>
      <c r="AQC57" s="1"/>
      <c r="AQD57" s="1"/>
      <c r="AQE57" s="1"/>
      <c r="AQF57" s="1"/>
      <c r="AQG57" s="1"/>
      <c r="AQH57" s="1"/>
      <c r="AQI57" s="1"/>
      <c r="AQJ57" s="1"/>
      <c r="AQK57" s="1"/>
      <c r="AQL57" s="1"/>
      <c r="AQM57" s="1"/>
      <c r="AQN57" s="1"/>
      <c r="AQO57" s="1"/>
      <c r="AQP57" s="1"/>
      <c r="AQQ57" s="1"/>
      <c r="AQR57" s="1"/>
      <c r="AQS57" s="1"/>
      <c r="AQT57" s="1"/>
      <c r="AQU57" s="1"/>
      <c r="AQV57" s="1"/>
      <c r="AQW57" s="1"/>
      <c r="AQX57" s="1"/>
      <c r="AQY57" s="1"/>
      <c r="AQZ57" s="1"/>
      <c r="ARA57" s="1"/>
      <c r="ARB57" s="1"/>
      <c r="ARC57" s="1"/>
      <c r="ARD57" s="1"/>
      <c r="ARE57" s="1"/>
      <c r="ARF57" s="1"/>
      <c r="ARG57" s="1"/>
      <c r="ARH57" s="1"/>
      <c r="ARI57" s="1"/>
      <c r="ARJ57" s="1"/>
      <c r="ARK57" s="1"/>
      <c r="ARL57" s="1"/>
      <c r="ARM57" s="1"/>
      <c r="ARN57" s="1"/>
      <c r="ARO57" s="1"/>
      <c r="ARP57" s="1"/>
      <c r="ARQ57" s="1"/>
      <c r="ARR57" s="1"/>
      <c r="ARS57" s="1"/>
      <c r="ART57" s="1"/>
      <c r="ARU57" s="1"/>
      <c r="ARV57" s="1"/>
      <c r="ARW57" s="1"/>
      <c r="ARX57" s="1"/>
      <c r="ARY57" s="1"/>
      <c r="ARZ57" s="1"/>
      <c r="ASA57" s="1"/>
      <c r="ASB57" s="1"/>
      <c r="ASC57" s="1"/>
      <c r="ASD57" s="1"/>
      <c r="ASE57" s="1"/>
      <c r="ASF57" s="1"/>
      <c r="ASG57" s="1"/>
      <c r="ASH57" s="1"/>
      <c r="ASI57" s="1"/>
      <c r="ASJ57" s="1"/>
      <c r="ASK57" s="1"/>
      <c r="ASL57" s="1"/>
      <c r="ASM57" s="1"/>
      <c r="ASN57" s="1"/>
      <c r="ASO57" s="1"/>
      <c r="ASP57" s="1"/>
      <c r="ASQ57" s="1"/>
      <c r="ASR57" s="1"/>
      <c r="ASS57" s="1"/>
      <c r="AST57" s="1"/>
      <c r="ASU57" s="1"/>
      <c r="ASV57" s="1"/>
      <c r="ASW57" s="1"/>
      <c r="ASX57" s="1"/>
      <c r="ASY57" s="1"/>
      <c r="ASZ57" s="1"/>
      <c r="ATA57" s="1"/>
      <c r="ATB57" s="1"/>
      <c r="ATC57" s="1"/>
      <c r="ATD57" s="1"/>
      <c r="ATE57" s="1"/>
      <c r="ATF57" s="1"/>
      <c r="ATG57" s="1"/>
      <c r="ATH57" s="1"/>
      <c r="ATI57" s="1"/>
      <c r="ATJ57" s="1"/>
      <c r="ATK57" s="1"/>
      <c r="ATL57" s="1"/>
      <c r="ATM57" s="1"/>
      <c r="ATN57" s="1"/>
      <c r="ATO57" s="1"/>
      <c r="ATP57" s="1"/>
      <c r="ATQ57" s="1"/>
      <c r="ATR57" s="1"/>
      <c r="ATS57" s="1"/>
      <c r="ATT57" s="1"/>
      <c r="ATU57" s="1"/>
      <c r="ATV57" s="1"/>
      <c r="ATW57" s="1"/>
      <c r="ATX57" s="1"/>
      <c r="ATY57" s="1"/>
      <c r="ATZ57" s="1"/>
      <c r="AUA57" s="1"/>
      <c r="AUB57" s="1"/>
      <c r="AUC57" s="1"/>
      <c r="AUD57" s="1"/>
      <c r="AUE57" s="1"/>
      <c r="AUF57" s="1"/>
      <c r="AUG57" s="1"/>
      <c r="AUH57" s="1"/>
      <c r="AUI57" s="1"/>
      <c r="AUJ57" s="1"/>
      <c r="AUK57" s="1"/>
      <c r="AUL57" s="1"/>
      <c r="AUM57" s="1"/>
      <c r="AUN57" s="1"/>
      <c r="AUO57" s="1"/>
      <c r="AUP57" s="1"/>
      <c r="AUQ57" s="1"/>
      <c r="AUR57" s="1"/>
      <c r="AUS57" s="1"/>
      <c r="AUT57" s="1"/>
      <c r="AUU57" s="1"/>
      <c r="AUV57" s="1"/>
      <c r="AUW57" s="1"/>
      <c r="AUX57" s="1"/>
      <c r="AUY57" s="1"/>
      <c r="AUZ57" s="1"/>
      <c r="AVA57" s="1"/>
      <c r="AVB57" s="1"/>
      <c r="AVC57" s="1"/>
      <c r="AVD57" s="1"/>
      <c r="AVE57" s="1"/>
      <c r="AVF57" s="1"/>
      <c r="AVG57" s="1"/>
      <c r="AVH57" s="1"/>
      <c r="AVI57" s="1"/>
      <c r="AVJ57" s="1"/>
      <c r="AVK57" s="1"/>
      <c r="AVL57" s="1"/>
      <c r="AVM57" s="1"/>
      <c r="AVN57" s="1"/>
      <c r="AVO57" s="1"/>
      <c r="AVP57" s="1"/>
      <c r="AVQ57" s="1"/>
      <c r="AVR57" s="1"/>
      <c r="AVS57" s="1"/>
      <c r="AVT57" s="1"/>
      <c r="AVU57" s="1"/>
      <c r="AVV57" s="1"/>
      <c r="AVW57" s="1"/>
      <c r="AVX57" s="1"/>
      <c r="AVY57" s="1"/>
      <c r="AVZ57" s="1"/>
      <c r="AWA57" s="1"/>
      <c r="AWB57" s="1"/>
      <c r="AWC57" s="1"/>
      <c r="AWD57" s="1"/>
      <c r="AWE57" s="1"/>
      <c r="AWF57" s="1"/>
      <c r="AWG57" s="1"/>
      <c r="AWH57" s="1"/>
      <c r="AWI57" s="1"/>
      <c r="AWJ57" s="1"/>
      <c r="AWK57" s="1"/>
      <c r="AWL57" s="1"/>
      <c r="AWM57" s="1"/>
      <c r="AWN57" s="1"/>
      <c r="AWO57" s="1"/>
      <c r="AWP57" s="1"/>
      <c r="AWQ57" s="1"/>
      <c r="AWR57" s="1"/>
      <c r="AWS57" s="1"/>
      <c r="AWT57" s="1"/>
      <c r="AWU57" s="1"/>
      <c r="AWV57" s="1"/>
      <c r="AWW57" s="1"/>
      <c r="AWX57" s="1"/>
      <c r="AWY57" s="1"/>
      <c r="AWZ57" s="1"/>
      <c r="AXA57" s="1"/>
      <c r="AXB57" s="1"/>
      <c r="AXC57" s="1"/>
      <c r="AXD57" s="1"/>
      <c r="AXE57" s="1"/>
      <c r="AXF57" s="1"/>
      <c r="AXG57" s="1"/>
      <c r="AXH57" s="1"/>
      <c r="AXI57" s="1"/>
      <c r="AXJ57" s="1"/>
      <c r="AXK57" s="1"/>
      <c r="AXL57" s="1"/>
      <c r="AXM57" s="1"/>
      <c r="AXN57" s="1"/>
      <c r="AXO57" s="1"/>
      <c r="AXP57" s="1"/>
      <c r="AXQ57" s="1"/>
      <c r="AXR57" s="1"/>
      <c r="AXS57" s="1"/>
      <c r="AXT57" s="1"/>
      <c r="AXU57" s="1"/>
      <c r="AXV57" s="1"/>
      <c r="AXW57" s="1"/>
      <c r="AXX57" s="1"/>
      <c r="AXY57" s="1"/>
      <c r="AXZ57" s="1"/>
      <c r="AYA57" s="1"/>
      <c r="AYB57" s="1"/>
      <c r="AYC57" s="1"/>
      <c r="AYD57" s="1"/>
      <c r="AYE57" s="1"/>
      <c r="AYF57" s="1"/>
      <c r="AYG57" s="1"/>
      <c r="AYH57" s="1"/>
      <c r="AYI57" s="1"/>
      <c r="AYJ57" s="1"/>
      <c r="AYK57" s="1"/>
      <c r="AYL57" s="1"/>
      <c r="AYM57" s="1"/>
      <c r="AYN57" s="1"/>
      <c r="AYO57" s="1"/>
      <c r="AYP57" s="1"/>
      <c r="AYQ57" s="1"/>
      <c r="AYR57" s="1"/>
      <c r="AYS57" s="1"/>
      <c r="AYT57" s="1"/>
      <c r="AYU57" s="1"/>
      <c r="AYV57" s="1"/>
      <c r="AYW57" s="1"/>
      <c r="AYX57" s="1"/>
      <c r="AYY57" s="1"/>
      <c r="AYZ57" s="1"/>
      <c r="AZA57" s="1"/>
      <c r="AZB57" s="1"/>
      <c r="AZC57" s="1"/>
      <c r="AZD57" s="1"/>
      <c r="AZE57" s="1"/>
      <c r="AZF57" s="1"/>
      <c r="AZG57" s="1"/>
      <c r="AZH57" s="1"/>
      <c r="AZI57" s="1"/>
      <c r="AZJ57" s="1"/>
      <c r="AZK57" s="1"/>
      <c r="AZL57" s="1"/>
      <c r="AZM57" s="1"/>
      <c r="AZN57" s="1"/>
      <c r="AZO57" s="1"/>
      <c r="AZP57" s="1"/>
      <c r="AZQ57" s="1"/>
      <c r="AZR57" s="1"/>
      <c r="AZS57" s="1"/>
      <c r="AZT57" s="1"/>
      <c r="AZU57" s="1"/>
      <c r="AZV57" s="1"/>
      <c r="AZW57" s="1"/>
      <c r="AZX57" s="1"/>
      <c r="AZY57" s="1"/>
      <c r="AZZ57" s="1"/>
      <c r="BAA57" s="1"/>
      <c r="BAB57" s="1"/>
      <c r="BAC57" s="1"/>
      <c r="BAD57" s="1"/>
      <c r="BAE57" s="1"/>
      <c r="BAF57" s="1"/>
      <c r="BAG57" s="1"/>
      <c r="BAH57" s="1"/>
      <c r="BAI57" s="1"/>
      <c r="BAJ57" s="1"/>
      <c r="BAK57" s="1"/>
      <c r="BAL57" s="1"/>
      <c r="BAM57" s="1"/>
      <c r="BAN57" s="1"/>
      <c r="BAO57" s="1"/>
      <c r="BAP57" s="1"/>
      <c r="BAQ57" s="1"/>
      <c r="BAR57" s="1"/>
      <c r="BAS57" s="1"/>
      <c r="BAT57" s="1"/>
      <c r="BAU57" s="1"/>
      <c r="BAV57" s="1"/>
      <c r="BAW57" s="1"/>
      <c r="BAX57" s="1"/>
      <c r="BAY57" s="1"/>
      <c r="BAZ57" s="1"/>
      <c r="BBA57" s="1"/>
      <c r="BBB57" s="1"/>
      <c r="BBC57" s="1"/>
      <c r="BBD57" s="1"/>
      <c r="BBE57" s="1"/>
      <c r="BBF57" s="1"/>
      <c r="BBG57" s="1"/>
      <c r="BBH57" s="1"/>
      <c r="BBI57" s="1"/>
      <c r="BBJ57" s="1"/>
      <c r="BBK57" s="1"/>
      <c r="BBL57" s="1"/>
      <c r="BBM57" s="1"/>
      <c r="BBN57" s="1"/>
      <c r="BBO57" s="1"/>
      <c r="BBP57" s="1"/>
      <c r="BBQ57" s="1"/>
      <c r="BBR57" s="1"/>
      <c r="BBS57" s="1"/>
      <c r="BBT57" s="1"/>
      <c r="BBU57" s="1"/>
      <c r="BBV57" s="1"/>
      <c r="BBW57" s="1"/>
      <c r="BBX57" s="1"/>
      <c r="BBY57" s="1"/>
      <c r="BBZ57" s="1"/>
      <c r="BCA57" s="1"/>
      <c r="BCB57" s="1"/>
      <c r="BCC57" s="1"/>
      <c r="BCD57" s="1"/>
      <c r="BCE57" s="1"/>
      <c r="BCF57" s="1"/>
      <c r="BCG57" s="1"/>
      <c r="BCH57" s="1"/>
      <c r="BCI57" s="1"/>
      <c r="BCJ57" s="1"/>
      <c r="BCK57" s="1"/>
      <c r="BCL57" s="1"/>
      <c r="BCM57" s="1"/>
      <c r="BCN57" s="1"/>
      <c r="BCO57" s="1"/>
      <c r="BCP57" s="1"/>
      <c r="BCQ57" s="1"/>
      <c r="BCR57" s="1"/>
      <c r="BCS57" s="1"/>
      <c r="BCT57" s="1"/>
      <c r="BCU57" s="1"/>
      <c r="BCV57" s="1"/>
      <c r="BCW57" s="1"/>
      <c r="BCX57" s="1"/>
      <c r="BCY57" s="1"/>
      <c r="BCZ57" s="1"/>
      <c r="BDA57" s="1"/>
      <c r="BDB57" s="1"/>
      <c r="BDC57" s="1"/>
      <c r="BDD57" s="1"/>
      <c r="BDE57" s="1"/>
      <c r="BDF57" s="1"/>
      <c r="BDG57" s="1"/>
      <c r="BDH57" s="1"/>
      <c r="BDI57" s="1"/>
      <c r="BDJ57" s="1"/>
      <c r="BDK57" s="1"/>
      <c r="BDL57" s="1"/>
      <c r="BDM57" s="1"/>
      <c r="BDN57" s="1"/>
      <c r="BDO57" s="1"/>
      <c r="BDP57" s="1"/>
      <c r="BDQ57" s="1"/>
      <c r="BDR57" s="1"/>
      <c r="BDS57" s="1"/>
      <c r="BDT57" s="1"/>
      <c r="BDU57" s="1"/>
      <c r="BDV57" s="1"/>
      <c r="BDW57" s="1"/>
      <c r="BDX57" s="1"/>
      <c r="BDY57" s="1"/>
      <c r="BDZ57" s="1"/>
      <c r="BEA57" s="1"/>
      <c r="BEB57" s="1"/>
      <c r="BEC57" s="1"/>
      <c r="BED57" s="1"/>
      <c r="BEE57" s="1"/>
      <c r="BEF57" s="1"/>
      <c r="BEG57" s="1"/>
      <c r="BEH57" s="1"/>
      <c r="BEI57" s="1"/>
      <c r="BEJ57" s="1"/>
      <c r="BEK57" s="1"/>
      <c r="BEL57" s="1"/>
      <c r="BEM57" s="1"/>
      <c r="BEN57" s="1"/>
      <c r="BEO57" s="1"/>
      <c r="BEP57" s="1"/>
      <c r="BEQ57" s="1"/>
      <c r="BER57" s="1"/>
      <c r="BES57" s="1"/>
      <c r="BET57" s="1"/>
      <c r="BEU57" s="1"/>
      <c r="BEV57" s="1"/>
      <c r="BEW57" s="1"/>
      <c r="BEX57" s="1"/>
      <c r="BEY57" s="1"/>
      <c r="BEZ57" s="1"/>
      <c r="BFA57" s="1"/>
      <c r="BFB57" s="1"/>
      <c r="BFC57" s="1"/>
      <c r="BFD57" s="1"/>
      <c r="BFE57" s="1"/>
      <c r="BFF57" s="1"/>
      <c r="BFG57" s="1"/>
      <c r="BFH57" s="1"/>
      <c r="BFI57" s="1"/>
      <c r="BFJ57" s="1"/>
      <c r="BFK57" s="1"/>
      <c r="BFL57" s="1"/>
      <c r="BFM57" s="1"/>
      <c r="BFN57" s="1"/>
      <c r="BFO57" s="1"/>
      <c r="BFP57" s="1"/>
      <c r="BFQ57" s="1"/>
      <c r="BFR57" s="1"/>
      <c r="BFS57" s="1"/>
      <c r="BFT57" s="1"/>
      <c r="BFU57" s="1"/>
      <c r="BFV57" s="1"/>
      <c r="BFW57" s="1"/>
      <c r="BFX57" s="1"/>
      <c r="BFY57" s="1"/>
      <c r="BFZ57" s="1"/>
      <c r="BGA57" s="1"/>
      <c r="BGB57" s="1"/>
      <c r="BGC57" s="1"/>
      <c r="BGD57" s="1"/>
      <c r="BGE57" s="1"/>
      <c r="BGF57" s="1"/>
      <c r="BGG57" s="1"/>
      <c r="BGH57" s="1"/>
      <c r="BGI57" s="1"/>
      <c r="BGJ57" s="1"/>
      <c r="BGK57" s="1"/>
      <c r="BGL57" s="1"/>
      <c r="BGM57" s="1"/>
      <c r="BGN57" s="1"/>
      <c r="BGO57" s="1"/>
      <c r="BGP57" s="1"/>
      <c r="BGQ57" s="1"/>
      <c r="BGR57" s="1"/>
      <c r="BGS57" s="1"/>
      <c r="BGT57" s="1"/>
      <c r="BGU57" s="1"/>
      <c r="BGV57" s="1"/>
      <c r="BGW57" s="1"/>
      <c r="BGX57" s="1"/>
      <c r="BGY57" s="1"/>
      <c r="BGZ57" s="1"/>
      <c r="BHA57" s="1"/>
      <c r="BHB57" s="1"/>
      <c r="BHC57" s="1"/>
      <c r="BHD57" s="1"/>
      <c r="BHE57" s="1"/>
      <c r="BHF57" s="1"/>
      <c r="BHG57" s="1"/>
      <c r="BHH57" s="1"/>
    </row>
    <row r="58" spans="1:1568" ht="12.75" customHeight="1" x14ac:dyDescent="0.2">
      <c r="A58" s="661"/>
      <c r="B58" s="658" t="s">
        <v>1049</v>
      </c>
      <c r="C58" s="650">
        <v>185000</v>
      </c>
      <c r="D58" s="650">
        <v>185000</v>
      </c>
      <c r="E58" s="650">
        <v>134775</v>
      </c>
      <c r="F58" s="653"/>
      <c r="G58" s="643">
        <f t="shared" si="28"/>
        <v>72.851351351351354</v>
      </c>
      <c r="H58" s="659">
        <f t="shared" si="29"/>
        <v>72.851351351351354</v>
      </c>
      <c r="I58" s="660">
        <f t="shared" si="30"/>
        <v>90</v>
      </c>
      <c r="J58" s="29">
        <v>149750</v>
      </c>
    </row>
    <row r="59" spans="1:1568" ht="12.75" customHeight="1" x14ac:dyDescent="0.2">
      <c r="A59" s="665"/>
      <c r="B59" s="658" t="s">
        <v>1050</v>
      </c>
      <c r="C59" s="653">
        <v>5000</v>
      </c>
      <c r="D59" s="653">
        <v>5000</v>
      </c>
      <c r="E59" s="653">
        <v>5700</v>
      </c>
      <c r="F59" s="653"/>
      <c r="G59" s="643">
        <f t="shared" si="28"/>
        <v>113.99999999999999</v>
      </c>
      <c r="H59" s="659">
        <f t="shared" si="29"/>
        <v>113.99999999999999</v>
      </c>
      <c r="I59" s="660">
        <f t="shared" si="30"/>
        <v>237.5</v>
      </c>
      <c r="J59" s="29">
        <v>2400</v>
      </c>
    </row>
    <row r="60" spans="1:1568" ht="12.75" customHeight="1" x14ac:dyDescent="0.2">
      <c r="A60" s="667">
        <v>1381</v>
      </c>
      <c r="B60" s="640" t="s">
        <v>1051</v>
      </c>
      <c r="C60" s="652">
        <v>2640000</v>
      </c>
      <c r="D60" s="652">
        <v>2640000</v>
      </c>
      <c r="E60" s="652">
        <v>947860.33</v>
      </c>
      <c r="F60" s="653"/>
      <c r="G60" s="642">
        <f t="shared" si="28"/>
        <v>35.903800378787878</v>
      </c>
      <c r="H60" s="644">
        <f t="shared" si="29"/>
        <v>35.903800378787878</v>
      </c>
      <c r="I60" s="645">
        <f t="shared" si="30"/>
        <v>54.342725944641977</v>
      </c>
      <c r="J60" s="29">
        <v>1744226.69</v>
      </c>
    </row>
    <row r="61" spans="1:1568" ht="12.75" customHeight="1" x14ac:dyDescent="0.2">
      <c r="A61" s="667">
        <v>1385</v>
      </c>
      <c r="B61" s="640" t="s">
        <v>1052</v>
      </c>
      <c r="C61" s="652">
        <v>3000000</v>
      </c>
      <c r="D61" s="652">
        <f>3000000+3000000</f>
        <v>6000000</v>
      </c>
      <c r="E61" s="652">
        <v>6100643.8700000001</v>
      </c>
      <c r="F61" s="653"/>
      <c r="G61" s="642">
        <f t="shared" si="28"/>
        <v>203.35479566666669</v>
      </c>
      <c r="H61" s="644">
        <f t="shared" si="29"/>
        <v>101.67739783333334</v>
      </c>
      <c r="I61" s="645">
        <f t="shared" si="30"/>
        <v>61.129044735994633</v>
      </c>
      <c r="J61" s="29">
        <v>9979943.0800000001</v>
      </c>
    </row>
    <row r="62" spans="1:1568" ht="12.75" customHeight="1" x14ac:dyDescent="0.2">
      <c r="A62" s="667">
        <v>1386</v>
      </c>
      <c r="B62" s="640" t="s">
        <v>1053</v>
      </c>
      <c r="C62" s="652">
        <v>0</v>
      </c>
      <c r="D62" s="652">
        <v>0</v>
      </c>
      <c r="E62" s="652">
        <v>878237.03</v>
      </c>
      <c r="F62" s="653"/>
      <c r="G62" s="642">
        <v>0</v>
      </c>
      <c r="H62" s="644">
        <v>0</v>
      </c>
      <c r="I62" s="645">
        <v>0</v>
      </c>
      <c r="J62" s="29">
        <v>0</v>
      </c>
    </row>
    <row r="63" spans="1:1568" ht="12.75" customHeight="1" x14ac:dyDescent="0.2">
      <c r="A63" s="667">
        <v>1387</v>
      </c>
      <c r="B63" s="640" t="s">
        <v>1054</v>
      </c>
      <c r="C63" s="652">
        <v>0</v>
      </c>
      <c r="D63" s="652">
        <v>0</v>
      </c>
      <c r="E63" s="652">
        <v>1423461.13</v>
      </c>
      <c r="F63" s="653"/>
      <c r="G63" s="642">
        <v>0</v>
      </c>
      <c r="H63" s="644">
        <v>0</v>
      </c>
      <c r="I63" s="645">
        <v>0</v>
      </c>
      <c r="J63" s="29">
        <v>0</v>
      </c>
    </row>
    <row r="64" spans="1:1568" s="98" customFormat="1" ht="12.75" customHeight="1" x14ac:dyDescent="0.2">
      <c r="A64" s="639">
        <v>1511</v>
      </c>
      <c r="B64" s="640" t="s">
        <v>1055</v>
      </c>
      <c r="C64" s="649">
        <v>23960000</v>
      </c>
      <c r="D64" s="649">
        <v>23960000</v>
      </c>
      <c r="E64" s="652">
        <v>15115532.060000001</v>
      </c>
      <c r="F64" s="650"/>
      <c r="G64" s="642">
        <f t="shared" si="28"/>
        <v>63.086527796327218</v>
      </c>
      <c r="H64" s="644">
        <f t="shared" si="29"/>
        <v>63.086527796327218</v>
      </c>
      <c r="I64" s="645">
        <f t="shared" si="30"/>
        <v>177.70562810947084</v>
      </c>
      <c r="J64" s="29">
        <v>8505938.8499999996</v>
      </c>
    </row>
    <row r="65" spans="1:57" s="98" customFormat="1" ht="12.75" customHeight="1" x14ac:dyDescent="0.2">
      <c r="A65" s="668"/>
      <c r="B65" s="669"/>
      <c r="C65" s="670"/>
      <c r="D65" s="670"/>
      <c r="E65" s="670"/>
      <c r="F65" s="671"/>
      <c r="G65" s="670"/>
      <c r="H65" s="670"/>
      <c r="I65" s="672"/>
      <c r="J65" s="29"/>
    </row>
    <row r="66" spans="1:57" s="98" customFormat="1" ht="18.75" customHeight="1" x14ac:dyDescent="0.25">
      <c r="A66" s="673"/>
      <c r="B66" s="674" t="s">
        <v>10</v>
      </c>
      <c r="C66" s="363">
        <f>SUM(C67,C79:C82,C95:C96,C111:C111,C126:C128,C144:C145)</f>
        <v>163957324.72000003</v>
      </c>
      <c r="D66" s="363">
        <f>SUM(D67,D79:D82,D95:D96,D111:D111,D126:D128,D144:D145)</f>
        <v>189794148.43000001</v>
      </c>
      <c r="E66" s="675">
        <v>203617804.81</v>
      </c>
      <c r="F66" s="676">
        <f>SUM(E67,E79:E82,E95:E96,E111,E125:E128,E144:E145)</f>
        <v>203617804.81</v>
      </c>
      <c r="G66" s="631">
        <f t="shared" si="28"/>
        <v>124.18951404442015</v>
      </c>
      <c r="H66" s="631">
        <f t="shared" si="29"/>
        <v>107.2834997782339</v>
      </c>
      <c r="I66" s="677">
        <f t="shared" si="30"/>
        <v>239.96718764646877</v>
      </c>
      <c r="J66" s="29">
        <v>84852352.859999999</v>
      </c>
    </row>
    <row r="67" spans="1:57" s="98" customFormat="1" ht="12.75" customHeight="1" x14ac:dyDescent="0.2">
      <c r="A67" s="678">
        <v>2111</v>
      </c>
      <c r="B67" s="635" t="s">
        <v>1056</v>
      </c>
      <c r="C67" s="679">
        <f>SUM(C68:C78)</f>
        <v>16515400</v>
      </c>
      <c r="D67" s="679">
        <f>SUM(D68:D78)</f>
        <v>16515400</v>
      </c>
      <c r="E67" s="680">
        <v>11160239.65</v>
      </c>
      <c r="F67" s="681">
        <f>SUM(E68:E78)</f>
        <v>11160239.649999999</v>
      </c>
      <c r="G67" s="642">
        <f t="shared" si="28"/>
        <v>67.574746297395166</v>
      </c>
      <c r="H67" s="644">
        <f t="shared" si="29"/>
        <v>67.574746297395166</v>
      </c>
      <c r="I67" s="645">
        <f t="shared" si="30"/>
        <v>116.21182391055376</v>
      </c>
      <c r="J67" s="29">
        <v>9603359.8599999994</v>
      </c>
    </row>
    <row r="68" spans="1:57" s="98" customFormat="1" ht="12.75" customHeight="1" x14ac:dyDescent="0.2">
      <c r="A68" s="678"/>
      <c r="B68" s="682" t="s">
        <v>1057</v>
      </c>
      <c r="C68" s="653">
        <v>0</v>
      </c>
      <c r="D68" s="653">
        <v>0</v>
      </c>
      <c r="E68" s="653">
        <v>270</v>
      </c>
      <c r="F68" s="653"/>
      <c r="G68" s="643">
        <v>0</v>
      </c>
      <c r="H68" s="659">
        <v>0</v>
      </c>
      <c r="I68" s="660">
        <f t="shared" si="30"/>
        <v>100</v>
      </c>
      <c r="J68" s="29">
        <v>270</v>
      </c>
    </row>
    <row r="69" spans="1:57" ht="12.75" customHeight="1" x14ac:dyDescent="0.2">
      <c r="A69" s="683"/>
      <c r="B69" s="658" t="s">
        <v>1058</v>
      </c>
      <c r="C69" s="653">
        <v>800000</v>
      </c>
      <c r="D69" s="653">
        <v>800000</v>
      </c>
      <c r="E69" s="653">
        <v>128091.97</v>
      </c>
      <c r="F69" s="653"/>
      <c r="G69" s="643">
        <f t="shared" si="28"/>
        <v>16.01149625</v>
      </c>
      <c r="H69" s="659">
        <f t="shared" si="29"/>
        <v>16.01149625</v>
      </c>
      <c r="I69" s="660">
        <f t="shared" si="30"/>
        <v>78.776763100348404</v>
      </c>
      <c r="J69" s="29">
        <v>162601.21</v>
      </c>
    </row>
    <row r="70" spans="1:57" ht="12.75" customHeight="1" x14ac:dyDescent="0.2">
      <c r="A70" s="684"/>
      <c r="B70" s="658" t="s">
        <v>1059</v>
      </c>
      <c r="C70" s="653">
        <v>950000</v>
      </c>
      <c r="D70" s="653">
        <v>950000</v>
      </c>
      <c r="E70" s="653">
        <v>715486</v>
      </c>
      <c r="F70" s="653"/>
      <c r="G70" s="643">
        <f t="shared" si="28"/>
        <v>75.314315789473682</v>
      </c>
      <c r="H70" s="659">
        <f t="shared" si="29"/>
        <v>75.314315789473682</v>
      </c>
      <c r="I70" s="660">
        <f t="shared" si="30"/>
        <v>130.72845531432168</v>
      </c>
      <c r="J70" s="29">
        <v>547307.01</v>
      </c>
    </row>
    <row r="71" spans="1:57" ht="12.75" customHeight="1" x14ac:dyDescent="0.2">
      <c r="A71" s="684"/>
      <c r="B71" s="658" t="s">
        <v>1060</v>
      </c>
      <c r="C71" s="653">
        <v>0</v>
      </c>
      <c r="D71" s="653">
        <v>0</v>
      </c>
      <c r="E71" s="653">
        <v>23500</v>
      </c>
      <c r="F71" s="653"/>
      <c r="G71" s="643">
        <v>0</v>
      </c>
      <c r="H71" s="659">
        <v>0</v>
      </c>
      <c r="I71" s="660">
        <f t="shared" si="30"/>
        <v>117.5</v>
      </c>
      <c r="J71" s="29">
        <v>20000</v>
      </c>
    </row>
    <row r="72" spans="1:57" s="685" customFormat="1" ht="12.75" customHeight="1" x14ac:dyDescent="0.2">
      <c r="A72" s="684"/>
      <c r="B72" s="686" t="s">
        <v>1061</v>
      </c>
      <c r="C72" s="687">
        <v>6700000</v>
      </c>
      <c r="D72" s="687">
        <v>6700000</v>
      </c>
      <c r="E72" s="653">
        <v>5093951.43</v>
      </c>
      <c r="F72" s="653"/>
      <c r="G72" s="643">
        <f t="shared" si="28"/>
        <v>76.029125820895516</v>
      </c>
      <c r="H72" s="659">
        <f t="shared" si="29"/>
        <v>76.029125820895516</v>
      </c>
      <c r="I72" s="660">
        <f t="shared" si="30"/>
        <v>108.20760858751926</v>
      </c>
      <c r="J72" s="29">
        <v>4707572.32</v>
      </c>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row>
    <row r="73" spans="1:57" s="685" customFormat="1" ht="12.75" customHeight="1" x14ac:dyDescent="0.2">
      <c r="A73" s="684"/>
      <c r="B73" s="686" t="s">
        <v>1062</v>
      </c>
      <c r="C73" s="687">
        <v>2049000</v>
      </c>
      <c r="D73" s="687">
        <v>2049000</v>
      </c>
      <c r="E73" s="653">
        <v>1212876.42</v>
      </c>
      <c r="F73" s="653"/>
      <c r="G73" s="643">
        <f t="shared" si="28"/>
        <v>59.193578330893118</v>
      </c>
      <c r="H73" s="659">
        <f t="shared" si="29"/>
        <v>59.193578330893118</v>
      </c>
      <c r="I73" s="660">
        <f t="shared" si="30"/>
        <v>113.92005389972577</v>
      </c>
      <c r="J73" s="29">
        <v>1064673.32</v>
      </c>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row>
    <row r="74" spans="1:57" s="685" customFormat="1" ht="12.75" customHeight="1" x14ac:dyDescent="0.2">
      <c r="A74" s="684"/>
      <c r="B74" s="686" t="s">
        <v>1063</v>
      </c>
      <c r="C74" s="687">
        <v>2955900</v>
      </c>
      <c r="D74" s="687">
        <v>2955900</v>
      </c>
      <c r="E74" s="653">
        <v>1691328.83</v>
      </c>
      <c r="F74" s="653"/>
      <c r="G74" s="643">
        <f t="shared" si="28"/>
        <v>57.218743191582945</v>
      </c>
      <c r="H74" s="659">
        <f t="shared" si="29"/>
        <v>57.218743191582945</v>
      </c>
      <c r="I74" s="660">
        <f t="shared" si="30"/>
        <v>132.44631368090012</v>
      </c>
      <c r="J74" s="29">
        <v>1276992</v>
      </c>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row>
    <row r="75" spans="1:57" s="685" customFormat="1" ht="12.75" customHeight="1" x14ac:dyDescent="0.2">
      <c r="A75" s="684"/>
      <c r="B75" s="686" t="s">
        <v>1064</v>
      </c>
      <c r="C75" s="687">
        <v>0</v>
      </c>
      <c r="D75" s="687">
        <v>0</v>
      </c>
      <c r="E75" s="653">
        <v>37691</v>
      </c>
      <c r="F75" s="653"/>
      <c r="G75" s="643">
        <v>0</v>
      </c>
      <c r="H75" s="659">
        <v>0</v>
      </c>
      <c r="I75" s="660">
        <v>0</v>
      </c>
      <c r="J75" s="29">
        <v>0</v>
      </c>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row>
    <row r="76" spans="1:57" ht="12.75" customHeight="1" x14ac:dyDescent="0.2">
      <c r="A76" s="684"/>
      <c r="B76" s="686" t="s">
        <v>1065</v>
      </c>
      <c r="C76" s="687">
        <v>3000000</v>
      </c>
      <c r="D76" s="687">
        <v>3000000</v>
      </c>
      <c r="E76" s="653">
        <v>2225789</v>
      </c>
      <c r="F76" s="653"/>
      <c r="G76" s="643">
        <f t="shared" si="28"/>
        <v>74.192966666666678</v>
      </c>
      <c r="H76" s="659">
        <f t="shared" si="29"/>
        <v>74.192966666666678</v>
      </c>
      <c r="I76" s="660">
        <f t="shared" si="30"/>
        <v>128.19017023379357</v>
      </c>
      <c r="J76" s="29">
        <v>1736318</v>
      </c>
    </row>
    <row r="77" spans="1:57" ht="12.75" customHeight="1" x14ac:dyDescent="0.2">
      <c r="A77" s="684"/>
      <c r="B77" s="686" t="s">
        <v>1066</v>
      </c>
      <c r="C77" s="687">
        <v>60000</v>
      </c>
      <c r="D77" s="687">
        <v>60000</v>
      </c>
      <c r="E77" s="653">
        <v>30800</v>
      </c>
      <c r="F77" s="653"/>
      <c r="G77" s="643">
        <f t="shared" si="28"/>
        <v>51.333333333333329</v>
      </c>
      <c r="H77" s="659">
        <f t="shared" si="29"/>
        <v>51.333333333333329</v>
      </c>
      <c r="I77" s="660">
        <v>0</v>
      </c>
      <c r="J77" s="29">
        <v>0</v>
      </c>
    </row>
    <row r="78" spans="1:57" ht="12.75" customHeight="1" x14ac:dyDescent="0.2">
      <c r="A78" s="684"/>
      <c r="B78" s="686" t="s">
        <v>1067</v>
      </c>
      <c r="C78" s="687">
        <v>500</v>
      </c>
      <c r="D78" s="687">
        <v>500</v>
      </c>
      <c r="E78" s="653">
        <v>455</v>
      </c>
      <c r="F78" s="653"/>
      <c r="G78" s="643">
        <f t="shared" si="28"/>
        <v>91</v>
      </c>
      <c r="H78" s="659">
        <f t="shared" si="29"/>
        <v>91</v>
      </c>
      <c r="I78" s="660">
        <f t="shared" si="30"/>
        <v>210.64814814814815</v>
      </c>
      <c r="J78" s="29">
        <v>216</v>
      </c>
    </row>
    <row r="79" spans="1:57" s="688" customFormat="1" ht="12.75" customHeight="1" x14ac:dyDescent="0.2">
      <c r="A79" s="683">
        <v>2119</v>
      </c>
      <c r="B79" s="689" t="s">
        <v>1068</v>
      </c>
      <c r="C79" s="663">
        <v>3000000</v>
      </c>
      <c r="D79" s="663">
        <v>3000000</v>
      </c>
      <c r="E79" s="652">
        <v>168613.5</v>
      </c>
      <c r="F79" s="653"/>
      <c r="G79" s="642">
        <f t="shared" si="28"/>
        <v>5.6204499999999999</v>
      </c>
      <c r="H79" s="644">
        <f t="shared" si="29"/>
        <v>5.6204499999999999</v>
      </c>
      <c r="I79" s="645">
        <f t="shared" si="30"/>
        <v>8.2640266061922976</v>
      </c>
      <c r="J79" s="29">
        <v>2040331.04</v>
      </c>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98"/>
      <c r="BA79" s="98"/>
      <c r="BB79" s="98"/>
      <c r="BC79" s="98"/>
      <c r="BD79" s="98"/>
      <c r="BE79" s="98"/>
    </row>
    <row r="80" spans="1:57" s="98" customFormat="1" ht="12.75" customHeight="1" x14ac:dyDescent="0.2">
      <c r="A80" s="683">
        <v>2122</v>
      </c>
      <c r="B80" s="690" t="s">
        <v>1069</v>
      </c>
      <c r="C80" s="691">
        <f>SUM(355760+288696.24+157064+934180+398227+74093+156477+126060+522020+175356+962729.12)</f>
        <v>4150662.3600000003</v>
      </c>
      <c r="D80" s="691">
        <f>SUM(355760+288696.24+157064+934180+398227+74093+156477+126060+522020+175356+962729.12)+192228+(1009024.72+835189.98)-1196</f>
        <v>6185909.0600000005</v>
      </c>
      <c r="E80" s="692">
        <v>2806943.82</v>
      </c>
      <c r="F80" s="693"/>
      <c r="G80" s="642">
        <f t="shared" si="28"/>
        <v>67.626406981463063</v>
      </c>
      <c r="H80" s="644">
        <f t="shared" si="29"/>
        <v>45.376415863443029</v>
      </c>
      <c r="I80" s="645">
        <f t="shared" si="30"/>
        <v>443.47629365587744</v>
      </c>
      <c r="J80" s="29">
        <v>632941.12</v>
      </c>
    </row>
    <row r="81" spans="1:57" s="98" customFormat="1" ht="12.75" customHeight="1" x14ac:dyDescent="0.2">
      <c r="A81" s="683">
        <v>2131</v>
      </c>
      <c r="B81" s="689" t="s">
        <v>1070</v>
      </c>
      <c r="C81" s="663">
        <v>1000000</v>
      </c>
      <c r="D81" s="663">
        <v>1000000</v>
      </c>
      <c r="E81" s="652">
        <v>1053400.6000000001</v>
      </c>
      <c r="F81" s="653"/>
      <c r="G81" s="642">
        <f t="shared" si="28"/>
        <v>105.34006000000001</v>
      </c>
      <c r="H81" s="644">
        <f t="shared" si="29"/>
        <v>105.34006000000001</v>
      </c>
      <c r="I81" s="651">
        <f t="shared" si="30"/>
        <v>131.32281631904101</v>
      </c>
      <c r="J81" s="29">
        <v>802145.91</v>
      </c>
    </row>
    <row r="82" spans="1:57" s="98" customFormat="1" ht="12.75" customHeight="1" x14ac:dyDescent="0.2">
      <c r="A82" s="683">
        <v>2132</v>
      </c>
      <c r="B82" s="690" t="s">
        <v>1071</v>
      </c>
      <c r="C82" s="694">
        <f>SUM(C83:C94)</f>
        <v>105248875</v>
      </c>
      <c r="D82" s="694">
        <f>SUM(D83:D94)</f>
        <v>105538208</v>
      </c>
      <c r="E82" s="649">
        <v>63238715.869999997</v>
      </c>
      <c r="F82" s="650">
        <f>SUM(E83:E94)</f>
        <v>63238715.869999997</v>
      </c>
      <c r="G82" s="642">
        <f t="shared" si="28"/>
        <v>60.084932850826192</v>
      </c>
      <c r="H82" s="644">
        <f t="shared" si="29"/>
        <v>59.920210005839778</v>
      </c>
      <c r="I82" s="645">
        <f t="shared" si="30"/>
        <v>118.18305280389636</v>
      </c>
      <c r="J82" s="29">
        <v>53509123.659999996</v>
      </c>
    </row>
    <row r="83" spans="1:57" ht="12.75" customHeight="1" x14ac:dyDescent="0.2">
      <c r="A83" s="684"/>
      <c r="B83" s="686" t="s">
        <v>1072</v>
      </c>
      <c r="C83" s="687">
        <v>810000</v>
      </c>
      <c r="D83" s="687">
        <v>810000</v>
      </c>
      <c r="E83" s="653">
        <v>762244</v>
      </c>
      <c r="F83" s="653"/>
      <c r="G83" s="643">
        <f t="shared" si="28"/>
        <v>94.104197530864198</v>
      </c>
      <c r="H83" s="659">
        <f t="shared" si="29"/>
        <v>94.104197530864198</v>
      </c>
      <c r="I83" s="660">
        <f t="shared" si="30"/>
        <v>102.30007542550992</v>
      </c>
      <c r="J83" s="29">
        <v>745106</v>
      </c>
    </row>
    <row r="84" spans="1:57" ht="12.75" customHeight="1" x14ac:dyDescent="0.2">
      <c r="A84" s="684"/>
      <c r="B84" s="686" t="s">
        <v>1073</v>
      </c>
      <c r="C84" s="687">
        <v>7000</v>
      </c>
      <c r="D84" s="687">
        <v>7000</v>
      </c>
      <c r="E84" s="653">
        <v>8606</v>
      </c>
      <c r="F84" s="653"/>
      <c r="G84" s="643">
        <f t="shared" si="28"/>
        <v>122.94285714285715</v>
      </c>
      <c r="H84" s="659">
        <f t="shared" si="29"/>
        <v>122.94285714285715</v>
      </c>
      <c r="I84" s="660">
        <f t="shared" si="30"/>
        <v>194.52983725135624</v>
      </c>
      <c r="J84" s="29">
        <v>4424</v>
      </c>
    </row>
    <row r="85" spans="1:57" ht="12.75" customHeight="1" x14ac:dyDescent="0.2">
      <c r="A85" s="684"/>
      <c r="B85" s="686" t="s">
        <v>1074</v>
      </c>
      <c r="C85" s="687">
        <v>600000</v>
      </c>
      <c r="D85" s="687">
        <v>600000</v>
      </c>
      <c r="E85" s="653">
        <v>368630.24</v>
      </c>
      <c r="F85" s="653"/>
      <c r="G85" s="643">
        <f t="shared" si="28"/>
        <v>61.438373333333331</v>
      </c>
      <c r="H85" s="659">
        <f t="shared" si="29"/>
        <v>61.438373333333331</v>
      </c>
      <c r="I85" s="660">
        <f t="shared" si="30"/>
        <v>101.87609643928863</v>
      </c>
      <c r="J85" s="29">
        <v>361841.74</v>
      </c>
    </row>
    <row r="86" spans="1:57" s="685" customFormat="1" ht="12.75" customHeight="1" x14ac:dyDescent="0.2">
      <c r="A86" s="684"/>
      <c r="B86" s="686" t="s">
        <v>1075</v>
      </c>
      <c r="C86" s="687">
        <v>340000</v>
      </c>
      <c r="D86" s="687">
        <v>340000</v>
      </c>
      <c r="E86" s="653">
        <v>345109.16</v>
      </c>
      <c r="F86" s="653"/>
      <c r="G86" s="643">
        <f t="shared" si="28"/>
        <v>101.50269411764705</v>
      </c>
      <c r="H86" s="659">
        <f t="shared" si="29"/>
        <v>101.50269411764705</v>
      </c>
      <c r="I86" s="660">
        <v>0</v>
      </c>
      <c r="J86" s="29">
        <v>308993.67</v>
      </c>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row>
    <row r="87" spans="1:57" s="685" customFormat="1" ht="12.75" customHeight="1" x14ac:dyDescent="0.2">
      <c r="A87" s="684"/>
      <c r="B87" s="695" t="s">
        <v>1076</v>
      </c>
      <c r="C87" s="687">
        <v>75480000</v>
      </c>
      <c r="D87" s="687">
        <v>75480000</v>
      </c>
      <c r="E87" s="653">
        <v>39707587.850000001</v>
      </c>
      <c r="F87" s="653"/>
      <c r="G87" s="643">
        <f t="shared" si="28"/>
        <v>52.606767156862745</v>
      </c>
      <c r="H87" s="659">
        <f t="shared" si="29"/>
        <v>52.606767156862745</v>
      </c>
      <c r="I87" s="664">
        <f t="shared" si="30"/>
        <v>127.41853739542665</v>
      </c>
      <c r="J87" s="29">
        <v>31163116.969999999</v>
      </c>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row>
    <row r="88" spans="1:57" ht="12.75" customHeight="1" x14ac:dyDescent="0.2">
      <c r="A88" s="684"/>
      <c r="B88" s="695" t="s">
        <v>1077</v>
      </c>
      <c r="C88" s="687">
        <v>180875</v>
      </c>
      <c r="D88" s="687">
        <v>180875</v>
      </c>
      <c r="E88" s="653">
        <v>76710.87</v>
      </c>
      <c r="F88" s="653"/>
      <c r="G88" s="643">
        <f t="shared" si="28"/>
        <v>42.410985487214923</v>
      </c>
      <c r="H88" s="659">
        <f t="shared" si="29"/>
        <v>42.410985487214923</v>
      </c>
      <c r="I88" s="660">
        <f t="shared" si="30"/>
        <v>130.9909091188515</v>
      </c>
      <c r="J88" s="29">
        <v>58561.98</v>
      </c>
    </row>
    <row r="89" spans="1:57" ht="12.75" customHeight="1" x14ac:dyDescent="0.2">
      <c r="A89" s="684"/>
      <c r="B89" s="686" t="s">
        <v>1078</v>
      </c>
      <c r="C89" s="687">
        <v>500000</v>
      </c>
      <c r="D89" s="687">
        <v>500000</v>
      </c>
      <c r="E89" s="653">
        <v>371910.56</v>
      </c>
      <c r="F89" s="653"/>
      <c r="G89" s="643">
        <f t="shared" si="28"/>
        <v>74.382112000000006</v>
      </c>
      <c r="H89" s="659">
        <f t="shared" si="29"/>
        <v>74.382112000000006</v>
      </c>
      <c r="I89" s="660">
        <f t="shared" si="30"/>
        <v>111.41526471608114</v>
      </c>
      <c r="J89" s="29">
        <v>333805.75</v>
      </c>
    </row>
    <row r="90" spans="1:57" s="685" customFormat="1" ht="24.75" x14ac:dyDescent="0.2">
      <c r="A90" s="684"/>
      <c r="B90" s="696" t="s">
        <v>1079</v>
      </c>
      <c r="C90" s="687">
        <v>15796000</v>
      </c>
      <c r="D90" s="687">
        <v>15796000</v>
      </c>
      <c r="E90" s="653">
        <v>9770393.1899999995</v>
      </c>
      <c r="F90" s="653"/>
      <c r="G90" s="643">
        <f t="shared" si="28"/>
        <v>61.853590719169404</v>
      </c>
      <c r="H90" s="659">
        <f t="shared" si="29"/>
        <v>61.853590719169404</v>
      </c>
      <c r="I90" s="664">
        <f t="shared" si="30"/>
        <v>108.44690398241686</v>
      </c>
      <c r="J90" s="654">
        <v>9009379.5500000007</v>
      </c>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row>
    <row r="91" spans="1:57" s="685" customFormat="1" ht="12.75" customHeight="1" x14ac:dyDescent="0.2">
      <c r="A91" s="684"/>
      <c r="B91" s="686" t="s">
        <v>1080</v>
      </c>
      <c r="C91" s="687">
        <v>11500000</v>
      </c>
      <c r="D91" s="687">
        <f>11500000+289333</f>
        <v>11789333</v>
      </c>
      <c r="E91" s="653">
        <v>11789333</v>
      </c>
      <c r="F91" s="653"/>
      <c r="G91" s="643">
        <f t="shared" si="28"/>
        <v>102.51593913043477</v>
      </c>
      <c r="H91" s="659">
        <f t="shared" si="29"/>
        <v>100</v>
      </c>
      <c r="I91" s="664">
        <f t="shared" si="30"/>
        <v>102.51593913043477</v>
      </c>
      <c r="J91" s="29">
        <v>11500000</v>
      </c>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row>
    <row r="92" spans="1:57" s="685" customFormat="1" ht="12.75" customHeight="1" x14ac:dyDescent="0.2">
      <c r="A92" s="684"/>
      <c r="B92" s="686" t="s">
        <v>1081</v>
      </c>
      <c r="C92" s="687">
        <v>0</v>
      </c>
      <c r="D92" s="687">
        <v>0</v>
      </c>
      <c r="E92" s="653">
        <v>0</v>
      </c>
      <c r="F92" s="653"/>
      <c r="G92" s="643">
        <v>0</v>
      </c>
      <c r="H92" s="659">
        <v>0</v>
      </c>
      <c r="I92" s="664">
        <v>0</v>
      </c>
      <c r="J92" s="29">
        <v>0</v>
      </c>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row>
    <row r="93" spans="1:57" s="685" customFormat="1" ht="12.75" customHeight="1" x14ac:dyDescent="0.2">
      <c r="A93" s="684"/>
      <c r="B93" s="686" t="s">
        <v>1082</v>
      </c>
      <c r="C93" s="687">
        <v>20000</v>
      </c>
      <c r="D93" s="687">
        <v>20000</v>
      </c>
      <c r="E93" s="653">
        <v>12700</v>
      </c>
      <c r="F93" s="653"/>
      <c r="G93" s="643">
        <f t="shared" si="28"/>
        <v>63.5</v>
      </c>
      <c r="H93" s="659">
        <f t="shared" si="29"/>
        <v>63.5</v>
      </c>
      <c r="I93" s="660">
        <f t="shared" si="30"/>
        <v>92.028985507246375</v>
      </c>
      <c r="J93" s="29">
        <v>13800</v>
      </c>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row>
    <row r="94" spans="1:57" ht="12.75" customHeight="1" x14ac:dyDescent="0.2">
      <c r="A94" s="697"/>
      <c r="B94" s="686" t="s">
        <v>1083</v>
      </c>
      <c r="C94" s="687">
        <v>15000</v>
      </c>
      <c r="D94" s="687">
        <v>15000</v>
      </c>
      <c r="E94" s="653">
        <v>25491</v>
      </c>
      <c r="F94" s="653"/>
      <c r="G94" s="643">
        <f t="shared" si="28"/>
        <v>169.94</v>
      </c>
      <c r="H94" s="659">
        <f t="shared" si="29"/>
        <v>169.94</v>
      </c>
      <c r="I94" s="660">
        <f t="shared" si="30"/>
        <v>252.53616009510603</v>
      </c>
      <c r="J94" s="29">
        <v>10094</v>
      </c>
    </row>
    <row r="95" spans="1:57" s="98" customFormat="1" ht="12.75" customHeight="1" x14ac:dyDescent="0.2">
      <c r="A95" s="698">
        <v>2141</v>
      </c>
      <c r="B95" s="690" t="s">
        <v>118</v>
      </c>
      <c r="C95" s="663">
        <v>10000</v>
      </c>
      <c r="D95" s="663">
        <v>10000</v>
      </c>
      <c r="E95" s="652">
        <v>327178.59000000003</v>
      </c>
      <c r="F95" s="653"/>
      <c r="G95" s="642">
        <f t="shared" si="28"/>
        <v>3271.7859000000003</v>
      </c>
      <c r="H95" s="644">
        <f t="shared" si="29"/>
        <v>3271.7859000000003</v>
      </c>
      <c r="I95" s="645">
        <f t="shared" si="30"/>
        <v>21784.747681224078</v>
      </c>
      <c r="J95" s="29">
        <v>1501.87</v>
      </c>
    </row>
    <row r="96" spans="1:57" s="98" customFormat="1" ht="12.75" customHeight="1" x14ac:dyDescent="0.2">
      <c r="A96" s="698">
        <v>2212</v>
      </c>
      <c r="B96" s="690" t="s">
        <v>1084</v>
      </c>
      <c r="C96" s="694">
        <f>SUM(C97:C110)</f>
        <v>11730000</v>
      </c>
      <c r="D96" s="694">
        <f>SUM(D97:D110)</f>
        <v>11780700</v>
      </c>
      <c r="E96" s="649">
        <v>11426690.630000001</v>
      </c>
      <c r="F96" s="650">
        <f>SUM(E97:E110)</f>
        <v>11426690.629999999</v>
      </c>
      <c r="G96" s="642">
        <f t="shared" ref="G96:G108" si="33">E96/C96*100</f>
        <v>97.414242369991484</v>
      </c>
      <c r="H96" s="644">
        <f t="shared" ref="H96:H108" si="34">E96/D96*100</f>
        <v>96.995005644825866</v>
      </c>
      <c r="I96" s="645">
        <f t="shared" ref="I96:I134" si="35">E96/J96*100</f>
        <v>252.35108501636557</v>
      </c>
      <c r="J96" s="29">
        <v>4528092.53</v>
      </c>
    </row>
    <row r="97" spans="1:57" ht="12.75" customHeight="1" x14ac:dyDescent="0.2">
      <c r="A97" s="699"/>
      <c r="B97" s="686" t="s">
        <v>1085</v>
      </c>
      <c r="C97" s="687">
        <v>15000</v>
      </c>
      <c r="D97" s="687">
        <v>15000</v>
      </c>
      <c r="E97" s="653">
        <v>14500</v>
      </c>
      <c r="F97" s="653"/>
      <c r="G97" s="643">
        <f t="shared" si="33"/>
        <v>96.666666666666671</v>
      </c>
      <c r="H97" s="659">
        <f t="shared" si="34"/>
        <v>96.666666666666671</v>
      </c>
      <c r="I97" s="660">
        <f t="shared" si="35"/>
        <v>100</v>
      </c>
      <c r="J97" s="29">
        <v>14500</v>
      </c>
    </row>
    <row r="98" spans="1:57" ht="12.75" customHeight="1" x14ac:dyDescent="0.2">
      <c r="A98" s="697"/>
      <c r="B98" s="686" t="s">
        <v>121</v>
      </c>
      <c r="C98" s="687">
        <v>100000</v>
      </c>
      <c r="D98" s="687">
        <v>100000</v>
      </c>
      <c r="E98" s="653">
        <v>33350</v>
      </c>
      <c r="F98" s="653"/>
      <c r="G98" s="643">
        <f t="shared" si="33"/>
        <v>33.35</v>
      </c>
      <c r="H98" s="659">
        <f t="shared" si="34"/>
        <v>33.35</v>
      </c>
      <c r="I98" s="660">
        <f t="shared" si="35"/>
        <v>36.408296943231441</v>
      </c>
      <c r="J98" s="29">
        <v>91600</v>
      </c>
    </row>
    <row r="99" spans="1:57" ht="12.75" customHeight="1" x14ac:dyDescent="0.2">
      <c r="A99" s="697"/>
      <c r="B99" s="686" t="s">
        <v>1086</v>
      </c>
      <c r="C99" s="687">
        <v>0</v>
      </c>
      <c r="D99" s="687">
        <v>0</v>
      </c>
      <c r="E99" s="700">
        <v>121449.64</v>
      </c>
      <c r="F99" s="700"/>
      <c r="G99" s="643">
        <v>0</v>
      </c>
      <c r="H99" s="659">
        <v>0</v>
      </c>
      <c r="I99" s="660">
        <v>0</v>
      </c>
      <c r="J99" s="29">
        <v>0</v>
      </c>
    </row>
    <row r="100" spans="1:57" ht="12.75" customHeight="1" x14ac:dyDescent="0.2">
      <c r="A100" s="697"/>
      <c r="B100" s="686" t="s">
        <v>1087</v>
      </c>
      <c r="C100" s="701">
        <v>2500000</v>
      </c>
      <c r="D100" s="701">
        <v>2500000</v>
      </c>
      <c r="E100" s="700">
        <v>1410397.14</v>
      </c>
      <c r="F100" s="700"/>
      <c r="G100" s="643">
        <f t="shared" si="33"/>
        <v>56.415885599999996</v>
      </c>
      <c r="H100" s="659">
        <f t="shared" si="34"/>
        <v>56.415885599999996</v>
      </c>
      <c r="I100" s="660">
        <f t="shared" si="35"/>
        <v>108.33051023635531</v>
      </c>
      <c r="J100" s="29">
        <v>1301938.98</v>
      </c>
    </row>
    <row r="101" spans="1:57" ht="12.75" customHeight="1" x14ac:dyDescent="0.2">
      <c r="A101" s="697"/>
      <c r="B101" s="686" t="s">
        <v>1088</v>
      </c>
      <c r="C101" s="701">
        <v>7500000</v>
      </c>
      <c r="D101" s="701">
        <v>7500000</v>
      </c>
      <c r="E101" s="700">
        <v>9123550.1099999994</v>
      </c>
      <c r="F101" s="700"/>
      <c r="G101" s="643">
        <f t="shared" si="33"/>
        <v>121.64733479999998</v>
      </c>
      <c r="H101" s="659">
        <f t="shared" si="34"/>
        <v>121.64733479999998</v>
      </c>
      <c r="I101" s="660">
        <f t="shared" si="35"/>
        <v>378.23558890418798</v>
      </c>
      <c r="J101" s="29">
        <v>2412134.23</v>
      </c>
    </row>
    <row r="102" spans="1:57" ht="12.75" customHeight="1" x14ac:dyDescent="0.2">
      <c r="A102" s="697"/>
      <c r="B102" s="702" t="s">
        <v>1089</v>
      </c>
      <c r="C102" s="701">
        <v>150000</v>
      </c>
      <c r="D102" s="701">
        <v>150000</v>
      </c>
      <c r="E102" s="700">
        <v>52000</v>
      </c>
      <c r="F102" s="700"/>
      <c r="G102" s="643">
        <f t="shared" si="33"/>
        <v>34.666666666666671</v>
      </c>
      <c r="H102" s="659">
        <f t="shared" si="34"/>
        <v>34.666666666666671</v>
      </c>
      <c r="I102" s="660">
        <v>0</v>
      </c>
      <c r="J102" s="29">
        <v>-85250</v>
      </c>
    </row>
    <row r="103" spans="1:57" s="685" customFormat="1" ht="12.75" customHeight="1" x14ac:dyDescent="0.2">
      <c r="A103" s="697"/>
      <c r="B103" s="686" t="s">
        <v>1090</v>
      </c>
      <c r="C103" s="687">
        <v>0</v>
      </c>
      <c r="D103" s="687">
        <v>0</v>
      </c>
      <c r="E103" s="653">
        <v>23996</v>
      </c>
      <c r="F103" s="653"/>
      <c r="G103" s="643">
        <v>0</v>
      </c>
      <c r="H103" s="659">
        <v>0</v>
      </c>
      <c r="I103" s="660">
        <v>0</v>
      </c>
      <c r="J103" s="29">
        <v>0</v>
      </c>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row>
    <row r="104" spans="1:57" s="685" customFormat="1" ht="12.75" customHeight="1" x14ac:dyDescent="0.2">
      <c r="A104" s="697"/>
      <c r="B104" s="686" t="s">
        <v>1091</v>
      </c>
      <c r="C104" s="687">
        <v>400000</v>
      </c>
      <c r="D104" s="687">
        <v>400000</v>
      </c>
      <c r="E104" s="653">
        <v>0</v>
      </c>
      <c r="F104" s="653"/>
      <c r="G104" s="643">
        <f t="shared" si="33"/>
        <v>0</v>
      </c>
      <c r="H104" s="659">
        <f t="shared" si="34"/>
        <v>0</v>
      </c>
      <c r="I104" s="660">
        <v>0</v>
      </c>
      <c r="J104" s="29">
        <v>0</v>
      </c>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row>
    <row r="105" spans="1:57" s="685" customFormat="1" ht="12.75" customHeight="1" x14ac:dyDescent="0.2">
      <c r="A105" s="697"/>
      <c r="B105" s="686" t="s">
        <v>1092</v>
      </c>
      <c r="C105" s="687">
        <v>50000</v>
      </c>
      <c r="D105" s="687">
        <v>50000</v>
      </c>
      <c r="E105" s="653">
        <v>0</v>
      </c>
      <c r="F105" s="653"/>
      <c r="G105" s="643">
        <f t="shared" si="33"/>
        <v>0</v>
      </c>
      <c r="H105" s="659">
        <f t="shared" si="34"/>
        <v>0</v>
      </c>
      <c r="I105" s="660">
        <v>0</v>
      </c>
      <c r="J105" s="29">
        <v>0</v>
      </c>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row>
    <row r="106" spans="1:57" ht="12.75" customHeight="1" x14ac:dyDescent="0.2">
      <c r="A106" s="697"/>
      <c r="B106" s="686" t="s">
        <v>126</v>
      </c>
      <c r="C106" s="687">
        <v>0</v>
      </c>
      <c r="D106" s="687">
        <v>50700</v>
      </c>
      <c r="E106" s="653">
        <v>54200</v>
      </c>
      <c r="F106" s="653"/>
      <c r="G106" s="643">
        <v>0</v>
      </c>
      <c r="H106" s="659">
        <f t="shared" si="34"/>
        <v>106.9033530571992</v>
      </c>
      <c r="I106" s="660">
        <f t="shared" si="35"/>
        <v>271</v>
      </c>
      <c r="J106" s="29">
        <v>20000</v>
      </c>
    </row>
    <row r="107" spans="1:57" ht="12.75" customHeight="1" x14ac:dyDescent="0.2">
      <c r="A107" s="697"/>
      <c r="B107" s="686" t="s">
        <v>1093</v>
      </c>
      <c r="C107" s="687">
        <v>650000</v>
      </c>
      <c r="D107" s="687">
        <v>650000</v>
      </c>
      <c r="E107" s="653">
        <v>302609.02</v>
      </c>
      <c r="F107" s="653"/>
      <c r="G107" s="643">
        <f t="shared" si="33"/>
        <v>46.555233846153847</v>
      </c>
      <c r="H107" s="659">
        <f t="shared" si="34"/>
        <v>46.555233846153847</v>
      </c>
      <c r="I107" s="660">
        <f t="shared" si="35"/>
        <v>92.023906039884764</v>
      </c>
      <c r="J107" s="29">
        <v>328837.40000000002</v>
      </c>
    </row>
    <row r="108" spans="1:57" ht="12.75" customHeight="1" x14ac:dyDescent="0.2">
      <c r="A108" s="697"/>
      <c r="B108" s="686" t="s">
        <v>1094</v>
      </c>
      <c r="C108" s="701">
        <v>350000</v>
      </c>
      <c r="D108" s="701">
        <v>350000</v>
      </c>
      <c r="E108" s="653">
        <v>210838.72</v>
      </c>
      <c r="F108" s="653"/>
      <c r="G108" s="643">
        <f t="shared" si="33"/>
        <v>60.239634285714281</v>
      </c>
      <c r="H108" s="659">
        <f t="shared" si="34"/>
        <v>60.239634285714281</v>
      </c>
      <c r="I108" s="660">
        <f t="shared" si="35"/>
        <v>100.0785434315937</v>
      </c>
      <c r="J108" s="29">
        <v>210673.25</v>
      </c>
    </row>
    <row r="109" spans="1:57" s="126" customFormat="1" ht="12.75" customHeight="1" x14ac:dyDescent="0.2">
      <c r="A109" s="699"/>
      <c r="B109" s="686" t="s">
        <v>1095</v>
      </c>
      <c r="C109" s="687">
        <v>15000</v>
      </c>
      <c r="D109" s="687">
        <v>15000</v>
      </c>
      <c r="E109" s="653">
        <v>7800</v>
      </c>
      <c r="F109" s="653"/>
      <c r="G109" s="643">
        <f t="shared" ref="G109:G172" si="36">E109/C109*100</f>
        <v>52</v>
      </c>
      <c r="H109" s="659">
        <f t="shared" ref="H109:H172" si="37">E109/D109*100</f>
        <v>52</v>
      </c>
      <c r="I109" s="660">
        <f t="shared" si="35"/>
        <v>78</v>
      </c>
      <c r="J109" s="29">
        <v>10000</v>
      </c>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row>
    <row r="110" spans="1:57" s="126" customFormat="1" ht="12.75" customHeight="1" x14ac:dyDescent="0.2">
      <c r="A110" s="699"/>
      <c r="B110" s="686" t="s">
        <v>1096</v>
      </c>
      <c r="C110" s="687">
        <v>0</v>
      </c>
      <c r="D110" s="687">
        <v>0</v>
      </c>
      <c r="E110" s="653">
        <v>72000</v>
      </c>
      <c r="F110" s="653"/>
      <c r="G110" s="643">
        <v>0</v>
      </c>
      <c r="H110" s="659">
        <v>0</v>
      </c>
      <c r="I110" s="660">
        <v>0</v>
      </c>
      <c r="J110" s="29">
        <v>0</v>
      </c>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row>
    <row r="111" spans="1:57" ht="12.75" customHeight="1" x14ac:dyDescent="0.2">
      <c r="A111" s="698">
        <v>2229</v>
      </c>
      <c r="B111" s="690" t="s">
        <v>1097</v>
      </c>
      <c r="C111" s="694">
        <f>SUM(C112:C124)</f>
        <v>1000000</v>
      </c>
      <c r="D111" s="694">
        <f>SUM(D112:D124)</f>
        <v>8067020.7400000002</v>
      </c>
      <c r="E111" s="649">
        <v>9124431.4800000004</v>
      </c>
      <c r="F111" s="703">
        <f>SUM(E112:E124)</f>
        <v>9124431.4800000004</v>
      </c>
      <c r="G111" s="642">
        <f t="shared" si="36"/>
        <v>912.44314800000006</v>
      </c>
      <c r="H111" s="644">
        <f t="shared" si="37"/>
        <v>113.10782225657201</v>
      </c>
      <c r="I111" s="645">
        <f t="shared" si="35"/>
        <v>107.77438836556554</v>
      </c>
      <c r="J111" s="29">
        <v>8466233.5999999996</v>
      </c>
    </row>
    <row r="112" spans="1:57" s="2" customFormat="1" ht="12.75" customHeight="1" x14ac:dyDescent="0.2">
      <c r="A112" s="704"/>
      <c r="B112" s="702" t="s">
        <v>1098</v>
      </c>
      <c r="C112" s="687">
        <v>0</v>
      </c>
      <c r="D112" s="687">
        <v>1600000</v>
      </c>
      <c r="E112" s="653">
        <v>1600000</v>
      </c>
      <c r="F112" s="653"/>
      <c r="G112" s="643">
        <v>0</v>
      </c>
      <c r="H112" s="659">
        <f t="shared" si="37"/>
        <v>100</v>
      </c>
      <c r="I112" s="660">
        <v>0</v>
      </c>
      <c r="J112" s="88">
        <v>0</v>
      </c>
    </row>
    <row r="113" spans="1:57" ht="12.75" customHeight="1" x14ac:dyDescent="0.2">
      <c r="A113" s="697"/>
      <c r="B113" s="686" t="s">
        <v>1099</v>
      </c>
      <c r="C113" s="687">
        <v>0</v>
      </c>
      <c r="D113" s="687">
        <f>(13779.02+87878.61+201127.47)</f>
        <v>302785.09999999998</v>
      </c>
      <c r="E113" s="653">
        <v>302785.09999999998</v>
      </c>
      <c r="F113" s="653"/>
      <c r="G113" s="643">
        <v>0</v>
      </c>
      <c r="H113" s="659">
        <f t="shared" si="37"/>
        <v>100</v>
      </c>
      <c r="I113" s="660">
        <f>E113/J113*100</f>
        <v>120.76934496637077</v>
      </c>
      <c r="J113" s="29">
        <v>250713.54</v>
      </c>
    </row>
    <row r="114" spans="1:57" ht="12.75" customHeight="1" x14ac:dyDescent="0.2">
      <c r="A114" s="697"/>
      <c r="B114" s="686" t="s">
        <v>1100</v>
      </c>
      <c r="C114" s="687">
        <v>0</v>
      </c>
      <c r="D114" s="687">
        <v>236709.36</v>
      </c>
      <c r="E114" s="653">
        <v>236709.36</v>
      </c>
      <c r="F114" s="653"/>
      <c r="G114" s="643">
        <v>0</v>
      </c>
      <c r="H114" s="659">
        <f t="shared" si="37"/>
        <v>100</v>
      </c>
      <c r="I114" s="660">
        <f t="shared" si="35"/>
        <v>792.01869451571326</v>
      </c>
      <c r="J114" s="29">
        <v>29886.84</v>
      </c>
    </row>
    <row r="115" spans="1:57" ht="12.75" customHeight="1" x14ac:dyDescent="0.2">
      <c r="A115" s="697"/>
      <c r="B115" s="686" t="s">
        <v>1101</v>
      </c>
      <c r="C115" s="687">
        <v>0</v>
      </c>
      <c r="D115" s="687">
        <v>159713.54999999999</v>
      </c>
      <c r="E115" s="653">
        <v>159713.54999999999</v>
      </c>
      <c r="F115" s="653"/>
      <c r="G115" s="643">
        <v>0</v>
      </c>
      <c r="H115" s="659">
        <f t="shared" si="37"/>
        <v>100</v>
      </c>
      <c r="I115" s="660">
        <f t="shared" si="35"/>
        <v>52.262141941031906</v>
      </c>
      <c r="J115" s="29">
        <v>305600.84999999998</v>
      </c>
    </row>
    <row r="116" spans="1:57" ht="12.75" customHeight="1" x14ac:dyDescent="0.2">
      <c r="A116" s="697"/>
      <c r="B116" s="686" t="s">
        <v>1102</v>
      </c>
      <c r="C116" s="687">
        <v>0</v>
      </c>
      <c r="D116" s="687">
        <v>391374.39</v>
      </c>
      <c r="E116" s="653">
        <v>391374.39</v>
      </c>
      <c r="F116" s="653"/>
      <c r="G116" s="643">
        <v>0</v>
      </c>
      <c r="H116" s="659">
        <f t="shared" si="37"/>
        <v>100</v>
      </c>
      <c r="I116" s="660">
        <f t="shared" si="35"/>
        <v>258.71326480751111</v>
      </c>
      <c r="J116" s="29">
        <v>151277.28</v>
      </c>
    </row>
    <row r="117" spans="1:57" ht="12.75" customHeight="1" x14ac:dyDescent="0.2">
      <c r="A117" s="697"/>
      <c r="B117" s="686" t="s">
        <v>1103</v>
      </c>
      <c r="C117" s="687">
        <v>1000000</v>
      </c>
      <c r="D117" s="687">
        <f>1000000+3226272.84</f>
        <v>4226272.84</v>
      </c>
      <c r="E117" s="653">
        <v>4226272.84</v>
      </c>
      <c r="F117" s="653"/>
      <c r="G117" s="643">
        <f t="shared" si="36"/>
        <v>422.62728400000003</v>
      </c>
      <c r="H117" s="659">
        <f t="shared" si="37"/>
        <v>100</v>
      </c>
      <c r="I117" s="660">
        <f>E117/J117*100</f>
        <v>74.056198128677579</v>
      </c>
      <c r="J117" s="29">
        <v>5706845.54</v>
      </c>
    </row>
    <row r="118" spans="1:57" ht="12.75" customHeight="1" x14ac:dyDescent="0.2">
      <c r="A118" s="697"/>
      <c r="B118" s="686" t="s">
        <v>1104</v>
      </c>
      <c r="C118" s="687">
        <v>0</v>
      </c>
      <c r="D118" s="687">
        <v>0</v>
      </c>
      <c r="E118" s="653">
        <v>1525</v>
      </c>
      <c r="F118" s="653"/>
      <c r="G118" s="643">
        <v>0</v>
      </c>
      <c r="H118" s="659">
        <v>0</v>
      </c>
      <c r="I118" s="660">
        <f t="shared" si="35"/>
        <v>50.833333333333329</v>
      </c>
      <c r="J118" s="29">
        <v>3000</v>
      </c>
    </row>
    <row r="119" spans="1:57" ht="12.75" customHeight="1" x14ac:dyDescent="0.2">
      <c r="A119" s="697"/>
      <c r="B119" s="686" t="s">
        <v>1105</v>
      </c>
      <c r="C119" s="705">
        <v>0</v>
      </c>
      <c r="D119" s="705">
        <f>25251</f>
        <v>25251</v>
      </c>
      <c r="E119" s="653">
        <v>31826</v>
      </c>
      <c r="F119" s="653"/>
      <c r="G119" s="643">
        <v>0</v>
      </c>
      <c r="H119" s="659">
        <f t="shared" si="37"/>
        <v>126.03857272979289</v>
      </c>
      <c r="I119" s="660">
        <f t="shared" si="35"/>
        <v>11.868149062848424</v>
      </c>
      <c r="J119" s="29">
        <v>268163.13</v>
      </c>
    </row>
    <row r="120" spans="1:57" ht="12.75" customHeight="1" x14ac:dyDescent="0.2">
      <c r="A120" s="697"/>
      <c r="B120" s="686" t="s">
        <v>1106</v>
      </c>
      <c r="C120" s="687">
        <v>0</v>
      </c>
      <c r="D120" s="687">
        <f>(74693.5+40293)</f>
        <v>114986.5</v>
      </c>
      <c r="E120" s="653">
        <v>1164297.24</v>
      </c>
      <c r="F120" s="653"/>
      <c r="G120" s="643">
        <v>0</v>
      </c>
      <c r="H120" s="659">
        <f t="shared" si="37"/>
        <v>1012.5512473203376</v>
      </c>
      <c r="I120" s="660">
        <f t="shared" si="35"/>
        <v>763.49362606232296</v>
      </c>
      <c r="J120" s="29">
        <v>152496</v>
      </c>
    </row>
    <row r="121" spans="1:57" s="2" customFormat="1" ht="12.75" customHeight="1" x14ac:dyDescent="0.2">
      <c r="A121" s="704"/>
      <c r="B121" s="702" t="s">
        <v>1107</v>
      </c>
      <c r="C121" s="687">
        <v>0</v>
      </c>
      <c r="D121" s="687">
        <v>900000</v>
      </c>
      <c r="E121" s="653">
        <v>900000</v>
      </c>
      <c r="F121" s="653"/>
      <c r="G121" s="643">
        <v>0</v>
      </c>
      <c r="H121" s="659">
        <f t="shared" si="37"/>
        <v>100</v>
      </c>
      <c r="I121" s="660">
        <v>0</v>
      </c>
      <c r="J121" s="88">
        <v>0</v>
      </c>
    </row>
    <row r="122" spans="1:57" ht="12.75" customHeight="1" x14ac:dyDescent="0.2">
      <c r="A122" s="697"/>
      <c r="B122" s="706" t="s">
        <v>1108</v>
      </c>
      <c r="C122" s="687">
        <v>0</v>
      </c>
      <c r="D122" s="687">
        <f>(1835.4+16518.6)</f>
        <v>18354</v>
      </c>
      <c r="E122" s="707">
        <v>18354</v>
      </c>
      <c r="F122" s="707"/>
      <c r="G122" s="643">
        <v>0</v>
      </c>
      <c r="H122" s="659">
        <f t="shared" si="37"/>
        <v>100</v>
      </c>
      <c r="I122" s="660">
        <v>0</v>
      </c>
      <c r="J122" s="29">
        <v>0</v>
      </c>
    </row>
    <row r="123" spans="1:57" ht="12.75" customHeight="1" x14ac:dyDescent="0.2">
      <c r="A123" s="706"/>
      <c r="B123" s="706" t="s">
        <v>1109</v>
      </c>
      <c r="C123" s="708">
        <v>0</v>
      </c>
      <c r="D123" s="708">
        <f>(5068.4+45615.6)</f>
        <v>50684</v>
      </c>
      <c r="E123" s="707">
        <v>50684</v>
      </c>
      <c r="F123" s="707"/>
      <c r="G123" s="643">
        <v>0</v>
      </c>
      <c r="H123" s="659">
        <f t="shared" si="37"/>
        <v>100</v>
      </c>
      <c r="I123" s="660">
        <v>0</v>
      </c>
      <c r="J123" s="709">
        <v>0</v>
      </c>
      <c r="K123" s="29"/>
      <c r="L123" s="150"/>
    </row>
    <row r="124" spans="1:57" ht="12.75" customHeight="1" x14ac:dyDescent="0.2">
      <c r="A124" s="706"/>
      <c r="B124" s="706" t="s">
        <v>1110</v>
      </c>
      <c r="C124" s="708">
        <v>0</v>
      </c>
      <c r="D124" s="708">
        <f>(4089+36801)</f>
        <v>40890</v>
      </c>
      <c r="E124" s="707">
        <v>40890</v>
      </c>
      <c r="F124" s="707"/>
      <c r="G124" s="643">
        <v>0</v>
      </c>
      <c r="H124" s="659">
        <f t="shared" si="37"/>
        <v>100</v>
      </c>
      <c r="I124" s="660">
        <v>0</v>
      </c>
      <c r="J124" s="709">
        <v>0</v>
      </c>
      <c r="K124" s="29"/>
      <c r="L124" s="150"/>
    </row>
    <row r="125" spans="1:57" ht="12.75" customHeight="1" x14ac:dyDescent="0.2">
      <c r="A125" s="698">
        <v>2310</v>
      </c>
      <c r="B125" s="702" t="s">
        <v>1111</v>
      </c>
      <c r="C125" s="663">
        <v>0</v>
      </c>
      <c r="D125" s="663">
        <v>0</v>
      </c>
      <c r="E125" s="710">
        <v>6175</v>
      </c>
      <c r="F125" s="707"/>
      <c r="G125" s="642">
        <v>0</v>
      </c>
      <c r="H125" s="644">
        <v>0</v>
      </c>
      <c r="I125" s="645">
        <v>0</v>
      </c>
      <c r="J125" s="29">
        <v>0</v>
      </c>
    </row>
    <row r="126" spans="1:57" ht="12.75" customHeight="1" x14ac:dyDescent="0.2">
      <c r="A126" s="698">
        <v>2321</v>
      </c>
      <c r="B126" s="690" t="s">
        <v>1112</v>
      </c>
      <c r="C126" s="663">
        <v>100000</v>
      </c>
      <c r="D126" s="663">
        <v>100000</v>
      </c>
      <c r="E126" s="710">
        <v>105000</v>
      </c>
      <c r="F126" s="707"/>
      <c r="G126" s="642">
        <f t="shared" si="36"/>
        <v>105</v>
      </c>
      <c r="H126" s="644">
        <f t="shared" si="37"/>
        <v>105</v>
      </c>
      <c r="I126" s="645">
        <f t="shared" si="35"/>
        <v>190.90909090909091</v>
      </c>
      <c r="J126" s="29">
        <v>55000</v>
      </c>
    </row>
    <row r="127" spans="1:57" s="685" customFormat="1" ht="12.75" customHeight="1" x14ac:dyDescent="0.2">
      <c r="A127" s="698">
        <v>2322</v>
      </c>
      <c r="B127" s="690" t="s">
        <v>1113</v>
      </c>
      <c r="C127" s="663">
        <v>100000</v>
      </c>
      <c r="D127" s="663">
        <f>100000+112397+186860</f>
        <v>399257</v>
      </c>
      <c r="E127" s="652">
        <v>519918</v>
      </c>
      <c r="F127" s="653"/>
      <c r="G127" s="642">
        <f t="shared" si="36"/>
        <v>519.91800000000001</v>
      </c>
      <c r="H127" s="644">
        <f t="shared" si="37"/>
        <v>130.22138622491278</v>
      </c>
      <c r="I127" s="645">
        <f t="shared" si="35"/>
        <v>162.92802772720293</v>
      </c>
      <c r="J127" s="29">
        <v>319109</v>
      </c>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row>
    <row r="128" spans="1:57" s="98" customFormat="1" ht="12.75" customHeight="1" x14ac:dyDescent="0.2">
      <c r="A128" s="698">
        <v>2324</v>
      </c>
      <c r="B128" s="690" t="s">
        <v>1114</v>
      </c>
      <c r="C128" s="694">
        <f>SUM(C129:C143)</f>
        <v>3408000</v>
      </c>
      <c r="D128" s="694">
        <f>SUM(D129:D143)</f>
        <v>3839000</v>
      </c>
      <c r="E128" s="652">
        <v>4724828.47</v>
      </c>
      <c r="F128" s="653">
        <f>SUM(E129:E143)</f>
        <v>4724828.47</v>
      </c>
      <c r="G128" s="642">
        <f t="shared" si="36"/>
        <v>138.63933303990609</v>
      </c>
      <c r="H128" s="644">
        <f t="shared" si="37"/>
        <v>123.07445871320655</v>
      </c>
      <c r="I128" s="645">
        <f t="shared" si="35"/>
        <v>132.74762160375744</v>
      </c>
      <c r="J128" s="29">
        <v>3559256.59</v>
      </c>
    </row>
    <row r="129" spans="1:45" s="98" customFormat="1" ht="12.75" customHeight="1" x14ac:dyDescent="0.2">
      <c r="A129" s="711"/>
      <c r="B129" s="702" t="s">
        <v>1115</v>
      </c>
      <c r="C129" s="687">
        <v>15000</v>
      </c>
      <c r="D129" s="687">
        <v>15000</v>
      </c>
      <c r="E129" s="653">
        <v>3000</v>
      </c>
      <c r="F129" s="653"/>
      <c r="G129" s="643">
        <f t="shared" si="36"/>
        <v>20</v>
      </c>
      <c r="H129" s="659">
        <f t="shared" si="37"/>
        <v>20</v>
      </c>
      <c r="I129" s="660">
        <f t="shared" si="35"/>
        <v>44.799990442668701</v>
      </c>
      <c r="J129" s="29">
        <v>6696.43</v>
      </c>
    </row>
    <row r="130" spans="1:45" s="98" customFormat="1" ht="12.75" customHeight="1" x14ac:dyDescent="0.2">
      <c r="A130" s="698"/>
      <c r="B130" s="702" t="s">
        <v>1116</v>
      </c>
      <c r="C130" s="687">
        <v>30000</v>
      </c>
      <c r="D130" s="687">
        <v>30000</v>
      </c>
      <c r="E130" s="653">
        <v>17000</v>
      </c>
      <c r="F130" s="653"/>
      <c r="G130" s="643">
        <f t="shared" si="36"/>
        <v>56.666666666666664</v>
      </c>
      <c r="H130" s="659">
        <f t="shared" si="37"/>
        <v>56.666666666666664</v>
      </c>
      <c r="I130" s="660">
        <f t="shared" si="35"/>
        <v>60.714285714285708</v>
      </c>
      <c r="J130" s="29">
        <v>28000</v>
      </c>
    </row>
    <row r="131" spans="1:45" s="98" customFormat="1" ht="12.75" customHeight="1" x14ac:dyDescent="0.2">
      <c r="A131" s="698"/>
      <c r="B131" s="702" t="s">
        <v>1117</v>
      </c>
      <c r="C131" s="687">
        <v>0</v>
      </c>
      <c r="D131" s="687">
        <v>0</v>
      </c>
      <c r="E131" s="653">
        <v>1000</v>
      </c>
      <c r="F131" s="653"/>
      <c r="G131" s="643">
        <v>0</v>
      </c>
      <c r="H131" s="659">
        <v>0</v>
      </c>
      <c r="I131" s="660">
        <v>0</v>
      </c>
      <c r="J131" s="29">
        <v>0</v>
      </c>
    </row>
    <row r="132" spans="1:45" s="98" customFormat="1" ht="12.75" customHeight="1" x14ac:dyDescent="0.2">
      <c r="A132" s="698"/>
      <c r="B132" s="702" t="s">
        <v>1118</v>
      </c>
      <c r="C132" s="687">
        <v>100000</v>
      </c>
      <c r="D132" s="687">
        <v>100000</v>
      </c>
      <c r="E132" s="653">
        <v>69864.3</v>
      </c>
      <c r="F132" s="653"/>
      <c r="G132" s="643">
        <f t="shared" si="36"/>
        <v>69.8643</v>
      </c>
      <c r="H132" s="659">
        <f t="shared" si="37"/>
        <v>69.8643</v>
      </c>
      <c r="I132" s="660">
        <f t="shared" si="35"/>
        <v>124.38386064737583</v>
      </c>
      <c r="J132" s="29">
        <v>56168.3</v>
      </c>
    </row>
    <row r="133" spans="1:45" s="688" customFormat="1" ht="12.75" customHeight="1" x14ac:dyDescent="0.2">
      <c r="A133" s="698"/>
      <c r="B133" s="702" t="s">
        <v>1119</v>
      </c>
      <c r="C133" s="687">
        <v>150000</v>
      </c>
      <c r="D133" s="687">
        <f>150000+180000</f>
        <v>330000</v>
      </c>
      <c r="E133" s="653">
        <v>424868.35</v>
      </c>
      <c r="F133" s="653"/>
      <c r="G133" s="643">
        <f t="shared" si="36"/>
        <v>283.24556666666666</v>
      </c>
      <c r="H133" s="659">
        <f t="shared" si="37"/>
        <v>128.74798484848483</v>
      </c>
      <c r="I133" s="660">
        <f t="shared" si="35"/>
        <v>536.85115176354645</v>
      </c>
      <c r="J133" s="29">
        <v>79140.81</v>
      </c>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row>
    <row r="134" spans="1:45" s="688" customFormat="1" ht="12.75" customHeight="1" x14ac:dyDescent="0.2">
      <c r="A134" s="698"/>
      <c r="B134" s="702" t="s">
        <v>1120</v>
      </c>
      <c r="C134" s="687">
        <v>15000</v>
      </c>
      <c r="D134" s="687">
        <v>15000</v>
      </c>
      <c r="E134" s="653">
        <v>52616.91</v>
      </c>
      <c r="F134" s="653"/>
      <c r="G134" s="643">
        <f t="shared" si="36"/>
        <v>350.77940000000001</v>
      </c>
      <c r="H134" s="659">
        <f t="shared" si="37"/>
        <v>350.77940000000001</v>
      </c>
      <c r="I134" s="660">
        <f t="shared" si="35"/>
        <v>3705.4161971830986</v>
      </c>
      <c r="J134" s="29">
        <v>1420</v>
      </c>
      <c r="K134" s="98"/>
      <c r="L134" s="98"/>
      <c r="M134" s="98"/>
      <c r="N134" s="98"/>
      <c r="O134" s="98"/>
      <c r="P134" s="98"/>
      <c r="Q134" s="98"/>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row>
    <row r="135" spans="1:45" s="688" customFormat="1" ht="12.75" customHeight="1" x14ac:dyDescent="0.2">
      <c r="A135" s="698"/>
      <c r="B135" s="702" t="s">
        <v>1121</v>
      </c>
      <c r="C135" s="687">
        <v>0</v>
      </c>
      <c r="D135" s="687">
        <v>250000</v>
      </c>
      <c r="E135" s="653">
        <v>250000</v>
      </c>
      <c r="F135" s="653"/>
      <c r="G135" s="643">
        <v>0</v>
      </c>
      <c r="H135" s="659">
        <f t="shared" si="37"/>
        <v>100</v>
      </c>
      <c r="I135" s="660">
        <v>0</v>
      </c>
      <c r="J135" s="29">
        <v>0</v>
      </c>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8"/>
    </row>
    <row r="136" spans="1:45" ht="12.75" customHeight="1" x14ac:dyDescent="0.2">
      <c r="A136" s="712"/>
      <c r="B136" s="713" t="s">
        <v>1122</v>
      </c>
      <c r="C136" s="687">
        <v>5000</v>
      </c>
      <c r="D136" s="687">
        <v>5000</v>
      </c>
      <c r="E136" s="653">
        <v>664</v>
      </c>
      <c r="F136" s="653"/>
      <c r="G136" s="643">
        <f t="shared" si="36"/>
        <v>13.28</v>
      </c>
      <c r="H136" s="659">
        <f t="shared" si="37"/>
        <v>13.28</v>
      </c>
      <c r="I136" s="660">
        <f t="shared" ref="I136:I198" si="38">E136/J136*100</f>
        <v>181.12384069830878</v>
      </c>
      <c r="J136" s="29">
        <v>366.6</v>
      </c>
    </row>
    <row r="137" spans="1:45" s="158" customFormat="1" ht="12.75" customHeight="1" x14ac:dyDescent="0.2">
      <c r="A137" s="697"/>
      <c r="B137" s="686" t="s">
        <v>1123</v>
      </c>
      <c r="C137" s="687">
        <v>3000000</v>
      </c>
      <c r="D137" s="687">
        <f>3000000-3000000</f>
        <v>0</v>
      </c>
      <c r="E137" s="653">
        <v>41600</v>
      </c>
      <c r="F137" s="653"/>
      <c r="G137" s="643">
        <f t="shared" si="36"/>
        <v>1.3866666666666667</v>
      </c>
      <c r="H137" s="659">
        <v>0</v>
      </c>
      <c r="I137" s="660">
        <v>0</v>
      </c>
      <c r="J137" s="654">
        <v>0</v>
      </c>
    </row>
    <row r="138" spans="1:45" s="158" customFormat="1" ht="12.75" customHeight="1" x14ac:dyDescent="0.2">
      <c r="A138" s="697"/>
      <c r="B138" s="686" t="s">
        <v>1124</v>
      </c>
      <c r="C138" s="687">
        <v>0</v>
      </c>
      <c r="D138" s="687">
        <v>3000000</v>
      </c>
      <c r="E138" s="653">
        <v>3802146.8</v>
      </c>
      <c r="F138" s="653"/>
      <c r="G138" s="643">
        <v>0</v>
      </c>
      <c r="H138" s="659">
        <f t="shared" si="37"/>
        <v>126.73822666666665</v>
      </c>
      <c r="I138" s="660">
        <f t="shared" si="38"/>
        <v>209.2954955706069</v>
      </c>
      <c r="J138" s="654">
        <v>1816640.53</v>
      </c>
    </row>
    <row r="139" spans="1:45" s="158" customFormat="1" ht="12.75" customHeight="1" x14ac:dyDescent="0.2">
      <c r="A139" s="697"/>
      <c r="B139" s="686" t="s">
        <v>1125</v>
      </c>
      <c r="C139" s="687">
        <v>0</v>
      </c>
      <c r="D139" s="687">
        <v>1000</v>
      </c>
      <c r="E139" s="653">
        <v>3000</v>
      </c>
      <c r="F139" s="653"/>
      <c r="G139" s="643">
        <v>0</v>
      </c>
      <c r="H139" s="659">
        <f t="shared" si="37"/>
        <v>300</v>
      </c>
      <c r="I139" s="660">
        <f t="shared" si="38"/>
        <v>300</v>
      </c>
      <c r="J139" s="654">
        <v>1000</v>
      </c>
    </row>
    <row r="140" spans="1:45" s="158" customFormat="1" ht="12.75" customHeight="1" x14ac:dyDescent="0.2">
      <c r="A140" s="697"/>
      <c r="B140" s="686" t="s">
        <v>1126</v>
      </c>
      <c r="C140" s="687">
        <v>3000</v>
      </c>
      <c r="D140" s="687">
        <v>3000</v>
      </c>
      <c r="E140" s="653">
        <v>1133</v>
      </c>
      <c r="F140" s="653"/>
      <c r="G140" s="643">
        <f t="shared" si="36"/>
        <v>37.766666666666666</v>
      </c>
      <c r="H140" s="659">
        <f t="shared" si="37"/>
        <v>37.766666666666666</v>
      </c>
      <c r="I140" s="660">
        <f t="shared" si="38"/>
        <v>125.88749013899844</v>
      </c>
      <c r="J140" s="654">
        <v>900.01</v>
      </c>
    </row>
    <row r="141" spans="1:45" s="158" customFormat="1" ht="12.75" customHeight="1" x14ac:dyDescent="0.2">
      <c r="A141" s="697"/>
      <c r="B141" s="686" t="s">
        <v>1127</v>
      </c>
      <c r="C141" s="687">
        <v>60000</v>
      </c>
      <c r="D141" s="687">
        <v>60000</v>
      </c>
      <c r="E141" s="653">
        <v>28402.09</v>
      </c>
      <c r="F141" s="653"/>
      <c r="G141" s="643">
        <f t="shared" si="36"/>
        <v>47.336816666666664</v>
      </c>
      <c r="H141" s="659">
        <f t="shared" si="37"/>
        <v>47.336816666666664</v>
      </c>
      <c r="I141" s="660">
        <f t="shared" si="38"/>
        <v>96.453227532381618</v>
      </c>
      <c r="J141" s="654">
        <v>29446.49</v>
      </c>
    </row>
    <row r="142" spans="1:45" s="158" customFormat="1" ht="12.75" customHeight="1" x14ac:dyDescent="0.2">
      <c r="A142" s="697"/>
      <c r="B142" s="686" t="s">
        <v>1128</v>
      </c>
      <c r="C142" s="687">
        <v>0</v>
      </c>
      <c r="D142" s="687">
        <v>0</v>
      </c>
      <c r="E142" s="653">
        <v>9071.8700000000008</v>
      </c>
      <c r="F142" s="653"/>
      <c r="G142" s="643">
        <v>0</v>
      </c>
      <c r="H142" s="659">
        <v>0</v>
      </c>
      <c r="I142" s="660">
        <v>0</v>
      </c>
      <c r="J142" s="654">
        <v>0</v>
      </c>
    </row>
    <row r="143" spans="1:45" s="158" customFormat="1" ht="12.75" customHeight="1" x14ac:dyDescent="0.2">
      <c r="A143" s="711"/>
      <c r="B143" s="686" t="s">
        <v>1129</v>
      </c>
      <c r="C143" s="687">
        <v>30000</v>
      </c>
      <c r="D143" s="687">
        <v>30000</v>
      </c>
      <c r="E143" s="653">
        <v>20461.150000000001</v>
      </c>
      <c r="F143" s="653"/>
      <c r="G143" s="643">
        <f t="shared" si="36"/>
        <v>68.203833333333336</v>
      </c>
      <c r="H143" s="659">
        <f t="shared" si="37"/>
        <v>68.203833333333336</v>
      </c>
      <c r="I143" s="660">
        <f t="shared" si="38"/>
        <v>121.92740542814616</v>
      </c>
      <c r="J143" s="654">
        <v>16781.419999999998</v>
      </c>
    </row>
    <row r="144" spans="1:45" s="158" customFormat="1" ht="13.5" customHeight="1" x14ac:dyDescent="0.2">
      <c r="A144" s="714">
        <v>2328</v>
      </c>
      <c r="B144" s="689" t="s">
        <v>1130</v>
      </c>
      <c r="C144" s="663">
        <v>0</v>
      </c>
      <c r="D144" s="663">
        <v>0</v>
      </c>
      <c r="E144" s="649">
        <v>64529.04</v>
      </c>
      <c r="F144" s="650"/>
      <c r="G144" s="642">
        <v>0</v>
      </c>
      <c r="H144" s="644">
        <v>0</v>
      </c>
      <c r="I144" s="645">
        <f t="shared" si="38"/>
        <v>75.426476267599767</v>
      </c>
      <c r="J144" s="654">
        <v>85552.24</v>
      </c>
    </row>
    <row r="145" spans="1:45" s="98" customFormat="1" ht="12.75" customHeight="1" x14ac:dyDescent="0.2">
      <c r="A145" s="698">
        <v>2329</v>
      </c>
      <c r="B145" s="690" t="s">
        <v>164</v>
      </c>
      <c r="C145" s="694">
        <f>SUM(C146:C163)</f>
        <v>17694387.359999999</v>
      </c>
      <c r="D145" s="694">
        <f>SUM(D146:D163)</f>
        <v>33358653.629999999</v>
      </c>
      <c r="E145" s="649">
        <v>98891140.159999996</v>
      </c>
      <c r="F145" s="650">
        <f>SUM(E146:E163)</f>
        <v>98891140.160000011</v>
      </c>
      <c r="G145" s="642">
        <f t="shared" si="36"/>
        <v>558.88422779504469</v>
      </c>
      <c r="H145" s="644">
        <f t="shared" si="37"/>
        <v>296.4482357617261</v>
      </c>
      <c r="I145" s="645">
        <f t="shared" si="38"/>
        <v>7913.1496001572987</v>
      </c>
      <c r="J145" s="29">
        <v>1249706.44</v>
      </c>
    </row>
    <row r="146" spans="1:45" s="98" customFormat="1" ht="12.75" customHeight="1" x14ac:dyDescent="0.2">
      <c r="A146" s="698"/>
      <c r="B146" s="702" t="s">
        <v>1131</v>
      </c>
      <c r="C146" s="687">
        <v>200000</v>
      </c>
      <c r="D146" s="687">
        <v>200000</v>
      </c>
      <c r="E146" s="653">
        <v>0</v>
      </c>
      <c r="F146" s="653"/>
      <c r="G146" s="643">
        <f t="shared" si="36"/>
        <v>0</v>
      </c>
      <c r="H146" s="659">
        <f t="shared" si="37"/>
        <v>0</v>
      </c>
      <c r="I146" s="660">
        <v>0</v>
      </c>
      <c r="J146" s="29">
        <v>0</v>
      </c>
    </row>
    <row r="147" spans="1:45" ht="12.75" customHeight="1" x14ac:dyDescent="0.2">
      <c r="A147" s="697"/>
      <c r="B147" s="686" t="s">
        <v>1132</v>
      </c>
      <c r="C147" s="687">
        <v>0</v>
      </c>
      <c r="D147" s="687">
        <v>0</v>
      </c>
      <c r="E147" s="653">
        <v>530</v>
      </c>
      <c r="F147" s="653"/>
      <c r="G147" s="643">
        <v>0</v>
      </c>
      <c r="H147" s="659">
        <v>0</v>
      </c>
      <c r="I147" s="660">
        <v>0</v>
      </c>
      <c r="J147" s="29">
        <v>0</v>
      </c>
    </row>
    <row r="148" spans="1:45" ht="12.75" customHeight="1" x14ac:dyDescent="0.2">
      <c r="A148" s="697"/>
      <c r="B148" s="686" t="s">
        <v>1133</v>
      </c>
      <c r="C148" s="687">
        <v>5000</v>
      </c>
      <c r="D148" s="687">
        <v>5000</v>
      </c>
      <c r="E148" s="653">
        <v>0</v>
      </c>
      <c r="F148" s="653"/>
      <c r="G148" s="643">
        <f t="shared" si="36"/>
        <v>0</v>
      </c>
      <c r="H148" s="659">
        <f t="shared" si="37"/>
        <v>0</v>
      </c>
      <c r="I148" s="660">
        <v>0</v>
      </c>
      <c r="J148" s="29">
        <v>0</v>
      </c>
    </row>
    <row r="149" spans="1:45" ht="12.75" customHeight="1" x14ac:dyDescent="0.2">
      <c r="A149" s="697"/>
      <c r="B149" s="686" t="s">
        <v>1134</v>
      </c>
      <c r="C149" s="687">
        <v>0</v>
      </c>
      <c r="D149" s="687">
        <v>250000</v>
      </c>
      <c r="E149" s="653">
        <v>132750</v>
      </c>
      <c r="F149" s="653"/>
      <c r="G149" s="643">
        <v>0</v>
      </c>
      <c r="H149" s="659">
        <f t="shared" si="37"/>
        <v>53.1</v>
      </c>
      <c r="I149" s="660">
        <f t="shared" si="38"/>
        <v>110.625</v>
      </c>
      <c r="J149" s="29">
        <v>120000</v>
      </c>
    </row>
    <row r="150" spans="1:45" s="685" customFormat="1" ht="12.75" customHeight="1" x14ac:dyDescent="0.2">
      <c r="A150" s="697"/>
      <c r="B150" s="686" t="s">
        <v>1135</v>
      </c>
      <c r="C150" s="687">
        <v>500000</v>
      </c>
      <c r="D150" s="687">
        <v>500000</v>
      </c>
      <c r="E150" s="653">
        <v>733886.75</v>
      </c>
      <c r="F150" s="653"/>
      <c r="G150" s="643">
        <f t="shared" si="36"/>
        <v>146.77735000000001</v>
      </c>
      <c r="H150" s="659">
        <f t="shared" si="37"/>
        <v>146.77735000000001</v>
      </c>
      <c r="I150" s="660">
        <f t="shared" si="38"/>
        <v>72.694986003857636</v>
      </c>
      <c r="J150" s="29">
        <v>1009542.46</v>
      </c>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row>
    <row r="151" spans="1:45" s="685" customFormat="1" ht="12.75" customHeight="1" x14ac:dyDescent="0.2">
      <c r="A151" s="697"/>
      <c r="B151" s="686" t="s">
        <v>1064</v>
      </c>
      <c r="C151" s="687">
        <v>20000</v>
      </c>
      <c r="D151" s="687">
        <v>20000</v>
      </c>
      <c r="E151" s="653">
        <v>886.56</v>
      </c>
      <c r="F151" s="653"/>
      <c r="G151" s="643">
        <f t="shared" si="36"/>
        <v>4.4328000000000003</v>
      </c>
      <c r="H151" s="659">
        <f t="shared" si="37"/>
        <v>4.4328000000000003</v>
      </c>
      <c r="I151" s="660">
        <v>0</v>
      </c>
      <c r="J151" s="29">
        <v>0</v>
      </c>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row>
    <row r="152" spans="1:45" ht="12.75" customHeight="1" x14ac:dyDescent="0.2">
      <c r="A152" s="697"/>
      <c r="B152" s="686" t="s">
        <v>1136</v>
      </c>
      <c r="C152" s="687">
        <v>250000</v>
      </c>
      <c r="D152" s="687">
        <f>250000-250000</f>
        <v>0</v>
      </c>
      <c r="E152" s="653">
        <v>141722.60999999999</v>
      </c>
      <c r="F152" s="653"/>
      <c r="G152" s="643">
        <f t="shared" si="36"/>
        <v>56.689044000000003</v>
      </c>
      <c r="H152" s="659">
        <v>0</v>
      </c>
      <c r="I152" s="660">
        <v>0</v>
      </c>
      <c r="J152" s="29">
        <v>0</v>
      </c>
    </row>
    <row r="153" spans="1:45" ht="12.75" customHeight="1" x14ac:dyDescent="0.2">
      <c r="A153" s="697"/>
      <c r="B153" s="686" t="s">
        <v>1137</v>
      </c>
      <c r="C153" s="687">
        <v>0</v>
      </c>
      <c r="D153" s="687">
        <v>0</v>
      </c>
      <c r="E153" s="653">
        <v>2541</v>
      </c>
      <c r="F153" s="653"/>
      <c r="G153" s="643">
        <v>0</v>
      </c>
      <c r="H153" s="659">
        <v>0</v>
      </c>
      <c r="I153" s="660">
        <v>0</v>
      </c>
      <c r="J153" s="29">
        <v>0</v>
      </c>
    </row>
    <row r="154" spans="1:45" ht="12.75" customHeight="1" x14ac:dyDescent="0.2">
      <c r="A154" s="697"/>
      <c r="B154" s="686" t="s">
        <v>1138</v>
      </c>
      <c r="C154" s="687">
        <v>50000</v>
      </c>
      <c r="D154" s="687">
        <v>50000</v>
      </c>
      <c r="E154" s="653">
        <v>81512.3</v>
      </c>
      <c r="F154" s="653"/>
      <c r="G154" s="643">
        <f t="shared" si="36"/>
        <v>163.02460000000002</v>
      </c>
      <c r="H154" s="659">
        <f t="shared" si="37"/>
        <v>163.02460000000002</v>
      </c>
      <c r="I154" s="660">
        <f t="shared" si="38"/>
        <v>334.65931485252582</v>
      </c>
      <c r="J154" s="29">
        <v>24356.799999999999</v>
      </c>
    </row>
    <row r="155" spans="1:45" ht="12.75" customHeight="1" x14ac:dyDescent="0.2">
      <c r="A155" s="697"/>
      <c r="B155" s="686" t="s">
        <v>1139</v>
      </c>
      <c r="C155" s="701">
        <v>40000</v>
      </c>
      <c r="D155" s="701">
        <v>40000</v>
      </c>
      <c r="E155" s="650">
        <v>22770</v>
      </c>
      <c r="F155" s="650"/>
      <c r="G155" s="643">
        <f t="shared" si="36"/>
        <v>56.925000000000004</v>
      </c>
      <c r="H155" s="659">
        <f t="shared" si="37"/>
        <v>56.925000000000004</v>
      </c>
      <c r="I155" s="660">
        <f t="shared" si="38"/>
        <v>99.649890590809633</v>
      </c>
      <c r="J155" s="29">
        <v>22850</v>
      </c>
    </row>
    <row r="156" spans="1:45" ht="12.75" customHeight="1" x14ac:dyDescent="0.2">
      <c r="A156" s="697"/>
      <c r="B156" s="695" t="s">
        <v>1140</v>
      </c>
      <c r="C156" s="715">
        <v>5500000</v>
      </c>
      <c r="D156" s="715">
        <v>5500000</v>
      </c>
      <c r="E156" s="653">
        <v>0</v>
      </c>
      <c r="F156" s="653"/>
      <c r="G156" s="643">
        <f t="shared" si="36"/>
        <v>0</v>
      </c>
      <c r="H156" s="659">
        <f t="shared" si="37"/>
        <v>0</v>
      </c>
      <c r="I156" s="664">
        <v>0</v>
      </c>
      <c r="J156" s="29">
        <v>0</v>
      </c>
    </row>
    <row r="157" spans="1:45" ht="24.75" x14ac:dyDescent="0.2">
      <c r="A157" s="697"/>
      <c r="B157" s="695" t="s">
        <v>1141</v>
      </c>
      <c r="C157" s="687">
        <v>8304000</v>
      </c>
      <c r="D157" s="687">
        <v>8304000</v>
      </c>
      <c r="E157" s="650">
        <v>0</v>
      </c>
      <c r="F157" s="650"/>
      <c r="G157" s="643">
        <f t="shared" si="36"/>
        <v>0</v>
      </c>
      <c r="H157" s="659">
        <f t="shared" si="37"/>
        <v>0</v>
      </c>
      <c r="I157" s="664">
        <v>0</v>
      </c>
      <c r="J157" s="654">
        <v>0</v>
      </c>
    </row>
    <row r="158" spans="1:45" ht="24.75" x14ac:dyDescent="0.2">
      <c r="A158" s="697"/>
      <c r="B158" s="695" t="s">
        <v>1142</v>
      </c>
      <c r="C158" s="715">
        <v>1000000</v>
      </c>
      <c r="D158" s="715">
        <v>1000000</v>
      </c>
      <c r="E158" s="653">
        <v>0</v>
      </c>
      <c r="F158" s="653"/>
      <c r="G158" s="643">
        <f t="shared" si="36"/>
        <v>0</v>
      </c>
      <c r="H158" s="659">
        <f t="shared" si="37"/>
        <v>0</v>
      </c>
      <c r="I158" s="660">
        <v>0</v>
      </c>
      <c r="J158" s="654">
        <v>0</v>
      </c>
    </row>
    <row r="159" spans="1:45" ht="24.75" x14ac:dyDescent="0.2">
      <c r="A159" s="716"/>
      <c r="B159" s="717" t="s">
        <v>1143</v>
      </c>
      <c r="C159" s="718">
        <v>700000</v>
      </c>
      <c r="D159" s="718">
        <v>700000</v>
      </c>
      <c r="E159" s="653">
        <v>0</v>
      </c>
      <c r="F159" s="653"/>
      <c r="G159" s="643">
        <f t="shared" si="36"/>
        <v>0</v>
      </c>
      <c r="H159" s="659">
        <f t="shared" si="37"/>
        <v>0</v>
      </c>
      <c r="I159" s="660">
        <v>0</v>
      </c>
      <c r="J159" s="29">
        <v>0</v>
      </c>
    </row>
    <row r="160" spans="1:45" x14ac:dyDescent="0.2">
      <c r="A160" s="711"/>
      <c r="B160" s="686" t="s">
        <v>1144</v>
      </c>
      <c r="C160" s="701">
        <v>125387.36</v>
      </c>
      <c r="D160" s="701">
        <v>125387.36</v>
      </c>
      <c r="E160" s="653">
        <v>0</v>
      </c>
      <c r="F160" s="653"/>
      <c r="G160" s="643">
        <f t="shared" si="36"/>
        <v>0</v>
      </c>
      <c r="H160" s="659">
        <f t="shared" si="37"/>
        <v>0</v>
      </c>
      <c r="I160" s="660">
        <v>0</v>
      </c>
      <c r="J160" s="29">
        <v>0</v>
      </c>
    </row>
    <row r="161" spans="1:45" ht="12.75" customHeight="1" x14ac:dyDescent="0.2">
      <c r="A161" s="697"/>
      <c r="B161" s="686" t="s">
        <v>1145</v>
      </c>
      <c r="C161" s="701">
        <v>0</v>
      </c>
      <c r="D161" s="701">
        <v>0</v>
      </c>
      <c r="E161" s="708">
        <v>39680.400000000001</v>
      </c>
      <c r="F161" s="708"/>
      <c r="G161" s="643">
        <v>0</v>
      </c>
      <c r="H161" s="659">
        <v>0</v>
      </c>
      <c r="I161" s="660">
        <f t="shared" si="38"/>
        <v>94.465109801489575</v>
      </c>
      <c r="J161" s="29">
        <v>42005.35</v>
      </c>
    </row>
    <row r="162" spans="1:45" ht="12.75" customHeight="1" x14ac:dyDescent="0.2">
      <c r="A162" s="719"/>
      <c r="B162" s="720" t="s">
        <v>1146</v>
      </c>
      <c r="C162" s="721">
        <v>1000000</v>
      </c>
      <c r="D162" s="721">
        <f>1000000-500000</f>
        <v>500000</v>
      </c>
      <c r="E162" s="722">
        <v>0</v>
      </c>
      <c r="F162" s="722"/>
      <c r="G162" s="643">
        <f t="shared" si="36"/>
        <v>0</v>
      </c>
      <c r="H162" s="659">
        <f t="shared" si="37"/>
        <v>0</v>
      </c>
      <c r="I162" s="660">
        <v>0</v>
      </c>
      <c r="J162" s="29">
        <v>0</v>
      </c>
    </row>
    <row r="163" spans="1:45" ht="12.75" customHeight="1" x14ac:dyDescent="0.2">
      <c r="A163" s="719"/>
      <c r="B163" s="720" t="s">
        <v>1147</v>
      </c>
      <c r="C163" s="721">
        <v>0</v>
      </c>
      <c r="D163" s="721">
        <v>16164266.27</v>
      </c>
      <c r="E163" s="722">
        <v>97734860.540000007</v>
      </c>
      <c r="F163" s="722"/>
      <c r="G163" s="643">
        <v>0</v>
      </c>
      <c r="H163" s="659">
        <f t="shared" si="37"/>
        <v>604.63530424137218</v>
      </c>
      <c r="I163" s="660">
        <v>0</v>
      </c>
      <c r="J163" s="29">
        <v>0</v>
      </c>
    </row>
    <row r="164" spans="1:45" ht="12.75" customHeight="1" x14ac:dyDescent="0.2">
      <c r="A164" s="723"/>
      <c r="B164" s="720"/>
      <c r="C164" s="724"/>
      <c r="D164" s="724"/>
      <c r="E164" s="725"/>
      <c r="F164" s="725"/>
      <c r="G164" s="725"/>
      <c r="H164" s="725"/>
      <c r="I164" s="726"/>
      <c r="J164" s="29"/>
    </row>
    <row r="165" spans="1:45" s="98" customFormat="1" ht="18.75" customHeight="1" x14ac:dyDescent="0.25">
      <c r="A165" s="727"/>
      <c r="B165" s="728" t="s">
        <v>11</v>
      </c>
      <c r="C165" s="729">
        <f>SUM(C166:C168,C174:C174,C175,C177)</f>
        <v>72976820.010000005</v>
      </c>
      <c r="D165" s="729">
        <f>SUM(D166:D168,D174:D174,D175,D177)</f>
        <v>71051552</v>
      </c>
      <c r="E165" s="730">
        <v>3001467</v>
      </c>
      <c r="F165" s="731">
        <f>SUM(E166:E168,E171:E172,E174:E175,E177)</f>
        <v>3001467</v>
      </c>
      <c r="G165" s="631">
        <f t="shared" si="36"/>
        <v>4.1129046176425739</v>
      </c>
      <c r="H165" s="631">
        <f t="shared" si="37"/>
        <v>4.2243510739920218</v>
      </c>
      <c r="I165" s="677">
        <f t="shared" si="38"/>
        <v>84.922924136526106</v>
      </c>
      <c r="J165" s="29">
        <v>3534342.5</v>
      </c>
    </row>
    <row r="166" spans="1:45" s="98" customFormat="1" ht="24.75" x14ac:dyDescent="0.2">
      <c r="A166" s="732">
        <v>3111</v>
      </c>
      <c r="B166" s="733" t="s">
        <v>1148</v>
      </c>
      <c r="C166" s="734">
        <v>49200000</v>
      </c>
      <c r="D166" s="734">
        <v>49200000</v>
      </c>
      <c r="E166" s="652">
        <v>953071</v>
      </c>
      <c r="F166" s="653"/>
      <c r="G166" s="642">
        <f t="shared" si="36"/>
        <v>1.9371361788617887</v>
      </c>
      <c r="H166" s="644">
        <f t="shared" si="37"/>
        <v>1.9371361788617887</v>
      </c>
      <c r="I166" s="651">
        <f t="shared" si="38"/>
        <v>27.997717460035354</v>
      </c>
      <c r="J166" s="654">
        <v>3404102.5</v>
      </c>
    </row>
    <row r="167" spans="1:45" s="98" customFormat="1" x14ac:dyDescent="0.2">
      <c r="A167" s="732">
        <v>3111</v>
      </c>
      <c r="B167" s="733" t="s">
        <v>1149</v>
      </c>
      <c r="C167" s="663">
        <v>600000</v>
      </c>
      <c r="D167" s="663">
        <v>600000</v>
      </c>
      <c r="E167" s="652">
        <v>24970</v>
      </c>
      <c r="F167" s="653"/>
      <c r="G167" s="642">
        <f t="shared" si="36"/>
        <v>4.1616666666666671</v>
      </c>
      <c r="H167" s="644">
        <f t="shared" si="37"/>
        <v>4.1616666666666671</v>
      </c>
      <c r="I167" s="645">
        <f t="shared" si="38"/>
        <v>19.172297297297298</v>
      </c>
      <c r="J167" s="29">
        <v>130240</v>
      </c>
    </row>
    <row r="168" spans="1:45" s="98" customFormat="1" x14ac:dyDescent="0.2">
      <c r="A168" s="698">
        <v>3112</v>
      </c>
      <c r="B168" s="690" t="s">
        <v>1150</v>
      </c>
      <c r="C168" s="694">
        <f>SUM(C169:C173)</f>
        <v>14648000</v>
      </c>
      <c r="D168" s="694">
        <f>SUM(D169:D173)</f>
        <v>14648000</v>
      </c>
      <c r="E168" s="649">
        <v>0</v>
      </c>
      <c r="F168" s="650">
        <f>SUM(E169:E170)</f>
        <v>0</v>
      </c>
      <c r="G168" s="642">
        <f t="shared" si="36"/>
        <v>0</v>
      </c>
      <c r="H168" s="644">
        <f t="shared" si="37"/>
        <v>0</v>
      </c>
      <c r="I168" s="645">
        <v>0</v>
      </c>
      <c r="J168" s="29">
        <v>0</v>
      </c>
    </row>
    <row r="169" spans="1:45" s="688" customFormat="1" x14ac:dyDescent="0.2">
      <c r="A169" s="698"/>
      <c r="B169" s="720" t="s">
        <v>1151</v>
      </c>
      <c r="C169" s="715">
        <v>3306000</v>
      </c>
      <c r="D169" s="715">
        <v>3306000</v>
      </c>
      <c r="E169" s="650">
        <v>0</v>
      </c>
      <c r="F169" s="650"/>
      <c r="G169" s="643">
        <f t="shared" si="36"/>
        <v>0</v>
      </c>
      <c r="H169" s="659">
        <f t="shared" si="37"/>
        <v>0</v>
      </c>
      <c r="I169" s="660">
        <v>0</v>
      </c>
      <c r="J169" s="29">
        <v>0</v>
      </c>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row>
    <row r="170" spans="1:45" s="688" customFormat="1" x14ac:dyDescent="0.2">
      <c r="A170" s="698"/>
      <c r="B170" s="720" t="s">
        <v>1152</v>
      </c>
      <c r="C170" s="687">
        <v>4200000</v>
      </c>
      <c r="D170" s="687">
        <v>4200000</v>
      </c>
      <c r="E170" s="653">
        <v>0</v>
      </c>
      <c r="F170" s="653"/>
      <c r="G170" s="643">
        <f t="shared" si="36"/>
        <v>0</v>
      </c>
      <c r="H170" s="659">
        <f t="shared" si="37"/>
        <v>0</v>
      </c>
      <c r="I170" s="660">
        <v>0</v>
      </c>
      <c r="J170" s="29">
        <v>0</v>
      </c>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row>
    <row r="171" spans="1:45" s="688" customFormat="1" x14ac:dyDescent="0.2">
      <c r="A171" s="698"/>
      <c r="B171" s="720" t="s">
        <v>1153</v>
      </c>
      <c r="C171" s="687">
        <v>5690000</v>
      </c>
      <c r="D171" s="687">
        <v>5690000</v>
      </c>
      <c r="E171" s="653">
        <v>0</v>
      </c>
      <c r="F171" s="653"/>
      <c r="G171" s="643">
        <f t="shared" si="36"/>
        <v>0</v>
      </c>
      <c r="H171" s="659">
        <f t="shared" si="37"/>
        <v>0</v>
      </c>
      <c r="I171" s="660">
        <v>0</v>
      </c>
      <c r="J171" s="29">
        <v>0</v>
      </c>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8"/>
      <c r="AM171" s="98"/>
      <c r="AN171" s="98"/>
      <c r="AO171" s="98"/>
      <c r="AP171" s="98"/>
      <c r="AQ171" s="98"/>
      <c r="AR171" s="98"/>
      <c r="AS171" s="98"/>
    </row>
    <row r="172" spans="1:45" s="688" customFormat="1" x14ac:dyDescent="0.2">
      <c r="A172" s="698"/>
      <c r="B172" s="720" t="s">
        <v>1154</v>
      </c>
      <c r="C172" s="687">
        <v>842000</v>
      </c>
      <c r="D172" s="687">
        <v>842000</v>
      </c>
      <c r="E172" s="653">
        <v>0</v>
      </c>
      <c r="F172" s="653"/>
      <c r="G172" s="643">
        <f t="shared" si="36"/>
        <v>0</v>
      </c>
      <c r="H172" s="659">
        <f t="shared" si="37"/>
        <v>0</v>
      </c>
      <c r="I172" s="660">
        <v>0</v>
      </c>
      <c r="J172" s="29">
        <v>0</v>
      </c>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row>
    <row r="173" spans="1:45" s="688" customFormat="1" x14ac:dyDescent="0.2">
      <c r="A173" s="698"/>
      <c r="B173" s="720" t="s">
        <v>1155</v>
      </c>
      <c r="C173" s="687">
        <v>610000</v>
      </c>
      <c r="D173" s="687">
        <v>610000</v>
      </c>
      <c r="E173" s="653">
        <v>0</v>
      </c>
      <c r="F173" s="653"/>
      <c r="G173" s="643">
        <f t="shared" ref="G173:G236" si="39">E173/C173*100</f>
        <v>0</v>
      </c>
      <c r="H173" s="659">
        <f t="shared" ref="H173:H236" si="40">E173/D173*100</f>
        <v>0</v>
      </c>
      <c r="I173" s="660">
        <v>0</v>
      </c>
      <c r="J173" s="29">
        <v>0</v>
      </c>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98"/>
      <c r="AH173" s="98"/>
      <c r="AI173" s="98"/>
      <c r="AJ173" s="98"/>
      <c r="AK173" s="98"/>
      <c r="AL173" s="98"/>
      <c r="AM173" s="98"/>
      <c r="AN173" s="98"/>
      <c r="AO173" s="98"/>
      <c r="AP173" s="98"/>
      <c r="AQ173" s="98"/>
      <c r="AR173" s="98"/>
      <c r="AS173" s="98"/>
    </row>
    <row r="174" spans="1:45" s="98" customFormat="1" x14ac:dyDescent="0.2">
      <c r="A174" s="698">
        <v>3113</v>
      </c>
      <c r="B174" s="690" t="s">
        <v>1156</v>
      </c>
      <c r="C174" s="663">
        <v>50000</v>
      </c>
      <c r="D174" s="663">
        <v>50000</v>
      </c>
      <c r="E174" s="652">
        <v>46300</v>
      </c>
      <c r="F174" s="653"/>
      <c r="G174" s="642">
        <f t="shared" si="39"/>
        <v>92.600000000000009</v>
      </c>
      <c r="H174" s="644">
        <f t="shared" si="40"/>
        <v>92.600000000000009</v>
      </c>
      <c r="I174" s="645">
        <v>0</v>
      </c>
      <c r="J174" s="29">
        <v>0</v>
      </c>
    </row>
    <row r="175" spans="1:45" s="98" customFormat="1" x14ac:dyDescent="0.2">
      <c r="A175" s="698">
        <v>3122</v>
      </c>
      <c r="B175" s="689" t="s">
        <v>1157</v>
      </c>
      <c r="C175" s="663">
        <f t="shared" ref="C175:D175" si="41">C176</f>
        <v>2372552</v>
      </c>
      <c r="D175" s="663">
        <f t="shared" si="41"/>
        <v>2372552</v>
      </c>
      <c r="E175" s="735">
        <v>1977126</v>
      </c>
      <c r="F175" s="708"/>
      <c r="G175" s="642">
        <f t="shared" si="39"/>
        <v>83.33330523419508</v>
      </c>
      <c r="H175" s="644">
        <f t="shared" si="40"/>
        <v>83.33330523419508</v>
      </c>
      <c r="I175" s="645">
        <v>0</v>
      </c>
      <c r="J175" s="29">
        <v>0</v>
      </c>
    </row>
    <row r="176" spans="1:45" s="98" customFormat="1" x14ac:dyDescent="0.2">
      <c r="A176" s="698"/>
      <c r="B176" s="689" t="s">
        <v>1158</v>
      </c>
      <c r="C176" s="701">
        <v>2372552</v>
      </c>
      <c r="D176" s="701">
        <v>2372552</v>
      </c>
      <c r="E176" s="722">
        <v>1977126</v>
      </c>
      <c r="F176" s="722"/>
      <c r="G176" s="643">
        <f t="shared" si="39"/>
        <v>83.33330523419508</v>
      </c>
      <c r="H176" s="659">
        <f t="shared" si="40"/>
        <v>83.33330523419508</v>
      </c>
      <c r="I176" s="736">
        <v>0</v>
      </c>
      <c r="J176" s="29">
        <v>0</v>
      </c>
    </row>
    <row r="177" spans="1:10" s="98" customFormat="1" ht="12.75" customHeight="1" x14ac:dyDescent="0.2">
      <c r="A177" s="698">
        <v>3129</v>
      </c>
      <c r="B177" s="690" t="s">
        <v>191</v>
      </c>
      <c r="C177" s="694">
        <f>SUM(C178:C183)</f>
        <v>6106268.0099999998</v>
      </c>
      <c r="D177" s="694">
        <f>SUM(D178:D183)</f>
        <v>4181000</v>
      </c>
      <c r="E177" s="652">
        <v>0</v>
      </c>
      <c r="F177" s="653">
        <f>SUM(E178:E183)</f>
        <v>0</v>
      </c>
      <c r="G177" s="642">
        <f t="shared" si="39"/>
        <v>0</v>
      </c>
      <c r="H177" s="644">
        <f t="shared" si="40"/>
        <v>0</v>
      </c>
      <c r="I177" s="645">
        <v>0</v>
      </c>
      <c r="J177" s="29">
        <v>0</v>
      </c>
    </row>
    <row r="178" spans="1:10" s="98" customFormat="1" ht="12.75" customHeight="1" x14ac:dyDescent="0.2">
      <c r="A178" s="737"/>
      <c r="B178" s="738" t="s">
        <v>1159</v>
      </c>
      <c r="C178" s="739">
        <v>1896000</v>
      </c>
      <c r="D178" s="739">
        <v>1896000</v>
      </c>
      <c r="E178" s="722">
        <v>0</v>
      </c>
      <c r="F178" s="722"/>
      <c r="G178" s="643">
        <f t="shared" si="39"/>
        <v>0</v>
      </c>
      <c r="H178" s="659">
        <f t="shared" si="40"/>
        <v>0</v>
      </c>
      <c r="I178" s="660">
        <v>0</v>
      </c>
      <c r="J178" s="29">
        <v>0</v>
      </c>
    </row>
    <row r="179" spans="1:10" s="98" customFormat="1" ht="12.75" customHeight="1" x14ac:dyDescent="0.2">
      <c r="A179" s="737"/>
      <c r="B179" s="740" t="s">
        <v>1160</v>
      </c>
      <c r="C179" s="741">
        <v>522932</v>
      </c>
      <c r="D179" s="741">
        <f>522932-522932</f>
        <v>0</v>
      </c>
      <c r="E179" s="722">
        <v>0</v>
      </c>
      <c r="F179" s="722"/>
      <c r="G179" s="643">
        <f t="shared" si="39"/>
        <v>0</v>
      </c>
      <c r="H179" s="659">
        <v>0</v>
      </c>
      <c r="I179" s="736">
        <v>0</v>
      </c>
      <c r="J179" s="29">
        <v>0</v>
      </c>
    </row>
    <row r="180" spans="1:10" s="98" customFormat="1" ht="12.75" customHeight="1" x14ac:dyDescent="0.2">
      <c r="A180" s="737"/>
      <c r="B180" s="742" t="s">
        <v>1161</v>
      </c>
      <c r="C180" s="741">
        <v>400000</v>
      </c>
      <c r="D180" s="741">
        <f>400000-400000</f>
        <v>0</v>
      </c>
      <c r="E180" s="722">
        <v>0</v>
      </c>
      <c r="F180" s="722"/>
      <c r="G180" s="643">
        <f t="shared" si="39"/>
        <v>0</v>
      </c>
      <c r="H180" s="659">
        <v>0</v>
      </c>
      <c r="I180" s="660">
        <v>0</v>
      </c>
      <c r="J180" s="29">
        <v>0</v>
      </c>
    </row>
    <row r="181" spans="1:10" s="98" customFormat="1" ht="12.75" customHeight="1" x14ac:dyDescent="0.2">
      <c r="A181" s="737"/>
      <c r="B181" s="742" t="s">
        <v>1162</v>
      </c>
      <c r="C181" s="741">
        <v>1002336.01</v>
      </c>
      <c r="D181" s="741">
        <f>1002336.01-1002336.01</f>
        <v>0</v>
      </c>
      <c r="E181" s="708">
        <v>0</v>
      </c>
      <c r="F181" s="708"/>
      <c r="G181" s="643">
        <f t="shared" si="39"/>
        <v>0</v>
      </c>
      <c r="H181" s="659">
        <v>0</v>
      </c>
      <c r="I181" s="660">
        <v>0</v>
      </c>
      <c r="J181" s="29">
        <v>0</v>
      </c>
    </row>
    <row r="182" spans="1:10" s="98" customFormat="1" ht="12.75" customHeight="1" x14ac:dyDescent="0.2">
      <c r="A182" s="743"/>
      <c r="B182" s="744" t="s">
        <v>1163</v>
      </c>
      <c r="C182" s="741">
        <v>1700000</v>
      </c>
      <c r="D182" s="741">
        <v>1700000</v>
      </c>
      <c r="E182" s="722">
        <v>0</v>
      </c>
      <c r="F182" s="722"/>
      <c r="G182" s="643">
        <f t="shared" si="39"/>
        <v>0</v>
      </c>
      <c r="H182" s="659">
        <f t="shared" si="40"/>
        <v>0</v>
      </c>
      <c r="I182" s="736">
        <v>0</v>
      </c>
      <c r="J182" s="29">
        <v>0</v>
      </c>
    </row>
    <row r="183" spans="1:10" s="98" customFormat="1" x14ac:dyDescent="0.2">
      <c r="A183" s="745"/>
      <c r="B183" s="742" t="s">
        <v>1164</v>
      </c>
      <c r="C183" s="746">
        <v>585000</v>
      </c>
      <c r="D183" s="746">
        <v>585000</v>
      </c>
      <c r="E183" s="722">
        <v>0</v>
      </c>
      <c r="F183" s="722"/>
      <c r="G183" s="643">
        <f t="shared" si="39"/>
        <v>0</v>
      </c>
      <c r="H183" s="659">
        <f t="shared" si="40"/>
        <v>0</v>
      </c>
      <c r="I183" s="736">
        <v>0</v>
      </c>
      <c r="J183" s="29">
        <v>0</v>
      </c>
    </row>
    <row r="184" spans="1:10" s="98" customFormat="1" x14ac:dyDescent="0.2">
      <c r="A184" s="747"/>
      <c r="B184" s="742"/>
      <c r="C184" s="748"/>
      <c r="D184" s="748"/>
      <c r="E184" s="671"/>
      <c r="F184" s="671"/>
      <c r="G184" s="671"/>
      <c r="H184" s="671"/>
      <c r="I184" s="749"/>
      <c r="J184" s="29"/>
    </row>
    <row r="185" spans="1:10" s="98" customFormat="1" ht="18" x14ac:dyDescent="0.25">
      <c r="A185" s="727"/>
      <c r="B185" s="750" t="s">
        <v>196</v>
      </c>
      <c r="C185" s="751">
        <f>SUM(C186,C189,C190,C197,C206,C216,C219:C220,C222,C226)</f>
        <v>56420206.439999998</v>
      </c>
      <c r="D185" s="751">
        <f>SUM(D186,D189,D190,D197,D206,D216,D219:D220,D222,D226)</f>
        <v>85639315.75999999</v>
      </c>
      <c r="E185" s="752">
        <v>62714416.380000003</v>
      </c>
      <c r="F185" s="753">
        <f>SUM(E186,E189:E190,E197,E206,E216,E219:E220,E222,E226)</f>
        <v>62714416.380000003</v>
      </c>
      <c r="G185" s="631">
        <f t="shared" si="39"/>
        <v>111.15594985759859</v>
      </c>
      <c r="H185" s="631">
        <f t="shared" si="40"/>
        <v>73.230870451784199</v>
      </c>
      <c r="I185" s="677">
        <f t="shared" si="38"/>
        <v>94.923914068078346</v>
      </c>
      <c r="J185" s="29">
        <v>66068089.369999997</v>
      </c>
    </row>
    <row r="186" spans="1:10" s="98" customFormat="1" x14ac:dyDescent="0.2">
      <c r="A186" s="754">
        <v>4111</v>
      </c>
      <c r="B186" s="755" t="s">
        <v>197</v>
      </c>
      <c r="C186" s="756">
        <f t="shared" ref="C186:D186" si="42">SUM(C187:C188)</f>
        <v>0</v>
      </c>
      <c r="D186" s="756">
        <f t="shared" si="42"/>
        <v>848612.64</v>
      </c>
      <c r="E186" s="757">
        <v>848612.64</v>
      </c>
      <c r="F186" s="758">
        <f>SUM(E187:E188)</f>
        <v>848612.64</v>
      </c>
      <c r="G186" s="642">
        <v>0</v>
      </c>
      <c r="H186" s="644">
        <f t="shared" si="40"/>
        <v>100</v>
      </c>
      <c r="I186" s="645">
        <v>0</v>
      </c>
      <c r="J186" s="29">
        <v>867905.41</v>
      </c>
    </row>
    <row r="187" spans="1:10" s="98" customFormat="1" x14ac:dyDescent="0.2">
      <c r="A187" s="759"/>
      <c r="B187" s="760" t="s">
        <v>1165</v>
      </c>
      <c r="C187" s="761">
        <v>0</v>
      </c>
      <c r="D187" s="761">
        <v>124612.64</v>
      </c>
      <c r="E187" s="762">
        <v>124612.64</v>
      </c>
      <c r="F187" s="762"/>
      <c r="G187" s="643">
        <v>0</v>
      </c>
      <c r="H187" s="659">
        <f t="shared" si="40"/>
        <v>100</v>
      </c>
      <c r="I187" s="660">
        <f t="shared" si="38"/>
        <v>14.419421430224485</v>
      </c>
      <c r="J187" s="29">
        <v>864200</v>
      </c>
    </row>
    <row r="188" spans="1:10" s="98" customFormat="1" x14ac:dyDescent="0.2">
      <c r="A188" s="759"/>
      <c r="B188" s="760" t="s">
        <v>1166</v>
      </c>
      <c r="C188" s="761">
        <v>0</v>
      </c>
      <c r="D188" s="761">
        <v>724000</v>
      </c>
      <c r="E188" s="762">
        <v>724000</v>
      </c>
      <c r="F188" s="762"/>
      <c r="G188" s="643">
        <v>0</v>
      </c>
      <c r="H188" s="659">
        <f t="shared" si="40"/>
        <v>100</v>
      </c>
      <c r="I188" s="660">
        <v>0</v>
      </c>
      <c r="J188" s="29">
        <v>0</v>
      </c>
    </row>
    <row r="189" spans="1:10" ht="25.5" x14ac:dyDescent="0.2">
      <c r="A189" s="732">
        <v>4112</v>
      </c>
      <c r="B189" s="733" t="s">
        <v>1167</v>
      </c>
      <c r="C189" s="663">
        <f>(1016932+736317+467712+420864+713728+43008+4253687+8154340+23444493+795804+17710+1525000+1296966+241392+782383+86001+2624+348336+27880+12045)-22</f>
        <v>44387200</v>
      </c>
      <c r="D189" s="663">
        <f>(1016932+736317+467712+420864+713728+43008+4253687+8154340+23444493+795804+17710+1525000+1296966+241392+782383+86001+2624+348336+27880+12045)-22</f>
        <v>44387200</v>
      </c>
      <c r="E189" s="652">
        <v>22193598</v>
      </c>
      <c r="F189" s="653"/>
      <c r="G189" s="642">
        <f t="shared" si="39"/>
        <v>49.999995494196526</v>
      </c>
      <c r="H189" s="644">
        <f t="shared" si="40"/>
        <v>49.999995494196526</v>
      </c>
      <c r="I189" s="651">
        <f t="shared" si="38"/>
        <v>96.142557641093518</v>
      </c>
      <c r="J189" s="654">
        <v>23084052</v>
      </c>
    </row>
    <row r="190" spans="1:10" s="98" customFormat="1" x14ac:dyDescent="0.2">
      <c r="A190" s="698">
        <v>4116</v>
      </c>
      <c r="B190" s="690" t="s">
        <v>201</v>
      </c>
      <c r="C190" s="694">
        <f>SUM(C191:C196)</f>
        <v>100000</v>
      </c>
      <c r="D190" s="694">
        <f>SUM(D191:D196)</f>
        <v>5889554.2399999993</v>
      </c>
      <c r="E190" s="649">
        <v>13286922.890000001</v>
      </c>
      <c r="F190" s="650">
        <f>SUM(E191:E196)</f>
        <v>13286922.890000001</v>
      </c>
      <c r="G190" s="642">
        <f t="shared" si="39"/>
        <v>13286.92289</v>
      </c>
      <c r="H190" s="644">
        <f t="shared" si="40"/>
        <v>225.6015030774214</v>
      </c>
      <c r="I190" s="645">
        <f t="shared" si="38"/>
        <v>70.094209987300573</v>
      </c>
      <c r="J190" s="29">
        <v>18955806.609999999</v>
      </c>
    </row>
    <row r="191" spans="1:10" ht="12.75" customHeight="1" x14ac:dyDescent="0.2">
      <c r="A191" s="763"/>
      <c r="B191" s="702" t="s">
        <v>1168</v>
      </c>
      <c r="C191" s="687">
        <v>0</v>
      </c>
      <c r="D191" s="687">
        <v>625431.35</v>
      </c>
      <c r="E191" s="653">
        <v>0</v>
      </c>
      <c r="F191" s="653"/>
      <c r="G191" s="643">
        <v>0</v>
      </c>
      <c r="H191" s="659">
        <f t="shared" si="40"/>
        <v>0</v>
      </c>
      <c r="I191" s="660">
        <v>0</v>
      </c>
      <c r="J191" s="29">
        <v>0</v>
      </c>
    </row>
    <row r="192" spans="1:10" ht="12.75" customHeight="1" x14ac:dyDescent="0.2">
      <c r="A192" s="763"/>
      <c r="B192" s="702" t="s">
        <v>1169</v>
      </c>
      <c r="C192" s="687">
        <v>0</v>
      </c>
      <c r="D192" s="687">
        <v>0</v>
      </c>
      <c r="E192" s="653">
        <v>8122800</v>
      </c>
      <c r="F192" s="653"/>
      <c r="G192" s="643">
        <v>0</v>
      </c>
      <c r="H192" s="659">
        <v>0</v>
      </c>
      <c r="I192" s="660">
        <f t="shared" si="38"/>
        <v>97.817919075144516</v>
      </c>
      <c r="J192" s="29">
        <v>8304000</v>
      </c>
    </row>
    <row r="193" spans="1:10" s="98" customFormat="1" ht="12.75" customHeight="1" x14ac:dyDescent="0.2">
      <c r="A193" s="763"/>
      <c r="B193" s="702" t="s">
        <v>1170</v>
      </c>
      <c r="C193" s="687">
        <v>0</v>
      </c>
      <c r="D193" s="687">
        <f>261245.45+4441172.63</f>
        <v>4702418.08</v>
      </c>
      <c r="E193" s="653">
        <v>4702418.08</v>
      </c>
      <c r="F193" s="653"/>
      <c r="G193" s="643">
        <v>0</v>
      </c>
      <c r="H193" s="659">
        <f t="shared" si="40"/>
        <v>100</v>
      </c>
      <c r="I193" s="660">
        <v>0</v>
      </c>
      <c r="J193" s="29">
        <v>0</v>
      </c>
    </row>
    <row r="194" spans="1:10" s="98" customFormat="1" ht="12.75" customHeight="1" x14ac:dyDescent="0.2">
      <c r="A194" s="763"/>
      <c r="B194" s="702" t="s">
        <v>1171</v>
      </c>
      <c r="C194" s="687">
        <v>0</v>
      </c>
      <c r="D194" s="687">
        <v>61704.81</v>
      </c>
      <c r="E194" s="653">
        <v>61704.81</v>
      </c>
      <c r="F194" s="653"/>
      <c r="G194" s="643">
        <v>0</v>
      </c>
      <c r="H194" s="659">
        <f t="shared" si="40"/>
        <v>100</v>
      </c>
      <c r="I194" s="660">
        <v>0</v>
      </c>
      <c r="J194" s="29">
        <v>0</v>
      </c>
    </row>
    <row r="195" spans="1:10" s="98" customFormat="1" ht="12.75" customHeight="1" x14ac:dyDescent="0.2">
      <c r="A195" s="763"/>
      <c r="B195" s="702" t="s">
        <v>1172</v>
      </c>
      <c r="C195" s="687">
        <v>0</v>
      </c>
      <c r="D195" s="687">
        <v>400000</v>
      </c>
      <c r="E195" s="653">
        <v>400000</v>
      </c>
      <c r="F195" s="653"/>
      <c r="G195" s="643">
        <v>0</v>
      </c>
      <c r="H195" s="659">
        <f t="shared" si="40"/>
        <v>100</v>
      </c>
      <c r="I195" s="660">
        <v>0</v>
      </c>
      <c r="J195" s="29">
        <v>0</v>
      </c>
    </row>
    <row r="196" spans="1:10" s="98" customFormat="1" ht="12.75" customHeight="1" x14ac:dyDescent="0.2">
      <c r="A196" s="763"/>
      <c r="B196" s="702" t="s">
        <v>1173</v>
      </c>
      <c r="C196" s="687">
        <v>100000</v>
      </c>
      <c r="D196" s="687">
        <v>100000</v>
      </c>
      <c r="E196" s="653">
        <v>0</v>
      </c>
      <c r="F196" s="653"/>
      <c r="G196" s="643">
        <f t="shared" si="39"/>
        <v>0</v>
      </c>
      <c r="H196" s="659">
        <f t="shared" si="40"/>
        <v>0</v>
      </c>
      <c r="I196" s="660">
        <v>0</v>
      </c>
      <c r="J196" s="29">
        <v>0</v>
      </c>
    </row>
    <row r="197" spans="1:10" x14ac:dyDescent="0.2">
      <c r="A197" s="698">
        <v>4121</v>
      </c>
      <c r="B197" s="690" t="s">
        <v>213</v>
      </c>
      <c r="C197" s="694">
        <f t="shared" ref="C197:D197" si="43">SUM(C198:C205)</f>
        <v>3747689</v>
      </c>
      <c r="D197" s="694">
        <f t="shared" si="43"/>
        <v>3747689</v>
      </c>
      <c r="E197" s="652">
        <v>3321208</v>
      </c>
      <c r="F197" s="653">
        <f>SUM(E198:E205)</f>
        <v>3321208</v>
      </c>
      <c r="G197" s="642">
        <f t="shared" si="39"/>
        <v>88.620160317464979</v>
      </c>
      <c r="H197" s="644">
        <f t="shared" si="40"/>
        <v>88.620160317464979</v>
      </c>
      <c r="I197" s="645">
        <f t="shared" si="38"/>
        <v>166.20732727731314</v>
      </c>
      <c r="J197" s="29">
        <v>1998232</v>
      </c>
    </row>
    <row r="198" spans="1:10" x14ac:dyDescent="0.2">
      <c r="A198" s="698"/>
      <c r="B198" s="702" t="s">
        <v>1174</v>
      </c>
      <c r="C198" s="687">
        <v>420000</v>
      </c>
      <c r="D198" s="687">
        <v>420000</v>
      </c>
      <c r="E198" s="653">
        <v>427500</v>
      </c>
      <c r="F198" s="653"/>
      <c r="G198" s="643">
        <f t="shared" si="39"/>
        <v>101.78571428571428</v>
      </c>
      <c r="H198" s="659">
        <f t="shared" si="40"/>
        <v>101.78571428571428</v>
      </c>
      <c r="I198" s="660">
        <f t="shared" si="38"/>
        <v>100</v>
      </c>
      <c r="J198" s="29">
        <v>427500</v>
      </c>
    </row>
    <row r="199" spans="1:10" x14ac:dyDescent="0.2">
      <c r="A199" s="698"/>
      <c r="B199" s="702" t="s">
        <v>1175</v>
      </c>
      <c r="C199" s="687">
        <v>3000</v>
      </c>
      <c r="D199" s="687">
        <v>3000</v>
      </c>
      <c r="E199" s="653">
        <v>1869</v>
      </c>
      <c r="F199" s="653"/>
      <c r="G199" s="643">
        <f t="shared" si="39"/>
        <v>62.3</v>
      </c>
      <c r="H199" s="659">
        <f t="shared" si="40"/>
        <v>62.3</v>
      </c>
      <c r="I199" s="660">
        <v>0</v>
      </c>
      <c r="J199" s="29">
        <v>0</v>
      </c>
    </row>
    <row r="200" spans="1:10" ht="12.75" customHeight="1" x14ac:dyDescent="0.2">
      <c r="A200" s="698"/>
      <c r="B200" s="702" t="s">
        <v>1176</v>
      </c>
      <c r="C200" s="764">
        <v>1459028</v>
      </c>
      <c r="D200" s="764">
        <v>1459028</v>
      </c>
      <c r="E200" s="653">
        <v>1375732</v>
      </c>
      <c r="F200" s="653"/>
      <c r="G200" s="643">
        <f t="shared" si="39"/>
        <v>94.290993730072344</v>
      </c>
      <c r="H200" s="659">
        <f t="shared" si="40"/>
        <v>94.290993730072344</v>
      </c>
      <c r="I200" s="660">
        <f t="shared" ref="I200:I261" si="44">E200/J200*100</f>
        <v>163.33311962919959</v>
      </c>
      <c r="J200" s="29">
        <v>842286</v>
      </c>
    </row>
    <row r="201" spans="1:10" ht="12.75" customHeight="1" x14ac:dyDescent="0.2">
      <c r="A201" s="698"/>
      <c r="B201" s="702" t="s">
        <v>1177</v>
      </c>
      <c r="C201" s="765">
        <v>1203095</v>
      </c>
      <c r="D201" s="765">
        <v>1203095</v>
      </c>
      <c r="E201" s="653">
        <v>998061</v>
      </c>
      <c r="F201" s="653"/>
      <c r="G201" s="643">
        <f t="shared" si="39"/>
        <v>82.957788038351083</v>
      </c>
      <c r="H201" s="659">
        <f t="shared" si="40"/>
        <v>82.957788038351083</v>
      </c>
      <c r="I201" s="660">
        <f t="shared" si="44"/>
        <v>165.77021135240625</v>
      </c>
      <c r="J201" s="29">
        <v>602075</v>
      </c>
    </row>
    <row r="202" spans="1:10" ht="12.75" customHeight="1" x14ac:dyDescent="0.2">
      <c r="A202" s="698"/>
      <c r="B202" s="702" t="s">
        <v>1178</v>
      </c>
      <c r="C202" s="766">
        <v>354926</v>
      </c>
      <c r="D202" s="766">
        <v>354926</v>
      </c>
      <c r="E202" s="653">
        <v>354926</v>
      </c>
      <c r="F202" s="653"/>
      <c r="G202" s="643">
        <f t="shared" si="39"/>
        <v>100</v>
      </c>
      <c r="H202" s="659">
        <f t="shared" si="40"/>
        <v>100</v>
      </c>
      <c r="I202" s="660">
        <f t="shared" si="44"/>
        <v>281.52866242038215</v>
      </c>
      <c r="J202" s="29">
        <v>126071</v>
      </c>
    </row>
    <row r="203" spans="1:10" ht="12.75" customHeight="1" x14ac:dyDescent="0.2">
      <c r="A203" s="698"/>
      <c r="B203" s="702" t="s">
        <v>1179</v>
      </c>
      <c r="C203" s="687">
        <v>307340</v>
      </c>
      <c r="D203" s="687">
        <v>307340</v>
      </c>
      <c r="E203" s="653">
        <v>153670</v>
      </c>
      <c r="F203" s="653"/>
      <c r="G203" s="643">
        <f t="shared" si="39"/>
        <v>50</v>
      </c>
      <c r="H203" s="659">
        <f t="shared" si="40"/>
        <v>50</v>
      </c>
      <c r="I203" s="660">
        <v>0</v>
      </c>
      <c r="J203" s="29">
        <v>0</v>
      </c>
    </row>
    <row r="204" spans="1:10" x14ac:dyDescent="0.2">
      <c r="A204" s="698"/>
      <c r="B204" s="702" t="s">
        <v>1180</v>
      </c>
      <c r="C204" s="687">
        <v>300</v>
      </c>
      <c r="D204" s="687">
        <v>300</v>
      </c>
      <c r="E204" s="650">
        <v>450</v>
      </c>
      <c r="F204" s="650"/>
      <c r="G204" s="643">
        <f t="shared" si="39"/>
        <v>150</v>
      </c>
      <c r="H204" s="659">
        <f t="shared" si="40"/>
        <v>150</v>
      </c>
      <c r="I204" s="660">
        <f t="shared" si="44"/>
        <v>150</v>
      </c>
      <c r="J204" s="29">
        <v>300</v>
      </c>
    </row>
    <row r="205" spans="1:10" x14ac:dyDescent="0.2">
      <c r="A205" s="698"/>
      <c r="B205" s="702" t="s">
        <v>1181</v>
      </c>
      <c r="C205" s="687">
        <v>0</v>
      </c>
      <c r="D205" s="687">
        <v>0</v>
      </c>
      <c r="E205" s="650">
        <v>9000</v>
      </c>
      <c r="F205" s="650"/>
      <c r="G205" s="643">
        <v>0</v>
      </c>
      <c r="H205" s="659">
        <v>0</v>
      </c>
      <c r="I205" s="660">
        <v>0</v>
      </c>
      <c r="J205" s="29">
        <v>0</v>
      </c>
    </row>
    <row r="206" spans="1:10" ht="12.75" customHeight="1" x14ac:dyDescent="0.2">
      <c r="A206" s="698">
        <v>4122</v>
      </c>
      <c r="B206" s="689" t="s">
        <v>221</v>
      </c>
      <c r="C206" s="694">
        <f>SUM(C207:C215)</f>
        <v>0</v>
      </c>
      <c r="D206" s="694">
        <f>SUM(D207:D215)</f>
        <v>9826286</v>
      </c>
      <c r="E206" s="652">
        <v>7374786</v>
      </c>
      <c r="F206" s="653">
        <f>SUM(E207:E215)</f>
        <v>7374786</v>
      </c>
      <c r="G206" s="642">
        <v>0</v>
      </c>
      <c r="H206" s="644">
        <f t="shared" si="40"/>
        <v>75.051611565142721</v>
      </c>
      <c r="I206" s="645">
        <f t="shared" si="44"/>
        <v>85.935715443928302</v>
      </c>
      <c r="J206" s="29">
        <v>8581747.3699999992</v>
      </c>
    </row>
    <row r="207" spans="1:10" s="98" customFormat="1" ht="12.75" customHeight="1" x14ac:dyDescent="0.2">
      <c r="A207" s="763"/>
      <c r="B207" s="767" t="s">
        <v>1182</v>
      </c>
      <c r="C207" s="687">
        <v>0</v>
      </c>
      <c r="D207" s="687">
        <v>4743000</v>
      </c>
      <c r="E207" s="653">
        <v>2371500</v>
      </c>
      <c r="F207" s="653"/>
      <c r="G207" s="643">
        <v>0</v>
      </c>
      <c r="H207" s="659">
        <f t="shared" si="40"/>
        <v>50</v>
      </c>
      <c r="I207" s="660">
        <f t="shared" si="44"/>
        <v>104.2188529993408</v>
      </c>
      <c r="J207" s="29">
        <v>2275500</v>
      </c>
    </row>
    <row r="208" spans="1:10" s="98" customFormat="1" ht="12.75" customHeight="1" x14ac:dyDescent="0.2">
      <c r="A208" s="763"/>
      <c r="B208" s="767" t="s">
        <v>1183</v>
      </c>
      <c r="C208" s="687">
        <v>0</v>
      </c>
      <c r="D208" s="687">
        <f>80000</f>
        <v>80000</v>
      </c>
      <c r="E208" s="653">
        <v>0</v>
      </c>
      <c r="F208" s="653"/>
      <c r="G208" s="643">
        <v>0</v>
      </c>
      <c r="H208" s="659">
        <f t="shared" si="40"/>
        <v>0</v>
      </c>
      <c r="I208" s="660">
        <v>0</v>
      </c>
      <c r="J208" s="29">
        <v>0</v>
      </c>
    </row>
    <row r="209" spans="1:11" s="98" customFormat="1" ht="12.75" customHeight="1" x14ac:dyDescent="0.2">
      <c r="A209" s="737"/>
      <c r="B209" s="767" t="s">
        <v>1184</v>
      </c>
      <c r="C209" s="687">
        <v>0</v>
      </c>
      <c r="D209" s="687">
        <v>210200</v>
      </c>
      <c r="E209" s="653">
        <v>210200</v>
      </c>
      <c r="F209" s="653"/>
      <c r="G209" s="643">
        <v>0</v>
      </c>
      <c r="H209" s="659">
        <f t="shared" si="40"/>
        <v>100</v>
      </c>
      <c r="I209" s="660">
        <f t="shared" si="44"/>
        <v>467.11111111111114</v>
      </c>
      <c r="J209" s="29">
        <v>45000</v>
      </c>
    </row>
    <row r="210" spans="1:11" s="98" customFormat="1" ht="12.75" customHeight="1" x14ac:dyDescent="0.2">
      <c r="A210" s="763"/>
      <c r="B210" s="767" t="s">
        <v>1185</v>
      </c>
      <c r="C210" s="687">
        <v>0</v>
      </c>
      <c r="D210" s="687">
        <f>(3419.6+30776.4)</f>
        <v>34196</v>
      </c>
      <c r="E210" s="653">
        <v>34196</v>
      </c>
      <c r="F210" s="653"/>
      <c r="G210" s="643">
        <v>0</v>
      </c>
      <c r="H210" s="659">
        <f t="shared" si="40"/>
        <v>100</v>
      </c>
      <c r="I210" s="660">
        <v>0</v>
      </c>
      <c r="J210" s="29">
        <v>0</v>
      </c>
    </row>
    <row r="211" spans="1:11" s="98" customFormat="1" ht="12.75" customHeight="1" x14ac:dyDescent="0.2">
      <c r="A211" s="763"/>
      <c r="B211" s="767" t="s">
        <v>1186</v>
      </c>
      <c r="C211" s="687">
        <v>0</v>
      </c>
      <c r="D211" s="687">
        <f>(4890+44010)</f>
        <v>48900</v>
      </c>
      <c r="E211" s="653">
        <v>48900</v>
      </c>
      <c r="F211" s="653"/>
      <c r="G211" s="643">
        <v>0</v>
      </c>
      <c r="H211" s="659">
        <v>0</v>
      </c>
      <c r="I211" s="660">
        <f t="shared" si="44"/>
        <v>154.32756261864523</v>
      </c>
      <c r="J211" s="29">
        <v>31685.85</v>
      </c>
    </row>
    <row r="212" spans="1:11" s="98" customFormat="1" ht="12.75" customHeight="1" x14ac:dyDescent="0.2">
      <c r="A212" s="763"/>
      <c r="B212" s="767" t="s">
        <v>1187</v>
      </c>
      <c r="C212" s="687">
        <v>0</v>
      </c>
      <c r="D212" s="687">
        <f>(7519+67671)</f>
        <v>75190</v>
      </c>
      <c r="E212" s="653">
        <v>75190</v>
      </c>
      <c r="F212" s="653"/>
      <c r="G212" s="643">
        <v>0</v>
      </c>
      <c r="H212" s="659">
        <v>0</v>
      </c>
      <c r="I212" s="660">
        <f t="shared" si="44"/>
        <v>624.48350753923262</v>
      </c>
      <c r="J212" s="29">
        <v>12040.35</v>
      </c>
    </row>
    <row r="213" spans="1:11" s="98" customFormat="1" ht="12.75" customHeight="1" x14ac:dyDescent="0.2">
      <c r="A213" s="763"/>
      <c r="B213" s="767" t="s">
        <v>1188</v>
      </c>
      <c r="C213" s="687">
        <v>0</v>
      </c>
      <c r="D213" s="687">
        <f>(6180+55620)</f>
        <v>61800</v>
      </c>
      <c r="E213" s="653">
        <v>61800</v>
      </c>
      <c r="F213" s="653"/>
      <c r="G213" s="643">
        <v>0</v>
      </c>
      <c r="H213" s="659">
        <v>0</v>
      </c>
      <c r="I213" s="660">
        <f t="shared" si="44"/>
        <v>162.25936450516014</v>
      </c>
      <c r="J213" s="29">
        <v>38087.17</v>
      </c>
      <c r="K213" s="88">
        <f>SUM(J211:J213)</f>
        <v>81813.37</v>
      </c>
    </row>
    <row r="214" spans="1:11" s="98" customFormat="1" ht="12.75" customHeight="1" x14ac:dyDescent="0.2">
      <c r="A214" s="763"/>
      <c r="B214" s="767" t="s">
        <v>1189</v>
      </c>
      <c r="C214" s="687">
        <v>0</v>
      </c>
      <c r="D214" s="687">
        <v>0</v>
      </c>
      <c r="E214" s="768">
        <v>1829200</v>
      </c>
      <c r="F214" s="768"/>
      <c r="G214" s="643">
        <v>0</v>
      </c>
      <c r="H214" s="659">
        <v>0</v>
      </c>
      <c r="I214" s="660">
        <v>0</v>
      </c>
      <c r="J214" s="29">
        <v>0</v>
      </c>
    </row>
    <row r="215" spans="1:11" ht="12.75" customHeight="1" x14ac:dyDescent="0.2">
      <c r="A215" s="769"/>
      <c r="B215" s="706" t="s">
        <v>1190</v>
      </c>
      <c r="C215" s="708">
        <v>0</v>
      </c>
      <c r="D215" s="708">
        <v>4573000</v>
      </c>
      <c r="E215" s="722">
        <v>2743800</v>
      </c>
      <c r="F215" s="722"/>
      <c r="G215" s="643">
        <v>0</v>
      </c>
      <c r="H215" s="659">
        <f t="shared" si="40"/>
        <v>60</v>
      </c>
      <c r="I215" s="660">
        <f t="shared" si="44"/>
        <v>46.036912751677846</v>
      </c>
      <c r="J215" s="29">
        <v>5960000</v>
      </c>
      <c r="K215" s="150"/>
    </row>
    <row r="216" spans="1:11" s="98" customFormat="1" x14ac:dyDescent="0.2">
      <c r="A216" s="770">
        <v>4134</v>
      </c>
      <c r="B216" s="690" t="s">
        <v>1191</v>
      </c>
      <c r="C216" s="663">
        <f t="shared" ref="C216:D216" si="45">SUM(C217:C218)</f>
        <v>6000000</v>
      </c>
      <c r="D216" s="663">
        <f t="shared" si="45"/>
        <v>6000000</v>
      </c>
      <c r="E216" s="652">
        <v>3000168.03</v>
      </c>
      <c r="F216" s="653"/>
      <c r="G216" s="642">
        <f t="shared" si="39"/>
        <v>50.002800499999999</v>
      </c>
      <c r="H216" s="644">
        <f t="shared" si="40"/>
        <v>50.002800499999999</v>
      </c>
      <c r="I216" s="645">
        <f t="shared" si="44"/>
        <v>99.900457433558785</v>
      </c>
      <c r="J216" s="29">
        <v>3003157.45</v>
      </c>
    </row>
    <row r="217" spans="1:11" s="98" customFormat="1" x14ac:dyDescent="0.2">
      <c r="A217" s="771"/>
      <c r="B217" s="702" t="s">
        <v>1192</v>
      </c>
      <c r="C217" s="687">
        <v>6000000</v>
      </c>
      <c r="D217" s="687">
        <v>6000000</v>
      </c>
      <c r="E217" s="650">
        <v>3000168.03</v>
      </c>
      <c r="F217" s="650"/>
      <c r="G217" s="643">
        <f t="shared" si="39"/>
        <v>50.002800499999999</v>
      </c>
      <c r="H217" s="659">
        <f t="shared" si="40"/>
        <v>50.002800499999999</v>
      </c>
      <c r="I217" s="660">
        <v>0</v>
      </c>
      <c r="J217" s="29">
        <v>0</v>
      </c>
    </row>
    <row r="218" spans="1:11" s="98" customFormat="1" x14ac:dyDescent="0.2">
      <c r="A218" s="771"/>
      <c r="B218" s="702" t="s">
        <v>1193</v>
      </c>
      <c r="C218" s="687">
        <v>0</v>
      </c>
      <c r="D218" s="687">
        <v>0</v>
      </c>
      <c r="E218" s="650">
        <v>0</v>
      </c>
      <c r="F218" s="650"/>
      <c r="G218" s="643">
        <v>0</v>
      </c>
      <c r="H218" s="659">
        <v>0</v>
      </c>
      <c r="I218" s="660">
        <v>0</v>
      </c>
      <c r="J218" s="29">
        <v>0</v>
      </c>
    </row>
    <row r="219" spans="1:11" s="98" customFormat="1" x14ac:dyDescent="0.2">
      <c r="A219" s="770">
        <v>4140</v>
      </c>
      <c r="B219" s="690" t="s">
        <v>1194</v>
      </c>
      <c r="C219" s="663">
        <v>0</v>
      </c>
      <c r="D219" s="663">
        <v>0</v>
      </c>
      <c r="E219" s="652">
        <v>233553.38</v>
      </c>
      <c r="F219" s="653"/>
      <c r="G219" s="642">
        <v>0</v>
      </c>
      <c r="H219" s="644">
        <v>0</v>
      </c>
      <c r="I219" s="645">
        <v>0</v>
      </c>
      <c r="J219" s="29">
        <v>0</v>
      </c>
    </row>
    <row r="220" spans="1:11" s="98" customFormat="1" x14ac:dyDescent="0.2">
      <c r="A220" s="698">
        <v>4213</v>
      </c>
      <c r="B220" s="690" t="s">
        <v>1195</v>
      </c>
      <c r="C220" s="694">
        <f>SUM(C221:C221)</f>
        <v>1817357.44</v>
      </c>
      <c r="D220" s="694">
        <f>SUM(D221:D221)</f>
        <v>1817357.44</v>
      </c>
      <c r="E220" s="772">
        <v>0</v>
      </c>
      <c r="F220" s="773"/>
      <c r="G220" s="642">
        <f t="shared" si="39"/>
        <v>0</v>
      </c>
      <c r="H220" s="644">
        <f t="shared" si="40"/>
        <v>0</v>
      </c>
      <c r="I220" s="645">
        <v>0</v>
      </c>
      <c r="J220" s="29">
        <v>0</v>
      </c>
    </row>
    <row r="221" spans="1:11" s="2" customFormat="1" x14ac:dyDescent="0.2">
      <c r="A221" s="704"/>
      <c r="B221" s="774" t="s">
        <v>1196</v>
      </c>
      <c r="C221" s="715">
        <v>1817357.44</v>
      </c>
      <c r="D221" s="715">
        <v>1817357.44</v>
      </c>
      <c r="E221" s="650">
        <v>0</v>
      </c>
      <c r="F221" s="650"/>
      <c r="G221" s="643">
        <f t="shared" si="39"/>
        <v>0</v>
      </c>
      <c r="H221" s="659">
        <f t="shared" si="40"/>
        <v>0</v>
      </c>
      <c r="I221" s="660">
        <v>0</v>
      </c>
      <c r="J221" s="88">
        <v>0</v>
      </c>
    </row>
    <row r="222" spans="1:11" s="98" customFormat="1" ht="12.75" customHeight="1" x14ac:dyDescent="0.2">
      <c r="A222" s="698">
        <v>4216</v>
      </c>
      <c r="B222" s="733" t="s">
        <v>234</v>
      </c>
      <c r="C222" s="775">
        <f>SUM(C223:C225)</f>
        <v>0</v>
      </c>
      <c r="D222" s="775">
        <f>SUM(D223:D225)</f>
        <v>12454656.440000001</v>
      </c>
      <c r="E222" s="649">
        <v>12454656.439999999</v>
      </c>
      <c r="F222" s="650">
        <f>SUM(E223:E225)</f>
        <v>12454656.439999999</v>
      </c>
      <c r="G222" s="642">
        <v>0</v>
      </c>
      <c r="H222" s="644">
        <f t="shared" si="40"/>
        <v>99.999999999999986</v>
      </c>
      <c r="I222" s="645">
        <v>0</v>
      </c>
      <c r="J222" s="29">
        <v>0</v>
      </c>
    </row>
    <row r="223" spans="1:11" s="98" customFormat="1" ht="12.75" customHeight="1" x14ac:dyDescent="0.2">
      <c r="A223" s="763"/>
      <c r="B223" s="702" t="s">
        <v>1197</v>
      </c>
      <c r="C223" s="687">
        <v>0</v>
      </c>
      <c r="D223" s="687">
        <f>336616.61+5722482.44</f>
        <v>6059099.0500000007</v>
      </c>
      <c r="E223" s="653">
        <v>6059099.0499999998</v>
      </c>
      <c r="F223" s="653"/>
      <c r="G223" s="643">
        <v>0</v>
      </c>
      <c r="H223" s="659">
        <f t="shared" si="40"/>
        <v>99.999999999999986</v>
      </c>
      <c r="I223" s="660">
        <v>0</v>
      </c>
      <c r="J223" s="29">
        <v>0</v>
      </c>
    </row>
    <row r="224" spans="1:11" s="98" customFormat="1" ht="12.75" customHeight="1" x14ac:dyDescent="0.2">
      <c r="A224" s="763"/>
      <c r="B224" s="702" t="s">
        <v>1198</v>
      </c>
      <c r="C224" s="687">
        <v>0</v>
      </c>
      <c r="D224" s="687">
        <v>881497.39</v>
      </c>
      <c r="E224" s="653">
        <v>881497.39</v>
      </c>
      <c r="F224" s="653"/>
      <c r="G224" s="643">
        <v>0</v>
      </c>
      <c r="H224" s="659">
        <f t="shared" si="40"/>
        <v>100</v>
      </c>
      <c r="I224" s="660">
        <v>0</v>
      </c>
      <c r="J224" s="29">
        <v>0</v>
      </c>
    </row>
    <row r="225" spans="1:10" s="98" customFormat="1" ht="12.75" customHeight="1" x14ac:dyDescent="0.2">
      <c r="A225" s="737"/>
      <c r="B225" s="776" t="s">
        <v>1199</v>
      </c>
      <c r="C225" s="715">
        <v>0</v>
      </c>
      <c r="D225" s="715">
        <v>5514060</v>
      </c>
      <c r="E225" s="653">
        <v>5514060</v>
      </c>
      <c r="F225" s="653"/>
      <c r="G225" s="643">
        <v>0</v>
      </c>
      <c r="H225" s="659">
        <f t="shared" si="40"/>
        <v>100</v>
      </c>
      <c r="I225" s="660">
        <v>0</v>
      </c>
      <c r="J225" s="29">
        <v>0</v>
      </c>
    </row>
    <row r="226" spans="1:10" s="98" customFormat="1" ht="12.75" customHeight="1" x14ac:dyDescent="0.2">
      <c r="A226" s="698">
        <v>4222</v>
      </c>
      <c r="B226" s="689" t="s">
        <v>245</v>
      </c>
      <c r="C226" s="775">
        <f>SUM(C227:C230)</f>
        <v>367960</v>
      </c>
      <c r="D226" s="775">
        <f>SUM(D227:D230)</f>
        <v>667960</v>
      </c>
      <c r="E226" s="652">
        <v>911</v>
      </c>
      <c r="F226" s="653"/>
      <c r="G226" s="642">
        <f t="shared" si="39"/>
        <v>0.2475812588324818</v>
      </c>
      <c r="H226" s="644">
        <f t="shared" si="40"/>
        <v>0.13638541230013773</v>
      </c>
      <c r="I226" s="645">
        <f t="shared" si="44"/>
        <v>0.40509773927891718</v>
      </c>
      <c r="J226" s="29">
        <v>224884</v>
      </c>
    </row>
    <row r="227" spans="1:10" s="98" customFormat="1" ht="12.75" customHeight="1" x14ac:dyDescent="0.2">
      <c r="A227" s="763"/>
      <c r="B227" s="720" t="s">
        <v>1200</v>
      </c>
      <c r="C227" s="687">
        <v>0</v>
      </c>
      <c r="D227" s="687">
        <v>300000</v>
      </c>
      <c r="E227" s="653">
        <v>0</v>
      </c>
      <c r="F227" s="653"/>
      <c r="G227" s="643">
        <v>0</v>
      </c>
      <c r="H227" s="659">
        <f t="shared" si="40"/>
        <v>0</v>
      </c>
      <c r="I227" s="660">
        <v>0</v>
      </c>
      <c r="J227" s="29">
        <v>0</v>
      </c>
    </row>
    <row r="228" spans="1:10" s="98" customFormat="1" ht="12.75" customHeight="1" x14ac:dyDescent="0.2">
      <c r="A228" s="763"/>
      <c r="B228" s="686" t="s">
        <v>1201</v>
      </c>
      <c r="C228" s="687">
        <v>0</v>
      </c>
      <c r="D228" s="687">
        <v>0</v>
      </c>
      <c r="E228" s="653">
        <v>911</v>
      </c>
      <c r="F228" s="653"/>
      <c r="G228" s="643">
        <v>0</v>
      </c>
      <c r="H228" s="659">
        <v>0</v>
      </c>
      <c r="I228" s="660">
        <v>0</v>
      </c>
      <c r="J228" s="29">
        <v>0</v>
      </c>
    </row>
    <row r="229" spans="1:10" s="98" customFormat="1" ht="12.75" customHeight="1" x14ac:dyDescent="0.2">
      <c r="A229" s="737"/>
      <c r="B229" s="777" t="s">
        <v>1202</v>
      </c>
      <c r="C229" s="778">
        <v>79980</v>
      </c>
      <c r="D229" s="778">
        <v>79980</v>
      </c>
      <c r="E229" s="653">
        <v>0</v>
      </c>
      <c r="F229" s="653"/>
      <c r="G229" s="643">
        <f t="shared" si="39"/>
        <v>0</v>
      </c>
      <c r="H229" s="659">
        <f t="shared" si="40"/>
        <v>0</v>
      </c>
      <c r="I229" s="660">
        <v>0</v>
      </c>
      <c r="J229" s="29">
        <v>0</v>
      </c>
    </row>
    <row r="230" spans="1:10" s="98" customFormat="1" ht="12.75" customHeight="1" x14ac:dyDescent="0.2">
      <c r="A230" s="779"/>
      <c r="B230" s="780" t="s">
        <v>1203</v>
      </c>
      <c r="C230" s="768">
        <v>287980</v>
      </c>
      <c r="D230" s="768">
        <v>287980</v>
      </c>
      <c r="E230" s="722">
        <v>0</v>
      </c>
      <c r="F230" s="722"/>
      <c r="G230" s="643">
        <f t="shared" si="39"/>
        <v>0</v>
      </c>
      <c r="H230" s="659">
        <f t="shared" si="40"/>
        <v>0</v>
      </c>
      <c r="I230" s="660">
        <v>0</v>
      </c>
      <c r="J230" s="29">
        <v>0</v>
      </c>
    </row>
    <row r="231" spans="1:10" s="98" customFormat="1" x14ac:dyDescent="0.2">
      <c r="A231" s="781"/>
      <c r="B231" s="782"/>
      <c r="C231" s="724"/>
      <c r="D231" s="724"/>
      <c r="E231" s="671"/>
      <c r="F231" s="671"/>
      <c r="G231" s="671"/>
      <c r="H231" s="671"/>
      <c r="I231" s="749"/>
      <c r="J231" s="29"/>
    </row>
    <row r="232" spans="1:10" s="98" customFormat="1" ht="20.25" x14ac:dyDescent="0.3">
      <c r="A232" s="783"/>
      <c r="B232" s="784" t="s">
        <v>13</v>
      </c>
      <c r="C232" s="785">
        <f>SUM(C32+C66+C165+C185)</f>
        <v>839036351.17000008</v>
      </c>
      <c r="D232" s="785">
        <f>SUM(D32+D66+D165+D185)</f>
        <v>911634266.19000006</v>
      </c>
      <c r="E232" s="786">
        <v>566750845.60000002</v>
      </c>
      <c r="F232" s="787">
        <f>SUM(E32,E66,E165,E185)</f>
        <v>566750845.60000002</v>
      </c>
      <c r="G232" s="788">
        <f t="shared" si="39"/>
        <v>67.547829698878999</v>
      </c>
      <c r="H232" s="788">
        <f t="shared" si="40"/>
        <v>62.168664191247011</v>
      </c>
      <c r="I232" s="677">
        <f t="shared" si="44"/>
        <v>132.82458367466842</v>
      </c>
      <c r="J232" s="29">
        <v>426691226.81999999</v>
      </c>
    </row>
    <row r="233" spans="1:10" s="98" customFormat="1" ht="15.75" x14ac:dyDescent="0.25">
      <c r="A233" s="789"/>
      <c r="B233" s="790"/>
      <c r="C233" s="791"/>
      <c r="D233" s="791"/>
      <c r="E233" s="792"/>
      <c r="F233" s="792"/>
      <c r="G233" s="792"/>
      <c r="H233" s="792"/>
      <c r="I233" s="793"/>
      <c r="J233" s="29"/>
    </row>
    <row r="234" spans="1:10" s="98" customFormat="1" ht="18" x14ac:dyDescent="0.25">
      <c r="A234" s="727"/>
      <c r="B234" s="794" t="s">
        <v>14</v>
      </c>
      <c r="C234" s="795">
        <f t="shared" ref="C234:D234" si="46">SUM(C235:C238)</f>
        <v>173504211.83249995</v>
      </c>
      <c r="D234" s="795">
        <f t="shared" si="46"/>
        <v>173504211.83249995</v>
      </c>
      <c r="E234" s="677">
        <v>-167712452.99000001</v>
      </c>
      <c r="F234" s="796">
        <f>SUM(E235:E238)</f>
        <v>-167712452.99000001</v>
      </c>
      <c r="G234" s="631">
        <f t="shared" si="39"/>
        <v>-96.661891500310503</v>
      </c>
      <c r="H234" s="631">
        <f t="shared" si="40"/>
        <v>-96.661891500310503</v>
      </c>
      <c r="I234" s="677">
        <f t="shared" si="44"/>
        <v>208.91654667245518</v>
      </c>
      <c r="J234" s="29">
        <v>-80277247.379999995</v>
      </c>
    </row>
    <row r="235" spans="1:10" ht="25.5" x14ac:dyDescent="0.2">
      <c r="A235" s="732">
        <v>8115</v>
      </c>
      <c r="B235" s="797" t="s">
        <v>1204</v>
      </c>
      <c r="C235" s="734">
        <f>50000000+97724250.45+30000000-2140560.86-400000+24200-125387.36-55000</f>
        <v>175027502.22999996</v>
      </c>
      <c r="D235" s="734">
        <f>50000000+97724250.45+30000000-2140560.86-400000+24200-125387.36-55000</f>
        <v>175027502.22999996</v>
      </c>
      <c r="E235" s="652">
        <v>-165538541.24000001</v>
      </c>
      <c r="F235" s="653"/>
      <c r="G235" s="642">
        <f t="shared" si="39"/>
        <v>-94.578588582307077</v>
      </c>
      <c r="H235" s="644">
        <f t="shared" si="40"/>
        <v>-94.578588582307077</v>
      </c>
      <c r="I235" s="651">
        <f t="shared" si="44"/>
        <v>369.71316179155667</v>
      </c>
      <c r="J235" s="654">
        <v>-44774857.469999999</v>
      </c>
    </row>
    <row r="236" spans="1:10" ht="12.75" customHeight="1" x14ac:dyDescent="0.2">
      <c r="A236" s="732">
        <v>8124</v>
      </c>
      <c r="B236" s="798" t="s">
        <v>1205</v>
      </c>
      <c r="C236" s="663">
        <f>-(555556*12)</f>
        <v>-6666672</v>
      </c>
      <c r="D236" s="663">
        <f>-(555556*12)</f>
        <v>-6666672</v>
      </c>
      <c r="E236" s="652">
        <v>-3333336</v>
      </c>
      <c r="F236" s="653"/>
      <c r="G236" s="642">
        <f t="shared" si="39"/>
        <v>50</v>
      </c>
      <c r="H236" s="644">
        <f t="shared" si="40"/>
        <v>50</v>
      </c>
      <c r="I236" s="645">
        <f t="shared" si="44"/>
        <v>100</v>
      </c>
      <c r="J236" s="29">
        <v>-3333336</v>
      </c>
    </row>
    <row r="237" spans="1:10" ht="27" customHeight="1" x14ac:dyDescent="0.2">
      <c r="A237" s="732">
        <v>8125</v>
      </c>
      <c r="B237" s="798" t="s">
        <v>1206</v>
      </c>
      <c r="C237" s="663">
        <f>(102867431.07+200.98)*0.05</f>
        <v>5143381.6025</v>
      </c>
      <c r="D237" s="663">
        <f>(102867431.07+200.98)*0.05</f>
        <v>5143381.6025</v>
      </c>
      <c r="E237" s="652">
        <v>0</v>
      </c>
      <c r="F237" s="653"/>
      <c r="G237" s="642">
        <f t="shared" ref="G237:G300" si="47">E237/C237*100</f>
        <v>0</v>
      </c>
      <c r="H237" s="644">
        <f t="shared" ref="H237:H300" si="48">E237/D237*100</f>
        <v>0</v>
      </c>
      <c r="I237" s="651">
        <v>0</v>
      </c>
      <c r="J237" s="654">
        <v>0</v>
      </c>
    </row>
    <row r="238" spans="1:10" s="235" customFormat="1" ht="12.75" customHeight="1" x14ac:dyDescent="0.4">
      <c r="A238" s="698">
        <v>8901</v>
      </c>
      <c r="B238" s="689" t="s">
        <v>254</v>
      </c>
      <c r="C238" s="694">
        <f t="shared" ref="C238:D238" si="49">SUM(C241:C241)</f>
        <v>0</v>
      </c>
      <c r="D238" s="694">
        <f t="shared" si="49"/>
        <v>0</v>
      </c>
      <c r="E238" s="649">
        <v>1159424.25</v>
      </c>
      <c r="F238" s="650"/>
      <c r="G238" s="642">
        <v>0</v>
      </c>
      <c r="H238" s="644">
        <v>0</v>
      </c>
      <c r="I238" s="651">
        <f t="shared" si="44"/>
        <v>-53.452993706366655</v>
      </c>
      <c r="J238" s="654">
        <v>-2169053.91</v>
      </c>
    </row>
    <row r="239" spans="1:10" s="236" customFormat="1" ht="12.75" customHeight="1" x14ac:dyDescent="0.35">
      <c r="A239" s="799"/>
      <c r="B239" s="800" t="s">
        <v>1207</v>
      </c>
      <c r="C239" s="801">
        <v>0</v>
      </c>
      <c r="D239" s="801">
        <v>0</v>
      </c>
      <c r="E239" s="722">
        <v>-2702221.01</v>
      </c>
      <c r="F239" s="722"/>
      <c r="G239" s="643">
        <v>0</v>
      </c>
      <c r="H239" s="659">
        <v>0</v>
      </c>
      <c r="I239" s="664">
        <f t="shared" si="44"/>
        <v>124.58062925692795</v>
      </c>
      <c r="J239" s="32">
        <v>-2169053.91</v>
      </c>
    </row>
    <row r="240" spans="1:10" s="236" customFormat="1" ht="12.75" customHeight="1" x14ac:dyDescent="0.35">
      <c r="A240" s="799"/>
      <c r="B240" s="800" t="s">
        <v>1208</v>
      </c>
      <c r="C240" s="801">
        <v>0</v>
      </c>
      <c r="D240" s="801">
        <v>0</v>
      </c>
      <c r="E240" s="722">
        <v>1706352.74</v>
      </c>
      <c r="F240" s="722"/>
      <c r="G240" s="643">
        <v>0</v>
      </c>
      <c r="H240" s="659">
        <v>0</v>
      </c>
      <c r="I240" s="664">
        <v>0</v>
      </c>
      <c r="J240" s="32">
        <v>0</v>
      </c>
    </row>
    <row r="241" spans="1:10" s="236" customFormat="1" ht="12.75" customHeight="1" x14ac:dyDescent="0.35">
      <c r="A241" s="799" t="s">
        <v>446</v>
      </c>
      <c r="B241" s="800" t="s">
        <v>1209</v>
      </c>
      <c r="C241" s="801">
        <v>0</v>
      </c>
      <c r="D241" s="801">
        <v>0</v>
      </c>
      <c r="E241" s="722">
        <v>1152800</v>
      </c>
      <c r="F241" s="722"/>
      <c r="G241" s="643">
        <v>0</v>
      </c>
      <c r="H241" s="659">
        <v>0</v>
      </c>
      <c r="I241" s="664">
        <v>0</v>
      </c>
      <c r="J241" s="32">
        <v>0</v>
      </c>
    </row>
    <row r="242" spans="1:10" x14ac:dyDescent="0.2">
      <c r="A242" s="802"/>
      <c r="B242" s="803"/>
      <c r="C242" s="804"/>
      <c r="D242" s="804"/>
      <c r="E242" s="805"/>
      <c r="F242" s="805"/>
      <c r="G242" s="805"/>
      <c r="H242" s="805"/>
      <c r="I242" s="806"/>
      <c r="J242" s="29"/>
    </row>
    <row r="243" spans="1:10" s="85" customFormat="1" ht="24" customHeight="1" x14ac:dyDescent="0.4">
      <c r="A243" s="807"/>
      <c r="B243" s="808" t="s">
        <v>15</v>
      </c>
      <c r="C243" s="809">
        <f t="shared" ref="C243:D243" si="50">SUM(C232+C234)</f>
        <v>1012540563.0025001</v>
      </c>
      <c r="D243" s="809">
        <f t="shared" si="50"/>
        <v>1085138478.0225</v>
      </c>
      <c r="E243" s="810">
        <v>399038392.61000001</v>
      </c>
      <c r="F243" s="811">
        <f>SUM(E232:E234)</f>
        <v>399038392.61000001</v>
      </c>
      <c r="G243" s="810">
        <f t="shared" si="47"/>
        <v>39.409620433054663</v>
      </c>
      <c r="H243" s="810">
        <f t="shared" si="48"/>
        <v>36.77303871273525</v>
      </c>
      <c r="I243" s="812">
        <f t="shared" si="44"/>
        <v>106.01051353184567</v>
      </c>
      <c r="J243" s="29">
        <v>376413979.44</v>
      </c>
    </row>
    <row r="244" spans="1:10" s="98" customFormat="1" ht="22.5" customHeight="1" x14ac:dyDescent="0.3">
      <c r="A244" s="813"/>
      <c r="B244" s="814" t="s">
        <v>257</v>
      </c>
      <c r="C244" s="815"/>
      <c r="D244" s="815"/>
      <c r="E244" s="816"/>
      <c r="F244" s="816"/>
      <c r="G244" s="816"/>
      <c r="H244" s="816"/>
      <c r="I244" s="793"/>
      <c r="J244" s="29"/>
    </row>
    <row r="245" spans="1:10" ht="20.25" x14ac:dyDescent="0.3">
      <c r="A245" s="817"/>
      <c r="B245" s="814" t="s">
        <v>258</v>
      </c>
      <c r="C245" s="818">
        <f>C246+C260+C287+C297</f>
        <v>90523182</v>
      </c>
      <c r="D245" s="818">
        <f>D246+D260+D287+D297</f>
        <v>90564543</v>
      </c>
      <c r="E245" s="819">
        <v>28384340.98</v>
      </c>
      <c r="F245" s="820">
        <f>SUM(E246,E260,E287,E297)</f>
        <v>28384340.979999997</v>
      </c>
      <c r="G245" s="631">
        <f t="shared" si="47"/>
        <v>31.355880728982772</v>
      </c>
      <c r="H245" s="631">
        <f t="shared" si="48"/>
        <v>31.341560438283228</v>
      </c>
      <c r="I245" s="677">
        <f t="shared" si="44"/>
        <v>120.49887730816025</v>
      </c>
      <c r="J245" s="29">
        <v>23555689.16</v>
      </c>
    </row>
    <row r="246" spans="1:10" ht="15.75" x14ac:dyDescent="0.25">
      <c r="A246" s="821"/>
      <c r="B246" s="822" t="s">
        <v>259</v>
      </c>
      <c r="C246" s="823">
        <f>SUM(C247+C252+C257)</f>
        <v>3825000</v>
      </c>
      <c r="D246" s="823">
        <f>SUM(D247+D252+D257)</f>
        <v>2125000</v>
      </c>
      <c r="E246" s="824">
        <v>432172.4</v>
      </c>
      <c r="F246" s="825">
        <f>SUM(E247,E252,E256)</f>
        <v>432172.4</v>
      </c>
      <c r="G246" s="788">
        <f t="shared" si="47"/>
        <v>11.298624836601308</v>
      </c>
      <c r="H246" s="788">
        <f t="shared" si="48"/>
        <v>20.337524705882355</v>
      </c>
      <c r="I246" s="826">
        <f t="shared" si="44"/>
        <v>103.95513450529508</v>
      </c>
      <c r="J246" s="29">
        <v>415729.73</v>
      </c>
    </row>
    <row r="247" spans="1:10" x14ac:dyDescent="0.2">
      <c r="A247" s="827">
        <v>2310</v>
      </c>
      <c r="B247" s="828" t="s">
        <v>1210</v>
      </c>
      <c r="C247" s="829">
        <f>SUM(C248:C251)</f>
        <v>1865000</v>
      </c>
      <c r="D247" s="829">
        <f>SUM(D248:D251)</f>
        <v>165000</v>
      </c>
      <c r="E247" s="830">
        <v>0</v>
      </c>
      <c r="F247" s="831">
        <f>SUM(E248:E251)</f>
        <v>0</v>
      </c>
      <c r="G247" s="642">
        <f t="shared" si="47"/>
        <v>0</v>
      </c>
      <c r="H247" s="644">
        <f t="shared" si="48"/>
        <v>0</v>
      </c>
      <c r="I247" s="651">
        <f t="shared" si="44"/>
        <v>0</v>
      </c>
      <c r="J247" s="29">
        <v>49126</v>
      </c>
    </row>
    <row r="248" spans="1:10" x14ac:dyDescent="0.2">
      <c r="A248" s="832" t="s">
        <v>261</v>
      </c>
      <c r="B248" s="686" t="s">
        <v>262</v>
      </c>
      <c r="C248" s="687">
        <v>15000</v>
      </c>
      <c r="D248" s="687">
        <v>15000</v>
      </c>
      <c r="E248" s="653">
        <v>0</v>
      </c>
      <c r="F248" s="653"/>
      <c r="G248" s="643">
        <f t="shared" si="47"/>
        <v>0</v>
      </c>
      <c r="H248" s="659">
        <f t="shared" si="48"/>
        <v>0</v>
      </c>
      <c r="I248" s="664">
        <v>0</v>
      </c>
      <c r="J248" s="29">
        <v>0</v>
      </c>
    </row>
    <row r="249" spans="1:10" x14ac:dyDescent="0.2">
      <c r="A249" s="832" t="s">
        <v>263</v>
      </c>
      <c r="B249" s="686" t="s">
        <v>1211</v>
      </c>
      <c r="C249" s="687">
        <v>200000</v>
      </c>
      <c r="D249" s="687">
        <f>200000-200000</f>
        <v>0</v>
      </c>
      <c r="E249" s="653">
        <v>0</v>
      </c>
      <c r="F249" s="653"/>
      <c r="G249" s="643">
        <f t="shared" si="47"/>
        <v>0</v>
      </c>
      <c r="H249" s="659">
        <v>0</v>
      </c>
      <c r="I249" s="664">
        <f t="shared" si="44"/>
        <v>0</v>
      </c>
      <c r="J249" s="29">
        <v>49126</v>
      </c>
    </row>
    <row r="250" spans="1:10" x14ac:dyDescent="0.2">
      <c r="A250" s="832" t="s">
        <v>265</v>
      </c>
      <c r="B250" s="686" t="s">
        <v>1212</v>
      </c>
      <c r="C250" s="687">
        <v>150000</v>
      </c>
      <c r="D250" s="687">
        <v>150000</v>
      </c>
      <c r="E250" s="653">
        <v>0</v>
      </c>
      <c r="F250" s="653"/>
      <c r="G250" s="643">
        <f t="shared" si="47"/>
        <v>0</v>
      </c>
      <c r="H250" s="659">
        <f t="shared" si="48"/>
        <v>0</v>
      </c>
      <c r="I250" s="664">
        <v>0</v>
      </c>
      <c r="J250" s="29">
        <v>0</v>
      </c>
    </row>
    <row r="251" spans="1:10" x14ac:dyDescent="0.2">
      <c r="A251" s="832" t="s">
        <v>1213</v>
      </c>
      <c r="B251" s="686" t="s">
        <v>1214</v>
      </c>
      <c r="C251" s="687">
        <v>1500000</v>
      </c>
      <c r="D251" s="687">
        <f>1500000-1500000</f>
        <v>0</v>
      </c>
      <c r="E251" s="653">
        <v>0</v>
      </c>
      <c r="F251" s="653"/>
      <c r="G251" s="643">
        <f t="shared" si="47"/>
        <v>0</v>
      </c>
      <c r="H251" s="659">
        <v>0</v>
      </c>
      <c r="I251" s="664">
        <v>0</v>
      </c>
      <c r="J251" s="29">
        <v>0</v>
      </c>
    </row>
    <row r="252" spans="1:10" x14ac:dyDescent="0.2">
      <c r="A252" s="698">
        <v>2321</v>
      </c>
      <c r="B252" s="690" t="s">
        <v>1215</v>
      </c>
      <c r="C252" s="694">
        <f>SUM(C253:C256)</f>
        <v>1800000</v>
      </c>
      <c r="D252" s="694">
        <f>SUM(D253:D256)</f>
        <v>1800000</v>
      </c>
      <c r="E252" s="652">
        <v>432172.4</v>
      </c>
      <c r="F252" s="653">
        <f>SUM(E253:E256)</f>
        <v>432172.4</v>
      </c>
      <c r="G252" s="642">
        <f t="shared" si="47"/>
        <v>24.009577777777778</v>
      </c>
      <c r="H252" s="644">
        <f t="shared" si="48"/>
        <v>24.009577777777778</v>
      </c>
      <c r="I252" s="651">
        <f t="shared" si="44"/>
        <v>117.88543449898887</v>
      </c>
      <c r="J252" s="29">
        <v>366603.73</v>
      </c>
    </row>
    <row r="253" spans="1:10" x14ac:dyDescent="0.2">
      <c r="A253" s="832" t="s">
        <v>268</v>
      </c>
      <c r="B253" s="686" t="s">
        <v>269</v>
      </c>
      <c r="C253" s="687">
        <v>200000</v>
      </c>
      <c r="D253" s="687">
        <v>200000</v>
      </c>
      <c r="E253" s="653">
        <v>133255</v>
      </c>
      <c r="F253" s="653"/>
      <c r="G253" s="643">
        <f t="shared" si="47"/>
        <v>66.627499999999998</v>
      </c>
      <c r="H253" s="659">
        <f t="shared" si="48"/>
        <v>66.627499999999998</v>
      </c>
      <c r="I253" s="664">
        <f t="shared" si="44"/>
        <v>215.17730267407313</v>
      </c>
      <c r="J253" s="29">
        <v>61928</v>
      </c>
    </row>
    <row r="254" spans="1:10" s="2" customFormat="1" x14ac:dyDescent="0.2">
      <c r="A254" s="832" t="s">
        <v>270</v>
      </c>
      <c r="B254" s="686" t="s">
        <v>1216</v>
      </c>
      <c r="C254" s="687">
        <v>800000</v>
      </c>
      <c r="D254" s="687">
        <v>800000</v>
      </c>
      <c r="E254" s="653">
        <v>245580.4</v>
      </c>
      <c r="F254" s="653"/>
      <c r="G254" s="643">
        <f t="shared" si="47"/>
        <v>30.69755</v>
      </c>
      <c r="H254" s="659">
        <f t="shared" si="48"/>
        <v>30.69755</v>
      </c>
      <c r="I254" s="664">
        <f t="shared" si="44"/>
        <v>71.87109767836364</v>
      </c>
      <c r="J254" s="88">
        <v>341695.63</v>
      </c>
    </row>
    <row r="255" spans="1:10" x14ac:dyDescent="0.2">
      <c r="A255" s="832" t="s">
        <v>272</v>
      </c>
      <c r="B255" s="686" t="s">
        <v>1217</v>
      </c>
      <c r="C255" s="687">
        <v>600000</v>
      </c>
      <c r="D255" s="687">
        <v>600000</v>
      </c>
      <c r="E255" s="653">
        <v>53337</v>
      </c>
      <c r="F255" s="653"/>
      <c r="G255" s="643">
        <f t="shared" si="47"/>
        <v>8.8895</v>
      </c>
      <c r="H255" s="659">
        <f t="shared" si="48"/>
        <v>8.8895</v>
      </c>
      <c r="I255" s="664">
        <f t="shared" si="44"/>
        <v>84.688655622966621</v>
      </c>
      <c r="J255" s="29">
        <v>62980.1</v>
      </c>
    </row>
    <row r="256" spans="1:10" ht="24.75" x14ac:dyDescent="0.2">
      <c r="A256" s="832" t="s">
        <v>272</v>
      </c>
      <c r="B256" s="696" t="s">
        <v>1218</v>
      </c>
      <c r="C256" s="687">
        <v>200000</v>
      </c>
      <c r="D256" s="687">
        <v>200000</v>
      </c>
      <c r="E256" s="833">
        <v>0</v>
      </c>
      <c r="F256" s="833"/>
      <c r="G256" s="643">
        <f t="shared" si="47"/>
        <v>0</v>
      </c>
      <c r="H256" s="659">
        <f t="shared" si="48"/>
        <v>0</v>
      </c>
      <c r="I256" s="664">
        <v>0</v>
      </c>
      <c r="J256" s="654">
        <v>0</v>
      </c>
    </row>
    <row r="257" spans="1:10" x14ac:dyDescent="0.2">
      <c r="A257" s="732">
        <v>2333</v>
      </c>
      <c r="B257" s="834" t="s">
        <v>1219</v>
      </c>
      <c r="C257" s="835">
        <f t="shared" ref="C257:D257" si="51">SUM(C258:C259)</f>
        <v>160000</v>
      </c>
      <c r="D257" s="835">
        <f t="shared" si="51"/>
        <v>160000</v>
      </c>
      <c r="E257" s="652">
        <v>0</v>
      </c>
      <c r="F257" s="653">
        <f>SUM(E258:E259)</f>
        <v>0</v>
      </c>
      <c r="G257" s="642">
        <f t="shared" si="47"/>
        <v>0</v>
      </c>
      <c r="H257" s="644">
        <f t="shared" si="48"/>
        <v>0</v>
      </c>
      <c r="I257" s="651">
        <v>0</v>
      </c>
      <c r="J257" s="29">
        <v>0</v>
      </c>
    </row>
    <row r="258" spans="1:10" x14ac:dyDescent="0.2">
      <c r="A258" s="832" t="s">
        <v>276</v>
      </c>
      <c r="B258" s="686" t="s">
        <v>1220</v>
      </c>
      <c r="C258" s="687">
        <v>80000</v>
      </c>
      <c r="D258" s="687">
        <v>80000</v>
      </c>
      <c r="E258" s="653">
        <v>0</v>
      </c>
      <c r="F258" s="653"/>
      <c r="G258" s="643">
        <f t="shared" si="47"/>
        <v>0</v>
      </c>
      <c r="H258" s="659">
        <f t="shared" si="48"/>
        <v>0</v>
      </c>
      <c r="I258" s="664">
        <v>0</v>
      </c>
      <c r="J258" s="29">
        <v>0</v>
      </c>
    </row>
    <row r="259" spans="1:10" x14ac:dyDescent="0.2">
      <c r="A259" s="832" t="s">
        <v>278</v>
      </c>
      <c r="B259" s="686" t="s">
        <v>1221</v>
      </c>
      <c r="C259" s="836">
        <v>80000</v>
      </c>
      <c r="D259" s="836">
        <v>80000</v>
      </c>
      <c r="E259" s="837">
        <v>0</v>
      </c>
      <c r="F259" s="837"/>
      <c r="G259" s="643">
        <f t="shared" si="47"/>
        <v>0</v>
      </c>
      <c r="H259" s="659">
        <f t="shared" si="48"/>
        <v>0</v>
      </c>
      <c r="I259" s="664">
        <v>0</v>
      </c>
      <c r="J259" s="29">
        <v>0</v>
      </c>
    </row>
    <row r="260" spans="1:10" s="98" customFormat="1" ht="15.75" x14ac:dyDescent="0.25">
      <c r="A260" s="838"/>
      <c r="B260" s="794" t="s">
        <v>279</v>
      </c>
      <c r="C260" s="839">
        <f>SUM(C261+C274+C284)</f>
        <v>54135000</v>
      </c>
      <c r="D260" s="839">
        <f>SUM(D261+D274+D284)</f>
        <v>55248485</v>
      </c>
      <c r="E260" s="840">
        <v>17605975.710000001</v>
      </c>
      <c r="F260" s="841">
        <f>SUM(E261,E273,E280)</f>
        <v>16888260.439999998</v>
      </c>
      <c r="G260" s="788">
        <f t="shared" si="47"/>
        <v>32.522352840121918</v>
      </c>
      <c r="H260" s="788">
        <f t="shared" si="48"/>
        <v>31.866893200781888</v>
      </c>
      <c r="I260" s="826">
        <f t="shared" si="44"/>
        <v>114.29319287610598</v>
      </c>
      <c r="J260" s="29">
        <v>15404220.73</v>
      </c>
    </row>
    <row r="261" spans="1:10" s="98" customFormat="1" x14ac:dyDescent="0.2">
      <c r="A261" s="747">
        <v>2212</v>
      </c>
      <c r="B261" s="828" t="s">
        <v>1222</v>
      </c>
      <c r="C261" s="842">
        <f>SUM(C262:C263,C265:C273)</f>
        <v>51195000</v>
      </c>
      <c r="D261" s="842">
        <f>SUM(D262:D263,D265:D273)</f>
        <v>51941680</v>
      </c>
      <c r="E261" s="680">
        <v>16616548.439999999</v>
      </c>
      <c r="F261" s="681">
        <f>SUM(E262:E273)</f>
        <v>16616548.440000001</v>
      </c>
      <c r="G261" s="642">
        <f t="shared" si="47"/>
        <v>32.457365836507471</v>
      </c>
      <c r="H261" s="644">
        <f t="shared" si="48"/>
        <v>31.990779736042423</v>
      </c>
      <c r="I261" s="651">
        <f t="shared" si="44"/>
        <v>109.08898303944201</v>
      </c>
      <c r="J261" s="29">
        <v>15232105</v>
      </c>
    </row>
    <row r="262" spans="1:10" s="98" customFormat="1" x14ac:dyDescent="0.2">
      <c r="A262" s="832" t="s">
        <v>1223</v>
      </c>
      <c r="B262" s="686" t="s">
        <v>1224</v>
      </c>
      <c r="C262" s="687">
        <v>130000</v>
      </c>
      <c r="D262" s="687">
        <f>130000-42086</f>
        <v>87914</v>
      </c>
      <c r="E262" s="650">
        <v>0</v>
      </c>
      <c r="F262" s="650"/>
      <c r="G262" s="643">
        <f t="shared" si="47"/>
        <v>0</v>
      </c>
      <c r="H262" s="659">
        <f t="shared" si="48"/>
        <v>0</v>
      </c>
      <c r="I262" s="664">
        <v>0</v>
      </c>
      <c r="J262" s="29">
        <v>0</v>
      </c>
    </row>
    <row r="263" spans="1:10" s="98" customFormat="1" x14ac:dyDescent="0.2">
      <c r="A263" s="832" t="s">
        <v>1225</v>
      </c>
      <c r="B263" s="686" t="s">
        <v>1226</v>
      </c>
      <c r="C263" s="687">
        <v>220000</v>
      </c>
      <c r="D263" s="687">
        <f>220000+42086</f>
        <v>262086</v>
      </c>
      <c r="E263" s="653">
        <v>0</v>
      </c>
      <c r="F263" s="653"/>
      <c r="G263" s="643">
        <f t="shared" si="47"/>
        <v>0</v>
      </c>
      <c r="H263" s="659">
        <f t="shared" si="48"/>
        <v>0</v>
      </c>
      <c r="I263" s="660">
        <v>0</v>
      </c>
      <c r="J263" s="29">
        <v>0</v>
      </c>
    </row>
    <row r="264" spans="1:10" s="2" customFormat="1" x14ac:dyDescent="0.2">
      <c r="A264" s="704"/>
      <c r="B264" s="843" t="s">
        <v>1227</v>
      </c>
      <c r="C264" s="715">
        <f>SUM(C265:C266)</f>
        <v>12550000</v>
      </c>
      <c r="D264" s="715">
        <f>SUM(D265:D266)</f>
        <v>12550000</v>
      </c>
      <c r="E264" s="650">
        <v>0</v>
      </c>
      <c r="F264" s="650"/>
      <c r="G264" s="643">
        <f t="shared" si="47"/>
        <v>0</v>
      </c>
      <c r="H264" s="659">
        <f t="shared" si="48"/>
        <v>0</v>
      </c>
      <c r="I264" s="660">
        <v>0</v>
      </c>
      <c r="J264" s="88">
        <v>0</v>
      </c>
    </row>
    <row r="265" spans="1:10" s="98" customFormat="1" x14ac:dyDescent="0.2">
      <c r="A265" s="832" t="s">
        <v>282</v>
      </c>
      <c r="B265" s="844" t="s">
        <v>1228</v>
      </c>
      <c r="C265" s="687">
        <v>10750000</v>
      </c>
      <c r="D265" s="687">
        <v>10750000</v>
      </c>
      <c r="E265" s="653">
        <v>0</v>
      </c>
      <c r="F265" s="653"/>
      <c r="G265" s="643">
        <f t="shared" si="47"/>
        <v>0</v>
      </c>
      <c r="H265" s="659">
        <f t="shared" si="48"/>
        <v>0</v>
      </c>
      <c r="I265" s="660">
        <v>0</v>
      </c>
      <c r="J265" s="29">
        <v>0</v>
      </c>
    </row>
    <row r="266" spans="1:10" s="98" customFormat="1" ht="25.5" x14ac:dyDescent="0.2">
      <c r="A266" s="832" t="s">
        <v>282</v>
      </c>
      <c r="B266" s="845" t="s">
        <v>1229</v>
      </c>
      <c r="C266" s="687">
        <f>2200000-400000</f>
        <v>1800000</v>
      </c>
      <c r="D266" s="687">
        <f>2200000-400000</f>
        <v>1800000</v>
      </c>
      <c r="E266" s="653">
        <v>0</v>
      </c>
      <c r="F266" s="653"/>
      <c r="G266" s="643">
        <f t="shared" si="47"/>
        <v>0</v>
      </c>
      <c r="H266" s="659">
        <f t="shared" si="48"/>
        <v>0</v>
      </c>
      <c r="I266" s="664">
        <v>0</v>
      </c>
      <c r="J266" s="654">
        <v>0</v>
      </c>
    </row>
    <row r="267" spans="1:10" s="98" customFormat="1" x14ac:dyDescent="0.2">
      <c r="A267" s="832" t="s">
        <v>286</v>
      </c>
      <c r="B267" s="686" t="s">
        <v>1230</v>
      </c>
      <c r="C267" s="687">
        <v>4600000</v>
      </c>
      <c r="D267" s="687">
        <v>4600000</v>
      </c>
      <c r="E267" s="653">
        <v>2300000</v>
      </c>
      <c r="F267" s="653"/>
      <c r="G267" s="643">
        <f t="shared" si="47"/>
        <v>50</v>
      </c>
      <c r="H267" s="659">
        <f t="shared" si="48"/>
        <v>50</v>
      </c>
      <c r="I267" s="664">
        <f t="shared" ref="I267:I326" si="52">E267/J267*100</f>
        <v>103.60360360360362</v>
      </c>
      <c r="J267" s="29">
        <v>2220000</v>
      </c>
    </row>
    <row r="268" spans="1:10" s="98" customFormat="1" x14ac:dyDescent="0.2">
      <c r="A268" s="832" t="s">
        <v>286</v>
      </c>
      <c r="B268" s="686" t="s">
        <v>1231</v>
      </c>
      <c r="C268" s="687">
        <v>24695000</v>
      </c>
      <c r="D268" s="687">
        <f>24695000-353320</f>
        <v>24341680</v>
      </c>
      <c r="E268" s="653">
        <v>12347502</v>
      </c>
      <c r="F268" s="653"/>
      <c r="G268" s="643">
        <f t="shared" si="47"/>
        <v>50.000008098805424</v>
      </c>
      <c r="H268" s="659">
        <f t="shared" si="48"/>
        <v>50.725759273805259</v>
      </c>
      <c r="I268" s="664">
        <f t="shared" si="52"/>
        <v>104.06659924146651</v>
      </c>
      <c r="J268" s="29">
        <v>11865000</v>
      </c>
    </row>
    <row r="269" spans="1:10" s="98" customFormat="1" x14ac:dyDescent="0.2">
      <c r="A269" s="832" t="s">
        <v>291</v>
      </c>
      <c r="B269" s="686" t="s">
        <v>1232</v>
      </c>
      <c r="C269" s="687">
        <v>2000000</v>
      </c>
      <c r="D269" s="687">
        <v>2000000</v>
      </c>
      <c r="E269" s="653">
        <v>298144</v>
      </c>
      <c r="F269" s="653"/>
      <c r="G269" s="643">
        <f t="shared" si="47"/>
        <v>14.907200000000001</v>
      </c>
      <c r="H269" s="659">
        <f t="shared" si="48"/>
        <v>14.907200000000001</v>
      </c>
      <c r="I269" s="664">
        <v>0</v>
      </c>
      <c r="J269" s="29">
        <v>0</v>
      </c>
    </row>
    <row r="270" spans="1:10" s="98" customFormat="1" x14ac:dyDescent="0.2">
      <c r="A270" s="832" t="s">
        <v>1233</v>
      </c>
      <c r="B270" s="686" t="s">
        <v>1234</v>
      </c>
      <c r="C270" s="687">
        <v>3700000</v>
      </c>
      <c r="D270" s="687">
        <v>3700000</v>
      </c>
      <c r="E270" s="653">
        <v>435086.96</v>
      </c>
      <c r="F270" s="653"/>
      <c r="G270" s="643">
        <f t="shared" si="47"/>
        <v>11.759107027027028</v>
      </c>
      <c r="H270" s="659">
        <f t="shared" si="48"/>
        <v>11.759107027027028</v>
      </c>
      <c r="I270" s="664">
        <f t="shared" si="52"/>
        <v>583.72727272727275</v>
      </c>
      <c r="J270" s="29">
        <v>74536</v>
      </c>
    </row>
    <row r="271" spans="1:10" s="98" customFormat="1" x14ac:dyDescent="0.2">
      <c r="A271" s="832" t="s">
        <v>291</v>
      </c>
      <c r="B271" s="686" t="s">
        <v>1235</v>
      </c>
      <c r="C271" s="687">
        <v>820000</v>
      </c>
      <c r="D271" s="687">
        <v>820000</v>
      </c>
      <c r="E271" s="653">
        <v>0</v>
      </c>
      <c r="F271" s="653"/>
      <c r="G271" s="643">
        <f t="shared" si="47"/>
        <v>0</v>
      </c>
      <c r="H271" s="659">
        <f t="shared" si="48"/>
        <v>0</v>
      </c>
      <c r="I271" s="664">
        <v>0</v>
      </c>
      <c r="J271" s="29">
        <v>0</v>
      </c>
    </row>
    <row r="272" spans="1:10" s="98" customFormat="1" x14ac:dyDescent="0.2">
      <c r="A272" s="832" t="s">
        <v>293</v>
      </c>
      <c r="B272" s="686" t="s">
        <v>1236</v>
      </c>
      <c r="C272" s="687">
        <f>1230000+800000</f>
        <v>2030000</v>
      </c>
      <c r="D272" s="687">
        <f>1230000+800000</f>
        <v>2030000</v>
      </c>
      <c r="E272" s="653">
        <v>964103.48</v>
      </c>
      <c r="F272" s="653"/>
      <c r="G272" s="643">
        <f t="shared" si="47"/>
        <v>47.492782266009854</v>
      </c>
      <c r="H272" s="659">
        <f t="shared" si="48"/>
        <v>47.492782266009854</v>
      </c>
      <c r="I272" s="664">
        <v>0</v>
      </c>
      <c r="J272" s="29">
        <v>0</v>
      </c>
    </row>
    <row r="273" spans="1:10" s="98" customFormat="1" x14ac:dyDescent="0.2">
      <c r="A273" s="832" t="s">
        <v>1237</v>
      </c>
      <c r="B273" s="686" t="s">
        <v>1238</v>
      </c>
      <c r="C273" s="687">
        <v>450000</v>
      </c>
      <c r="D273" s="687">
        <f>450000+1100000</f>
        <v>1550000</v>
      </c>
      <c r="E273" s="650">
        <v>271712</v>
      </c>
      <c r="F273" s="650"/>
      <c r="G273" s="643">
        <f t="shared" si="47"/>
        <v>60.38044444444445</v>
      </c>
      <c r="H273" s="659">
        <f t="shared" si="48"/>
        <v>17.529806451612902</v>
      </c>
      <c r="I273" s="664">
        <f t="shared" si="52"/>
        <v>57.987617618749852</v>
      </c>
      <c r="J273" s="29">
        <v>468569</v>
      </c>
    </row>
    <row r="274" spans="1:10" s="98" customFormat="1" x14ac:dyDescent="0.2">
      <c r="A274" s="698">
        <v>2219</v>
      </c>
      <c r="B274" s="690" t="s">
        <v>1239</v>
      </c>
      <c r="C274" s="694">
        <f>SUM(C275+C282+C283+C281)</f>
        <v>2790000</v>
      </c>
      <c r="D274" s="694">
        <f>SUM(D275+D282+D283+D281)</f>
        <v>3156805</v>
      </c>
      <c r="E274" s="652">
        <v>989427.27</v>
      </c>
      <c r="F274" s="653">
        <f>SUM(E275:E283)</f>
        <v>989427.27</v>
      </c>
      <c r="G274" s="642">
        <f t="shared" si="47"/>
        <v>35.463343010752688</v>
      </c>
      <c r="H274" s="644">
        <f t="shared" si="48"/>
        <v>31.342679386278217</v>
      </c>
      <c r="I274" s="651">
        <f t="shared" si="52"/>
        <v>777.05746485510087</v>
      </c>
      <c r="J274" s="29">
        <v>127330</v>
      </c>
    </row>
    <row r="275" spans="1:10" s="98" customFormat="1" x14ac:dyDescent="0.2">
      <c r="A275" s="704"/>
      <c r="B275" s="843" t="s">
        <v>281</v>
      </c>
      <c r="C275" s="715">
        <f>SUM(C276:C280)</f>
        <v>1880000</v>
      </c>
      <c r="D275" s="715">
        <f>SUM(D276:D280)</f>
        <v>2056452.3599999999</v>
      </c>
      <c r="E275" s="653">
        <v>0</v>
      </c>
      <c r="F275" s="653"/>
      <c r="G275" s="643">
        <f t="shared" si="47"/>
        <v>0</v>
      </c>
      <c r="H275" s="659">
        <f t="shared" si="48"/>
        <v>0</v>
      </c>
      <c r="I275" s="664">
        <v>0</v>
      </c>
      <c r="J275" s="29">
        <v>0</v>
      </c>
    </row>
    <row r="276" spans="1:10" s="98" customFormat="1" x14ac:dyDescent="0.2">
      <c r="A276" s="832" t="s">
        <v>1240</v>
      </c>
      <c r="B276" s="686" t="s">
        <v>1241</v>
      </c>
      <c r="C276" s="687">
        <v>30000</v>
      </c>
      <c r="D276" s="687">
        <v>30000</v>
      </c>
      <c r="E276" s="653">
        <v>0</v>
      </c>
      <c r="F276" s="653"/>
      <c r="G276" s="643">
        <f t="shared" si="47"/>
        <v>0</v>
      </c>
      <c r="H276" s="659">
        <f t="shared" si="48"/>
        <v>0</v>
      </c>
      <c r="I276" s="660">
        <v>0</v>
      </c>
      <c r="J276" s="29">
        <v>0</v>
      </c>
    </row>
    <row r="277" spans="1:10" s="98" customFormat="1" x14ac:dyDescent="0.2">
      <c r="A277" s="832" t="s">
        <v>1242</v>
      </c>
      <c r="B277" s="702" t="s">
        <v>1243</v>
      </c>
      <c r="C277" s="687">
        <v>1050000</v>
      </c>
      <c r="D277" s="687">
        <v>1050000</v>
      </c>
      <c r="E277" s="653">
        <v>0</v>
      </c>
      <c r="F277" s="653"/>
      <c r="G277" s="643">
        <f t="shared" si="47"/>
        <v>0</v>
      </c>
      <c r="H277" s="659">
        <f t="shared" si="48"/>
        <v>0</v>
      </c>
      <c r="I277" s="660">
        <v>0</v>
      </c>
      <c r="J277" s="29">
        <v>0</v>
      </c>
    </row>
    <row r="278" spans="1:10" s="98" customFormat="1" x14ac:dyDescent="0.2">
      <c r="A278" s="832" t="s">
        <v>474</v>
      </c>
      <c r="B278" s="686" t="s">
        <v>1244</v>
      </c>
      <c r="C278" s="687">
        <v>700000</v>
      </c>
      <c r="D278" s="687">
        <v>700000</v>
      </c>
      <c r="E278" s="653">
        <v>0</v>
      </c>
      <c r="F278" s="653"/>
      <c r="G278" s="643">
        <f t="shared" si="47"/>
        <v>0</v>
      </c>
      <c r="H278" s="659">
        <f t="shared" si="48"/>
        <v>0</v>
      </c>
      <c r="I278" s="660">
        <v>0</v>
      </c>
      <c r="J278" s="29">
        <v>0</v>
      </c>
    </row>
    <row r="279" spans="1:10" x14ac:dyDescent="0.2">
      <c r="A279" s="846" t="s">
        <v>1245</v>
      </c>
      <c r="B279" s="847" t="s">
        <v>1246</v>
      </c>
      <c r="C279" s="722">
        <v>0</v>
      </c>
      <c r="D279" s="722">
        <f>100000+76452.36</f>
        <v>176452.36</v>
      </c>
      <c r="E279" s="722">
        <v>0</v>
      </c>
      <c r="F279" s="722"/>
      <c r="G279" s="643">
        <v>0</v>
      </c>
      <c r="H279" s="659">
        <f t="shared" si="48"/>
        <v>0</v>
      </c>
      <c r="I279" s="660">
        <v>0</v>
      </c>
      <c r="J279" s="29">
        <v>0</v>
      </c>
    </row>
    <row r="280" spans="1:10" s="98" customFormat="1" x14ac:dyDescent="0.2">
      <c r="A280" s="832" t="s">
        <v>498</v>
      </c>
      <c r="B280" s="686" t="s">
        <v>1247</v>
      </c>
      <c r="C280" s="687">
        <v>100000</v>
      </c>
      <c r="D280" s="687">
        <v>100000</v>
      </c>
      <c r="E280" s="650">
        <v>0</v>
      </c>
      <c r="F280" s="650"/>
      <c r="G280" s="643">
        <f t="shared" si="47"/>
        <v>0</v>
      </c>
      <c r="H280" s="659">
        <f t="shared" si="48"/>
        <v>0</v>
      </c>
      <c r="I280" s="660">
        <v>0</v>
      </c>
      <c r="J280" s="29">
        <v>0</v>
      </c>
    </row>
    <row r="281" spans="1:10" s="98" customFormat="1" x14ac:dyDescent="0.2">
      <c r="A281" s="832" t="s">
        <v>1248</v>
      </c>
      <c r="B281" s="686" t="s">
        <v>1249</v>
      </c>
      <c r="C281" s="687">
        <v>10000</v>
      </c>
      <c r="D281" s="687">
        <v>10000</v>
      </c>
      <c r="E281" s="650">
        <v>0</v>
      </c>
      <c r="F281" s="650"/>
      <c r="G281" s="643">
        <f t="shared" si="47"/>
        <v>0</v>
      </c>
      <c r="H281" s="659">
        <f t="shared" si="48"/>
        <v>0</v>
      </c>
      <c r="I281" s="660">
        <v>0</v>
      </c>
      <c r="J281" s="29">
        <v>0</v>
      </c>
    </row>
    <row r="282" spans="1:10" x14ac:dyDescent="0.2">
      <c r="A282" s="848" t="s">
        <v>299</v>
      </c>
      <c r="B282" s="720" t="s">
        <v>1250</v>
      </c>
      <c r="C282" s="687">
        <v>100000</v>
      </c>
      <c r="D282" s="687">
        <f>100000-76452.36</f>
        <v>23547.64</v>
      </c>
      <c r="E282" s="653">
        <v>0</v>
      </c>
      <c r="F282" s="653"/>
      <c r="G282" s="643">
        <f t="shared" si="47"/>
        <v>0</v>
      </c>
      <c r="H282" s="659">
        <f t="shared" si="48"/>
        <v>0</v>
      </c>
      <c r="I282" s="660">
        <v>0</v>
      </c>
      <c r="J282" s="29">
        <v>40000</v>
      </c>
    </row>
    <row r="283" spans="1:10" s="2" customFormat="1" x14ac:dyDescent="0.2">
      <c r="A283" s="849" t="s">
        <v>301</v>
      </c>
      <c r="B283" s="767" t="s">
        <v>1251</v>
      </c>
      <c r="C283" s="687">
        <v>800000</v>
      </c>
      <c r="D283" s="687">
        <f>800000+266805</f>
        <v>1066805</v>
      </c>
      <c r="E283" s="653">
        <v>989427.27</v>
      </c>
      <c r="F283" s="653"/>
      <c r="G283" s="643">
        <f t="shared" si="47"/>
        <v>123.67840875</v>
      </c>
      <c r="H283" s="659">
        <f t="shared" si="48"/>
        <v>92.746778464667869</v>
      </c>
      <c r="I283" s="664">
        <f t="shared" si="52"/>
        <v>1132.9752318790793</v>
      </c>
      <c r="J283" s="88">
        <v>87330</v>
      </c>
    </row>
    <row r="284" spans="1:10" x14ac:dyDescent="0.2">
      <c r="A284" s="698">
        <v>2221</v>
      </c>
      <c r="B284" s="690" t="s">
        <v>1252</v>
      </c>
      <c r="C284" s="694">
        <f>SUM(C285:C286)</f>
        <v>150000</v>
      </c>
      <c r="D284" s="694">
        <f>SUM(D285:D286)</f>
        <v>150000</v>
      </c>
      <c r="E284" s="652">
        <v>0</v>
      </c>
      <c r="F284" s="653">
        <f>SUM(E285:E286)</f>
        <v>0</v>
      </c>
      <c r="G284" s="642">
        <f t="shared" si="47"/>
        <v>0</v>
      </c>
      <c r="H284" s="644">
        <f t="shared" si="48"/>
        <v>0</v>
      </c>
      <c r="I284" s="645">
        <v>0</v>
      </c>
      <c r="J284" s="29">
        <v>44875.73</v>
      </c>
    </row>
    <row r="285" spans="1:10" x14ac:dyDescent="0.2">
      <c r="A285" s="850" t="s">
        <v>1253</v>
      </c>
      <c r="B285" s="843" t="s">
        <v>1254</v>
      </c>
      <c r="C285" s="687">
        <v>60000</v>
      </c>
      <c r="D285" s="687">
        <v>60000</v>
      </c>
      <c r="E285" s="653">
        <v>0</v>
      </c>
      <c r="F285" s="653"/>
      <c r="G285" s="643">
        <f t="shared" si="47"/>
        <v>0</v>
      </c>
      <c r="H285" s="659">
        <f t="shared" si="48"/>
        <v>0</v>
      </c>
      <c r="I285" s="660">
        <v>0</v>
      </c>
      <c r="J285" s="29">
        <v>0</v>
      </c>
    </row>
    <row r="286" spans="1:10" x14ac:dyDescent="0.2">
      <c r="A286" s="850" t="s">
        <v>310</v>
      </c>
      <c r="B286" s="851" t="s">
        <v>1255</v>
      </c>
      <c r="C286" s="687">
        <v>90000</v>
      </c>
      <c r="D286" s="687">
        <v>90000</v>
      </c>
      <c r="E286" s="653">
        <v>0</v>
      </c>
      <c r="F286" s="653"/>
      <c r="G286" s="643">
        <f t="shared" si="47"/>
        <v>0</v>
      </c>
      <c r="H286" s="659">
        <f t="shared" si="48"/>
        <v>0</v>
      </c>
      <c r="I286" s="660">
        <v>0</v>
      </c>
      <c r="J286" s="29">
        <v>15287.14</v>
      </c>
    </row>
    <row r="287" spans="1:10" ht="15.75" x14ac:dyDescent="0.25">
      <c r="A287" s="838"/>
      <c r="B287" s="794" t="s">
        <v>312</v>
      </c>
      <c r="C287" s="852">
        <f t="shared" ref="C287:D287" si="53">C288</f>
        <v>5110000</v>
      </c>
      <c r="D287" s="852">
        <f t="shared" si="53"/>
        <v>5110000</v>
      </c>
      <c r="E287" s="853">
        <v>512761.25</v>
      </c>
      <c r="F287" s="854">
        <f>SUM(E289:E296)</f>
        <v>512761.25</v>
      </c>
      <c r="G287" s="788">
        <f t="shared" si="47"/>
        <v>10.034466731898238</v>
      </c>
      <c r="H287" s="788">
        <f t="shared" si="48"/>
        <v>10.034466731898238</v>
      </c>
      <c r="I287" s="826">
        <f t="shared" si="52"/>
        <v>549.48321313372696</v>
      </c>
      <c r="J287" s="29">
        <v>93317</v>
      </c>
    </row>
    <row r="288" spans="1:10" x14ac:dyDescent="0.2">
      <c r="A288" s="827">
        <v>3639</v>
      </c>
      <c r="B288" s="828" t="s">
        <v>313</v>
      </c>
      <c r="C288" s="842">
        <f>SUM(C289:C296)</f>
        <v>5110000</v>
      </c>
      <c r="D288" s="842">
        <f>SUM(D289:D296)</f>
        <v>5110000</v>
      </c>
      <c r="E288" s="680">
        <v>512761.25</v>
      </c>
      <c r="F288" s="681"/>
      <c r="G288" s="642">
        <f t="shared" si="47"/>
        <v>10.034466731898238</v>
      </c>
      <c r="H288" s="644">
        <f t="shared" si="48"/>
        <v>10.034466731898238</v>
      </c>
      <c r="I288" s="651">
        <f t="shared" si="52"/>
        <v>549.48321313372696</v>
      </c>
      <c r="J288" s="29">
        <v>93317</v>
      </c>
    </row>
    <row r="289" spans="1:10" x14ac:dyDescent="0.2">
      <c r="A289" s="832" t="s">
        <v>314</v>
      </c>
      <c r="B289" s="702" t="s">
        <v>1256</v>
      </c>
      <c r="C289" s="687">
        <v>4500000</v>
      </c>
      <c r="D289" s="687">
        <v>4500000</v>
      </c>
      <c r="E289" s="653">
        <v>306435</v>
      </c>
      <c r="F289" s="653"/>
      <c r="G289" s="643">
        <f t="shared" si="47"/>
        <v>6.8096666666666668</v>
      </c>
      <c r="H289" s="659">
        <f t="shared" si="48"/>
        <v>6.8096666666666668</v>
      </c>
      <c r="I289" s="664">
        <f t="shared" si="52"/>
        <v>2977.9883381924196</v>
      </c>
      <c r="J289" s="29">
        <v>10290</v>
      </c>
    </row>
    <row r="290" spans="1:10" x14ac:dyDescent="0.2">
      <c r="A290" s="832" t="s">
        <v>316</v>
      </c>
      <c r="B290" s="686" t="s">
        <v>1257</v>
      </c>
      <c r="C290" s="687">
        <v>30000</v>
      </c>
      <c r="D290" s="687">
        <f>30000-5000</f>
        <v>25000</v>
      </c>
      <c r="E290" s="653">
        <v>3025</v>
      </c>
      <c r="F290" s="653"/>
      <c r="G290" s="643">
        <f t="shared" si="47"/>
        <v>10.083333333333332</v>
      </c>
      <c r="H290" s="659">
        <f t="shared" si="48"/>
        <v>12.1</v>
      </c>
      <c r="I290" s="664">
        <f t="shared" si="52"/>
        <v>100</v>
      </c>
      <c r="J290" s="29">
        <v>3025</v>
      </c>
    </row>
    <row r="291" spans="1:10" x14ac:dyDescent="0.2">
      <c r="A291" s="855" t="s">
        <v>316</v>
      </c>
      <c r="B291" s="720" t="s">
        <v>1258</v>
      </c>
      <c r="C291" s="687">
        <v>30000</v>
      </c>
      <c r="D291" s="687">
        <f>30000+5000</f>
        <v>35000</v>
      </c>
      <c r="E291" s="653">
        <v>30104</v>
      </c>
      <c r="F291" s="653"/>
      <c r="G291" s="643">
        <f t="shared" si="47"/>
        <v>100.34666666666668</v>
      </c>
      <c r="H291" s="659">
        <f t="shared" si="48"/>
        <v>86.011428571428567</v>
      </c>
      <c r="I291" s="664">
        <v>0</v>
      </c>
      <c r="J291" s="29">
        <v>0</v>
      </c>
    </row>
    <row r="292" spans="1:10" x14ac:dyDescent="0.2">
      <c r="A292" s="832" t="s">
        <v>325</v>
      </c>
      <c r="B292" s="686" t="s">
        <v>326</v>
      </c>
      <c r="C292" s="687">
        <v>150000</v>
      </c>
      <c r="D292" s="687">
        <v>150000</v>
      </c>
      <c r="E292" s="653">
        <v>74111.25</v>
      </c>
      <c r="F292" s="653"/>
      <c r="G292" s="643">
        <f t="shared" si="47"/>
        <v>49.407499999999999</v>
      </c>
      <c r="H292" s="659">
        <f t="shared" si="48"/>
        <v>49.407499999999999</v>
      </c>
      <c r="I292" s="664">
        <v>0</v>
      </c>
      <c r="J292" s="29">
        <v>0</v>
      </c>
    </row>
    <row r="293" spans="1:10" x14ac:dyDescent="0.2">
      <c r="A293" s="832" t="s">
        <v>321</v>
      </c>
      <c r="B293" s="686" t="s">
        <v>327</v>
      </c>
      <c r="C293" s="687">
        <v>150000</v>
      </c>
      <c r="D293" s="687">
        <v>150000</v>
      </c>
      <c r="E293" s="653">
        <v>30118</v>
      </c>
      <c r="F293" s="653"/>
      <c r="G293" s="643">
        <f t="shared" si="47"/>
        <v>20.078666666666667</v>
      </c>
      <c r="H293" s="659">
        <f t="shared" si="48"/>
        <v>20.078666666666667</v>
      </c>
      <c r="I293" s="664">
        <f t="shared" si="52"/>
        <v>63.627337065596279</v>
      </c>
      <c r="J293" s="29">
        <v>47335</v>
      </c>
    </row>
    <row r="294" spans="1:10" x14ac:dyDescent="0.2">
      <c r="A294" s="832" t="s">
        <v>323</v>
      </c>
      <c r="B294" s="686" t="s">
        <v>328</v>
      </c>
      <c r="C294" s="687">
        <v>210000</v>
      </c>
      <c r="D294" s="687">
        <v>210000</v>
      </c>
      <c r="E294" s="653">
        <v>32900</v>
      </c>
      <c r="F294" s="653"/>
      <c r="G294" s="643">
        <f t="shared" si="47"/>
        <v>15.666666666666668</v>
      </c>
      <c r="H294" s="659">
        <f t="shared" si="48"/>
        <v>15.666666666666668</v>
      </c>
      <c r="I294" s="664">
        <f t="shared" si="52"/>
        <v>212.91742169298473</v>
      </c>
      <c r="J294" s="29">
        <v>15452</v>
      </c>
    </row>
    <row r="295" spans="1:10" x14ac:dyDescent="0.2">
      <c r="A295" s="850" t="s">
        <v>331</v>
      </c>
      <c r="B295" s="702" t="s">
        <v>332</v>
      </c>
      <c r="C295" s="687">
        <v>10000</v>
      </c>
      <c r="D295" s="687">
        <f>10000-10000</f>
        <v>0</v>
      </c>
      <c r="E295" s="653">
        <v>0</v>
      </c>
      <c r="F295" s="653"/>
      <c r="G295" s="643">
        <f t="shared" si="47"/>
        <v>0</v>
      </c>
      <c r="H295" s="659">
        <v>0</v>
      </c>
      <c r="I295" s="664">
        <v>0</v>
      </c>
      <c r="J295" s="29">
        <v>0</v>
      </c>
    </row>
    <row r="296" spans="1:10" x14ac:dyDescent="0.2">
      <c r="A296" s="850" t="s">
        <v>333</v>
      </c>
      <c r="B296" s="856" t="s">
        <v>334</v>
      </c>
      <c r="C296" s="687">
        <v>30000</v>
      </c>
      <c r="D296" s="687">
        <f>30000+10000</f>
        <v>40000</v>
      </c>
      <c r="E296" s="653">
        <v>36068</v>
      </c>
      <c r="F296" s="653"/>
      <c r="G296" s="643">
        <f t="shared" si="47"/>
        <v>120.22666666666666</v>
      </c>
      <c r="H296" s="659">
        <f t="shared" si="48"/>
        <v>90.169999999999987</v>
      </c>
      <c r="I296" s="664">
        <f t="shared" si="52"/>
        <v>209.51495788556494</v>
      </c>
      <c r="J296" s="29">
        <v>17215</v>
      </c>
    </row>
    <row r="297" spans="1:10" ht="15.75" x14ac:dyDescent="0.25">
      <c r="A297" s="838"/>
      <c r="B297" s="794" t="s">
        <v>335</v>
      </c>
      <c r="C297" s="857">
        <f>SUM(C298,C303,C305,C311,C313,C320,C337,C342,C344,C347)</f>
        <v>27453182</v>
      </c>
      <c r="D297" s="857">
        <f>SUM(D298,D303,D305,D311,D313,D320,D337,D342,D344,D347)</f>
        <v>28081058</v>
      </c>
      <c r="E297" s="858">
        <v>9833431.6199999992</v>
      </c>
      <c r="F297" s="859">
        <f>SUM(E298,E303,E305,E311,E313,E320,E337,E342,E344,E347)</f>
        <v>9833431.6199999992</v>
      </c>
      <c r="G297" s="788">
        <f t="shared" si="47"/>
        <v>35.818913887650616</v>
      </c>
      <c r="H297" s="788">
        <f t="shared" si="48"/>
        <v>35.018023964766563</v>
      </c>
      <c r="I297" s="826">
        <f t="shared" si="52"/>
        <v>128.66905289981577</v>
      </c>
      <c r="J297" s="29">
        <v>7642421.7000000002</v>
      </c>
    </row>
    <row r="298" spans="1:10" x14ac:dyDescent="0.2">
      <c r="A298" s="827">
        <v>3341</v>
      </c>
      <c r="B298" s="828" t="s">
        <v>1259</v>
      </c>
      <c r="C298" s="734">
        <f>SUM(C299:C302)</f>
        <v>3177552</v>
      </c>
      <c r="D298" s="734">
        <f>SUM(D299:D302)</f>
        <v>3177552</v>
      </c>
      <c r="E298" s="679">
        <v>552700.94999999995</v>
      </c>
      <c r="F298" s="860">
        <f>SUM(E299:E302)</f>
        <v>552700.95000000007</v>
      </c>
      <c r="G298" s="642">
        <f t="shared" si="47"/>
        <v>17.393923057750115</v>
      </c>
      <c r="H298" s="644">
        <f t="shared" si="48"/>
        <v>17.393923057750115</v>
      </c>
      <c r="I298" s="651">
        <f t="shared" si="52"/>
        <v>2494.6241776375173</v>
      </c>
      <c r="J298" s="29">
        <v>22155.68</v>
      </c>
    </row>
    <row r="299" spans="1:10" x14ac:dyDescent="0.2">
      <c r="A299" s="832" t="s">
        <v>337</v>
      </c>
      <c r="B299" s="702" t="s">
        <v>338</v>
      </c>
      <c r="C299" s="687">
        <v>200000</v>
      </c>
      <c r="D299" s="687">
        <f>200000-1230</f>
        <v>198770</v>
      </c>
      <c r="E299" s="653">
        <v>19612.89</v>
      </c>
      <c r="F299" s="653"/>
      <c r="G299" s="643">
        <f t="shared" si="47"/>
        <v>9.8064450000000001</v>
      </c>
      <c r="H299" s="659">
        <f t="shared" si="48"/>
        <v>9.8671278361925836</v>
      </c>
      <c r="I299" s="664">
        <f t="shared" si="52"/>
        <v>107.28752978554408</v>
      </c>
      <c r="J299" s="29">
        <v>18280.68</v>
      </c>
    </row>
    <row r="300" spans="1:10" x14ac:dyDescent="0.2">
      <c r="A300" s="832" t="s">
        <v>339</v>
      </c>
      <c r="B300" s="702" t="s">
        <v>1260</v>
      </c>
      <c r="C300" s="687">
        <v>5000</v>
      </c>
      <c r="D300" s="687">
        <f>5000+1230</f>
        <v>6230</v>
      </c>
      <c r="E300" s="653">
        <v>6230</v>
      </c>
      <c r="F300" s="653"/>
      <c r="G300" s="643">
        <f t="shared" si="47"/>
        <v>124.6</v>
      </c>
      <c r="H300" s="659">
        <f t="shared" si="48"/>
        <v>100</v>
      </c>
      <c r="I300" s="664">
        <f t="shared" si="52"/>
        <v>160.7741935483871</v>
      </c>
      <c r="J300" s="29">
        <v>3875</v>
      </c>
    </row>
    <row r="301" spans="1:10" x14ac:dyDescent="0.2">
      <c r="A301" s="832" t="s">
        <v>1261</v>
      </c>
      <c r="B301" s="702" t="s">
        <v>1262</v>
      </c>
      <c r="C301" s="687">
        <v>2372552</v>
      </c>
      <c r="D301" s="687">
        <f>2372552+29142</f>
        <v>2401694</v>
      </c>
      <c r="E301" s="650">
        <v>526858.06000000006</v>
      </c>
      <c r="F301" s="650"/>
      <c r="G301" s="643">
        <f t="shared" ref="G301:G364" si="54">E301/C301*100</f>
        <v>22.206386203547911</v>
      </c>
      <c r="H301" s="659">
        <f t="shared" ref="H301:H364" si="55">E301/D301*100</f>
        <v>21.936935346467955</v>
      </c>
      <c r="I301" s="660">
        <v>0</v>
      </c>
      <c r="J301" s="29">
        <v>0</v>
      </c>
    </row>
    <row r="302" spans="1:10" x14ac:dyDescent="0.2">
      <c r="A302" s="832" t="s">
        <v>1263</v>
      </c>
      <c r="B302" s="702" t="s">
        <v>1264</v>
      </c>
      <c r="C302" s="687">
        <v>600000</v>
      </c>
      <c r="D302" s="687">
        <f>600000-29142</f>
        <v>570858</v>
      </c>
      <c r="E302" s="653">
        <v>0</v>
      </c>
      <c r="F302" s="653"/>
      <c r="G302" s="643">
        <f t="shared" si="54"/>
        <v>0</v>
      </c>
      <c r="H302" s="659">
        <f t="shared" si="55"/>
        <v>0</v>
      </c>
      <c r="I302" s="660">
        <v>0</v>
      </c>
      <c r="J302" s="29">
        <v>0</v>
      </c>
    </row>
    <row r="303" spans="1:10" x14ac:dyDescent="0.2">
      <c r="A303" s="732">
        <v>3412</v>
      </c>
      <c r="B303" s="690" t="s">
        <v>1265</v>
      </c>
      <c r="C303" s="694">
        <f>SUM(C304)</f>
        <v>0</v>
      </c>
      <c r="D303" s="694">
        <f>SUM(D304)</f>
        <v>33226.6</v>
      </c>
      <c r="E303" s="861">
        <v>0</v>
      </c>
      <c r="F303" s="833"/>
      <c r="G303" s="642">
        <v>0</v>
      </c>
      <c r="H303" s="644">
        <f t="shared" si="55"/>
        <v>0</v>
      </c>
      <c r="I303" s="645">
        <v>0</v>
      </c>
      <c r="J303" s="29">
        <v>0</v>
      </c>
    </row>
    <row r="304" spans="1:10" x14ac:dyDescent="0.2">
      <c r="A304" s="832" t="s">
        <v>1266</v>
      </c>
      <c r="B304" s="862" t="s">
        <v>1267</v>
      </c>
      <c r="C304" s="718">
        <v>0</v>
      </c>
      <c r="D304" s="718">
        <v>33226.6</v>
      </c>
      <c r="E304" s="833">
        <v>0</v>
      </c>
      <c r="F304" s="833"/>
      <c r="G304" s="643">
        <v>0</v>
      </c>
      <c r="H304" s="659">
        <f t="shared" si="55"/>
        <v>0</v>
      </c>
      <c r="I304" s="660">
        <v>0</v>
      </c>
      <c r="J304" s="29">
        <v>0</v>
      </c>
    </row>
    <row r="305" spans="1:10" x14ac:dyDescent="0.2">
      <c r="A305" s="732">
        <v>3421</v>
      </c>
      <c r="B305" s="690" t="s">
        <v>1268</v>
      </c>
      <c r="C305" s="694">
        <f>SUM(C306:C310)</f>
        <v>2690000</v>
      </c>
      <c r="D305" s="694">
        <f>SUM(D306:D310)</f>
        <v>2329686.2000000002</v>
      </c>
      <c r="E305" s="861">
        <v>564801.80000000005</v>
      </c>
      <c r="F305" s="833">
        <f>SUM(E306:E310)</f>
        <v>564801.80000000005</v>
      </c>
      <c r="G305" s="642">
        <f t="shared" si="54"/>
        <v>20.996349442379184</v>
      </c>
      <c r="H305" s="644">
        <f t="shared" si="55"/>
        <v>24.243685694665658</v>
      </c>
      <c r="I305" s="651">
        <f t="shared" si="52"/>
        <v>71.387652220285418</v>
      </c>
      <c r="J305" s="29">
        <v>791175.76</v>
      </c>
    </row>
    <row r="306" spans="1:10" x14ac:dyDescent="0.2">
      <c r="A306" s="832" t="s">
        <v>350</v>
      </c>
      <c r="B306" s="862" t="s">
        <v>1269</v>
      </c>
      <c r="C306" s="718">
        <v>750000</v>
      </c>
      <c r="D306" s="718">
        <v>750000</v>
      </c>
      <c r="E306" s="833">
        <v>126075.16</v>
      </c>
      <c r="F306" s="833"/>
      <c r="G306" s="643">
        <f t="shared" si="54"/>
        <v>16.810021333333331</v>
      </c>
      <c r="H306" s="659">
        <f t="shared" si="55"/>
        <v>16.810021333333331</v>
      </c>
      <c r="I306" s="664">
        <f t="shared" si="52"/>
        <v>58.205555584538395</v>
      </c>
      <c r="J306" s="29">
        <v>216603.31</v>
      </c>
    </row>
    <row r="307" spans="1:10" x14ac:dyDescent="0.2">
      <c r="A307" s="832" t="s">
        <v>342</v>
      </c>
      <c r="B307" s="863" t="s">
        <v>1270</v>
      </c>
      <c r="C307" s="687">
        <v>300000</v>
      </c>
      <c r="D307" s="687">
        <v>300000</v>
      </c>
      <c r="E307" s="650">
        <v>0</v>
      </c>
      <c r="F307" s="650"/>
      <c r="G307" s="643">
        <f t="shared" si="54"/>
        <v>0</v>
      </c>
      <c r="H307" s="659">
        <f t="shared" si="55"/>
        <v>0</v>
      </c>
      <c r="I307" s="664">
        <v>0</v>
      </c>
      <c r="J307" s="29">
        <v>0</v>
      </c>
    </row>
    <row r="308" spans="1:10" x14ac:dyDescent="0.2">
      <c r="A308" s="832" t="s">
        <v>344</v>
      </c>
      <c r="B308" s="863" t="s">
        <v>1271</v>
      </c>
      <c r="C308" s="687">
        <v>60000</v>
      </c>
      <c r="D308" s="687">
        <f>60000-39446</f>
        <v>20554</v>
      </c>
      <c r="E308" s="833">
        <v>0</v>
      </c>
      <c r="F308" s="833"/>
      <c r="G308" s="643">
        <f t="shared" si="54"/>
        <v>0</v>
      </c>
      <c r="H308" s="659">
        <f t="shared" si="55"/>
        <v>0</v>
      </c>
      <c r="I308" s="664">
        <f t="shared" si="52"/>
        <v>0</v>
      </c>
      <c r="J308" s="29">
        <v>27031.4</v>
      </c>
    </row>
    <row r="309" spans="1:10" x14ac:dyDescent="0.2">
      <c r="A309" s="832" t="s">
        <v>346</v>
      </c>
      <c r="B309" s="863" t="s">
        <v>1272</v>
      </c>
      <c r="C309" s="687">
        <v>80000</v>
      </c>
      <c r="D309" s="687">
        <v>80000</v>
      </c>
      <c r="E309" s="653">
        <v>0</v>
      </c>
      <c r="F309" s="653"/>
      <c r="G309" s="643">
        <f t="shared" si="54"/>
        <v>0</v>
      </c>
      <c r="H309" s="659">
        <f t="shared" si="55"/>
        <v>0</v>
      </c>
      <c r="I309" s="664">
        <f t="shared" si="52"/>
        <v>0</v>
      </c>
      <c r="J309" s="29">
        <v>447582.95</v>
      </c>
    </row>
    <row r="310" spans="1:10" x14ac:dyDescent="0.2">
      <c r="A310" s="832" t="s">
        <v>348</v>
      </c>
      <c r="B310" s="862" t="s">
        <v>1273</v>
      </c>
      <c r="C310" s="687">
        <v>1500000</v>
      </c>
      <c r="D310" s="687">
        <f>1500000-287641.2-33226.6</f>
        <v>1179132.2</v>
      </c>
      <c r="E310" s="653">
        <v>438726.64</v>
      </c>
      <c r="F310" s="653"/>
      <c r="G310" s="643">
        <f t="shared" si="54"/>
        <v>29.248442666666669</v>
      </c>
      <c r="H310" s="659">
        <f t="shared" si="55"/>
        <v>37.207587071237647</v>
      </c>
      <c r="I310" s="664">
        <v>0</v>
      </c>
      <c r="J310" s="29">
        <v>0</v>
      </c>
    </row>
    <row r="311" spans="1:10" x14ac:dyDescent="0.2">
      <c r="A311" s="732">
        <v>3429</v>
      </c>
      <c r="B311" s="690" t="s">
        <v>1274</v>
      </c>
      <c r="C311" s="694">
        <f>SUM(C312:C312)</f>
        <v>0</v>
      </c>
      <c r="D311" s="694">
        <f>SUM(D312:D312)</f>
        <v>327087.2</v>
      </c>
      <c r="E311" s="861">
        <v>327087.2</v>
      </c>
      <c r="F311" s="833"/>
      <c r="G311" s="642">
        <v>0</v>
      </c>
      <c r="H311" s="644">
        <f t="shared" si="55"/>
        <v>100</v>
      </c>
      <c r="I311" s="651">
        <v>0</v>
      </c>
      <c r="J311" s="29">
        <v>0</v>
      </c>
    </row>
    <row r="312" spans="1:10" x14ac:dyDescent="0.2">
      <c r="A312" s="832" t="s">
        <v>1275</v>
      </c>
      <c r="B312" s="862" t="s">
        <v>1276</v>
      </c>
      <c r="C312" s="718">
        <v>0</v>
      </c>
      <c r="D312" s="718">
        <f>287641.2+39446</f>
        <v>327087.2</v>
      </c>
      <c r="E312" s="833">
        <v>327087.2</v>
      </c>
      <c r="F312" s="833"/>
      <c r="G312" s="643">
        <v>0</v>
      </c>
      <c r="H312" s="659">
        <f t="shared" si="55"/>
        <v>100</v>
      </c>
      <c r="I312" s="664">
        <v>0</v>
      </c>
      <c r="J312" s="29">
        <v>0</v>
      </c>
    </row>
    <row r="313" spans="1:10" x14ac:dyDescent="0.2">
      <c r="A313" s="698">
        <v>3613</v>
      </c>
      <c r="B313" s="690" t="s">
        <v>1277</v>
      </c>
      <c r="C313" s="694">
        <f>SUM(C314:C319)</f>
        <v>1960000</v>
      </c>
      <c r="D313" s="694">
        <f>SUM(D314:D319)</f>
        <v>2104474</v>
      </c>
      <c r="E313" s="649">
        <v>841726.87</v>
      </c>
      <c r="F313" s="650">
        <f>SUM(E314:E319)</f>
        <v>841726.87</v>
      </c>
      <c r="G313" s="642">
        <f t="shared" si="54"/>
        <v>42.945248469387757</v>
      </c>
      <c r="H313" s="644">
        <f t="shared" si="55"/>
        <v>39.997019207649984</v>
      </c>
      <c r="I313" s="651">
        <f t="shared" si="52"/>
        <v>199.74256409248795</v>
      </c>
      <c r="J313" s="29">
        <v>421405.86</v>
      </c>
    </row>
    <row r="314" spans="1:10" x14ac:dyDescent="0.2">
      <c r="A314" s="850" t="s">
        <v>353</v>
      </c>
      <c r="B314" s="844" t="s">
        <v>1278</v>
      </c>
      <c r="C314" s="687">
        <v>5000</v>
      </c>
      <c r="D314" s="687">
        <v>5000</v>
      </c>
      <c r="E314" s="653">
        <v>0</v>
      </c>
      <c r="F314" s="653"/>
      <c r="G314" s="643">
        <f t="shared" si="54"/>
        <v>0</v>
      </c>
      <c r="H314" s="659">
        <f t="shared" si="55"/>
        <v>0</v>
      </c>
      <c r="I314" s="664">
        <v>0</v>
      </c>
      <c r="J314" s="29">
        <v>0</v>
      </c>
    </row>
    <row r="315" spans="1:10" x14ac:dyDescent="0.2">
      <c r="A315" s="850" t="s">
        <v>355</v>
      </c>
      <c r="B315" s="844" t="s">
        <v>1279</v>
      </c>
      <c r="C315" s="687">
        <v>15000</v>
      </c>
      <c r="D315" s="687">
        <v>15000</v>
      </c>
      <c r="E315" s="653">
        <v>0</v>
      </c>
      <c r="F315" s="653"/>
      <c r="G315" s="643">
        <f t="shared" si="54"/>
        <v>0</v>
      </c>
      <c r="H315" s="659">
        <f t="shared" si="55"/>
        <v>0</v>
      </c>
      <c r="I315" s="664">
        <f t="shared" si="52"/>
        <v>0</v>
      </c>
      <c r="J315" s="29">
        <v>3896.2</v>
      </c>
    </row>
    <row r="316" spans="1:10" x14ac:dyDescent="0.2">
      <c r="A316" s="850" t="s">
        <v>357</v>
      </c>
      <c r="B316" s="686" t="s">
        <v>1280</v>
      </c>
      <c r="C316" s="687">
        <v>200000</v>
      </c>
      <c r="D316" s="687">
        <v>200000</v>
      </c>
      <c r="E316" s="653">
        <v>23700</v>
      </c>
      <c r="F316" s="653"/>
      <c r="G316" s="643">
        <f t="shared" si="54"/>
        <v>11.85</v>
      </c>
      <c r="H316" s="659">
        <f t="shared" si="55"/>
        <v>11.85</v>
      </c>
      <c r="I316" s="664">
        <f t="shared" si="52"/>
        <v>151.05162523900572</v>
      </c>
      <c r="J316" s="29">
        <v>15690</v>
      </c>
    </row>
    <row r="317" spans="1:10" x14ac:dyDescent="0.2">
      <c r="A317" s="850" t="s">
        <v>359</v>
      </c>
      <c r="B317" s="686" t="s">
        <v>1281</v>
      </c>
      <c r="C317" s="687">
        <v>640000</v>
      </c>
      <c r="D317" s="687">
        <v>640000</v>
      </c>
      <c r="E317" s="653">
        <v>370568.87</v>
      </c>
      <c r="F317" s="653"/>
      <c r="G317" s="643">
        <f t="shared" si="54"/>
        <v>57.901385937499995</v>
      </c>
      <c r="H317" s="659">
        <f t="shared" si="55"/>
        <v>57.901385937499995</v>
      </c>
      <c r="I317" s="664">
        <f t="shared" si="52"/>
        <v>92.222682683072307</v>
      </c>
      <c r="J317" s="29">
        <v>401819.66</v>
      </c>
    </row>
    <row r="318" spans="1:10" x14ac:dyDescent="0.2">
      <c r="A318" s="850" t="s">
        <v>361</v>
      </c>
      <c r="B318" s="686" t="s">
        <v>1282</v>
      </c>
      <c r="C318" s="687">
        <v>100000</v>
      </c>
      <c r="D318" s="687">
        <v>100000</v>
      </c>
      <c r="E318" s="653">
        <v>0</v>
      </c>
      <c r="F318" s="653"/>
      <c r="G318" s="643">
        <f t="shared" si="54"/>
        <v>0</v>
      </c>
      <c r="H318" s="659">
        <f t="shared" si="55"/>
        <v>0</v>
      </c>
      <c r="I318" s="664">
        <v>0</v>
      </c>
      <c r="J318" s="29">
        <v>0</v>
      </c>
    </row>
    <row r="319" spans="1:10" x14ac:dyDescent="0.2">
      <c r="A319" s="850" t="s">
        <v>364</v>
      </c>
      <c r="B319" s="864" t="s">
        <v>1283</v>
      </c>
      <c r="C319" s="687">
        <v>1000000</v>
      </c>
      <c r="D319" s="687">
        <f>1000000+144474</f>
        <v>1144474</v>
      </c>
      <c r="E319" s="653">
        <v>447458</v>
      </c>
      <c r="F319" s="653"/>
      <c r="G319" s="643">
        <f t="shared" si="54"/>
        <v>44.745800000000003</v>
      </c>
      <c r="H319" s="659">
        <f t="shared" si="55"/>
        <v>39.097262148375584</v>
      </c>
      <c r="I319" s="664">
        <v>0</v>
      </c>
      <c r="J319" s="29">
        <v>0</v>
      </c>
    </row>
    <row r="320" spans="1:10" x14ac:dyDescent="0.2">
      <c r="A320" s="698">
        <v>3631</v>
      </c>
      <c r="B320" s="690" t="s">
        <v>1284</v>
      </c>
      <c r="C320" s="694">
        <f>SUM(C321:C326)</f>
        <v>15504000</v>
      </c>
      <c r="D320" s="694">
        <f>SUM(D321:D326)</f>
        <v>15634082</v>
      </c>
      <c r="E320" s="649">
        <v>5828681.7999999998</v>
      </c>
      <c r="F320" s="650">
        <f>SUM(E321:E326)</f>
        <v>5828681.7999999998</v>
      </c>
      <c r="G320" s="642">
        <f t="shared" si="54"/>
        <v>37.59469685242518</v>
      </c>
      <c r="H320" s="644">
        <f t="shared" si="55"/>
        <v>37.281893493970415</v>
      </c>
      <c r="I320" s="651">
        <f t="shared" si="52"/>
        <v>126.80280013445442</v>
      </c>
      <c r="J320" s="29">
        <v>4596650.7</v>
      </c>
    </row>
    <row r="321" spans="1:10" ht="12.75" customHeight="1" x14ac:dyDescent="0.2">
      <c r="A321" s="850" t="s">
        <v>367</v>
      </c>
      <c r="B321" s="686" t="s">
        <v>1285</v>
      </c>
      <c r="C321" s="687">
        <v>50000</v>
      </c>
      <c r="D321" s="687">
        <v>50000</v>
      </c>
      <c r="E321" s="653">
        <v>48097.5</v>
      </c>
      <c r="F321" s="653"/>
      <c r="G321" s="643">
        <f t="shared" si="54"/>
        <v>96.194999999999993</v>
      </c>
      <c r="H321" s="659">
        <f t="shared" si="55"/>
        <v>96.194999999999993</v>
      </c>
      <c r="I321" s="664">
        <v>0</v>
      </c>
      <c r="J321" s="29">
        <v>0</v>
      </c>
    </row>
    <row r="322" spans="1:10" x14ac:dyDescent="0.2">
      <c r="A322" s="850" t="s">
        <v>369</v>
      </c>
      <c r="B322" s="686" t="s">
        <v>1286</v>
      </c>
      <c r="C322" s="687">
        <v>250000</v>
      </c>
      <c r="D322" s="687">
        <v>250000</v>
      </c>
      <c r="E322" s="653">
        <v>0</v>
      </c>
      <c r="F322" s="653"/>
      <c r="G322" s="643">
        <f t="shared" si="54"/>
        <v>0</v>
      </c>
      <c r="H322" s="659">
        <f t="shared" si="55"/>
        <v>0</v>
      </c>
      <c r="I322" s="664">
        <v>0</v>
      </c>
      <c r="J322" s="29">
        <v>0</v>
      </c>
    </row>
    <row r="323" spans="1:10" ht="12.75" customHeight="1" x14ac:dyDescent="0.2">
      <c r="A323" s="850" t="s">
        <v>369</v>
      </c>
      <c r="B323" s="686" t="s">
        <v>1287</v>
      </c>
      <c r="C323" s="687">
        <v>600000</v>
      </c>
      <c r="D323" s="687">
        <f>600000-102752.67-51376.34+42386</f>
        <v>488256.99</v>
      </c>
      <c r="E323" s="653">
        <v>62356.14</v>
      </c>
      <c r="F323" s="653"/>
      <c r="G323" s="643">
        <f t="shared" si="54"/>
        <v>10.39269</v>
      </c>
      <c r="H323" s="659">
        <f t="shared" si="55"/>
        <v>12.771172001039863</v>
      </c>
      <c r="I323" s="664">
        <v>0</v>
      </c>
      <c r="J323" s="29">
        <v>0</v>
      </c>
    </row>
    <row r="324" spans="1:10" ht="12.75" customHeight="1" x14ac:dyDescent="0.2">
      <c r="A324" s="832" t="s">
        <v>373</v>
      </c>
      <c r="B324" s="686" t="s">
        <v>374</v>
      </c>
      <c r="C324" s="687">
        <v>7200000</v>
      </c>
      <c r="D324" s="687">
        <v>7200000</v>
      </c>
      <c r="E324" s="650">
        <v>3038963.15</v>
      </c>
      <c r="F324" s="650"/>
      <c r="G324" s="643">
        <f t="shared" si="54"/>
        <v>42.207821527777782</v>
      </c>
      <c r="H324" s="659">
        <f t="shared" si="55"/>
        <v>42.207821527777782</v>
      </c>
      <c r="I324" s="664">
        <f t="shared" si="52"/>
        <v>138.95701731615645</v>
      </c>
      <c r="J324" s="29">
        <v>2186980.7000000002</v>
      </c>
    </row>
    <row r="325" spans="1:10" x14ac:dyDescent="0.2">
      <c r="A325" s="832" t="s">
        <v>371</v>
      </c>
      <c r="B325" s="686" t="s">
        <v>1288</v>
      </c>
      <c r="C325" s="687">
        <v>4900000</v>
      </c>
      <c r="D325" s="687">
        <f>4900000+75138</f>
        <v>4975138</v>
      </c>
      <c r="E325" s="653">
        <v>2525136</v>
      </c>
      <c r="F325" s="653"/>
      <c r="G325" s="643">
        <f t="shared" si="54"/>
        <v>51.533387755102048</v>
      </c>
      <c r="H325" s="659">
        <f t="shared" si="55"/>
        <v>50.7550946325509</v>
      </c>
      <c r="I325" s="664">
        <f t="shared" si="52"/>
        <v>105.21400000000001</v>
      </c>
      <c r="J325" s="29">
        <v>2400000</v>
      </c>
    </row>
    <row r="326" spans="1:10" ht="12.75" customHeight="1" x14ac:dyDescent="0.2">
      <c r="A326" s="832"/>
      <c r="B326" s="843" t="s">
        <v>281</v>
      </c>
      <c r="C326" s="715">
        <f>SUM(C327:C336)</f>
        <v>2504000</v>
      </c>
      <c r="D326" s="715">
        <f>SUM(D327:D336)</f>
        <v>2670687.0099999998</v>
      </c>
      <c r="E326" s="653">
        <v>154129.01</v>
      </c>
      <c r="F326" s="653">
        <f>SUM(E327:E336)</f>
        <v>154129.01</v>
      </c>
      <c r="G326" s="643">
        <f t="shared" si="54"/>
        <v>6.1553119009584671</v>
      </c>
      <c r="H326" s="659">
        <f t="shared" si="55"/>
        <v>5.7711371427234388</v>
      </c>
      <c r="I326" s="664">
        <f t="shared" si="52"/>
        <v>1593.8884177869702</v>
      </c>
      <c r="J326" s="29">
        <v>9670</v>
      </c>
    </row>
    <row r="327" spans="1:10" ht="12.75" customHeight="1" x14ac:dyDescent="0.2">
      <c r="A327" s="865" t="s">
        <v>1289</v>
      </c>
      <c r="B327" s="686" t="s">
        <v>1290</v>
      </c>
      <c r="C327" s="687">
        <v>84000</v>
      </c>
      <c r="D327" s="687">
        <f>84000-84000</f>
        <v>0</v>
      </c>
      <c r="E327" s="653">
        <v>0</v>
      </c>
      <c r="F327" s="653"/>
      <c r="G327" s="643">
        <f t="shared" si="54"/>
        <v>0</v>
      </c>
      <c r="H327" s="659">
        <v>0</v>
      </c>
      <c r="I327" s="664">
        <v>0</v>
      </c>
      <c r="J327" s="29">
        <v>0</v>
      </c>
    </row>
    <row r="328" spans="1:10" ht="12.75" customHeight="1" x14ac:dyDescent="0.2">
      <c r="A328" s="865" t="s">
        <v>1291</v>
      </c>
      <c r="B328" s="686" t="s">
        <v>1292</v>
      </c>
      <c r="C328" s="687">
        <v>0</v>
      </c>
      <c r="D328" s="687">
        <f>51376.34+102752.67</f>
        <v>154129.01</v>
      </c>
      <c r="E328" s="653">
        <v>154129.01</v>
      </c>
      <c r="F328" s="653"/>
      <c r="G328" s="643">
        <v>0</v>
      </c>
      <c r="H328" s="659">
        <f t="shared" si="55"/>
        <v>100</v>
      </c>
      <c r="I328" s="664">
        <v>0</v>
      </c>
      <c r="J328" s="29">
        <v>0</v>
      </c>
    </row>
    <row r="329" spans="1:10" ht="12.75" customHeight="1" x14ac:dyDescent="0.2">
      <c r="A329" s="832" t="s">
        <v>579</v>
      </c>
      <c r="B329" s="863" t="s">
        <v>1293</v>
      </c>
      <c r="C329" s="687">
        <v>650000</v>
      </c>
      <c r="D329" s="687">
        <v>650000</v>
      </c>
      <c r="E329" s="653">
        <v>0</v>
      </c>
      <c r="F329" s="653"/>
      <c r="G329" s="643">
        <f t="shared" si="54"/>
        <v>0</v>
      </c>
      <c r="H329" s="659">
        <f t="shared" si="55"/>
        <v>0</v>
      </c>
      <c r="I329" s="664">
        <f t="shared" ref="I329:I391" si="56">E329/J329*100</f>
        <v>0</v>
      </c>
      <c r="J329" s="29">
        <v>8470</v>
      </c>
    </row>
    <row r="330" spans="1:10" ht="12.75" customHeight="1" x14ac:dyDescent="0.2">
      <c r="A330" s="832" t="s">
        <v>1294</v>
      </c>
      <c r="B330" s="863" t="s">
        <v>1295</v>
      </c>
      <c r="C330" s="687">
        <v>0</v>
      </c>
      <c r="D330" s="687">
        <v>70301</v>
      </c>
      <c r="E330" s="653">
        <v>0</v>
      </c>
      <c r="F330" s="653"/>
      <c r="G330" s="643">
        <v>0</v>
      </c>
      <c r="H330" s="659">
        <f t="shared" si="55"/>
        <v>0</v>
      </c>
      <c r="I330" s="664">
        <v>0</v>
      </c>
      <c r="J330" s="29">
        <v>0</v>
      </c>
    </row>
    <row r="331" spans="1:10" x14ac:dyDescent="0.2">
      <c r="A331" s="832" t="s">
        <v>571</v>
      </c>
      <c r="B331" s="863" t="s">
        <v>1296</v>
      </c>
      <c r="C331" s="687">
        <v>0</v>
      </c>
      <c r="D331" s="687">
        <v>26257</v>
      </c>
      <c r="E331" s="653">
        <v>0</v>
      </c>
      <c r="F331" s="653"/>
      <c r="G331" s="643">
        <v>0</v>
      </c>
      <c r="H331" s="659">
        <f t="shared" si="55"/>
        <v>0</v>
      </c>
      <c r="I331" s="664">
        <v>0</v>
      </c>
      <c r="J331" s="29">
        <v>0</v>
      </c>
    </row>
    <row r="332" spans="1:10" s="2" customFormat="1" x14ac:dyDescent="0.2">
      <c r="A332" s="832" t="s">
        <v>1297</v>
      </c>
      <c r="B332" s="863" t="s">
        <v>1298</v>
      </c>
      <c r="C332" s="687">
        <v>80000</v>
      </c>
      <c r="D332" s="687">
        <v>80000</v>
      </c>
      <c r="E332" s="653">
        <v>0</v>
      </c>
      <c r="F332" s="653"/>
      <c r="G332" s="643">
        <f t="shared" si="54"/>
        <v>0</v>
      </c>
      <c r="H332" s="659">
        <f t="shared" si="55"/>
        <v>0</v>
      </c>
      <c r="I332" s="664">
        <v>0</v>
      </c>
      <c r="J332" s="88">
        <v>0</v>
      </c>
    </row>
    <row r="333" spans="1:10" s="98" customFormat="1" x14ac:dyDescent="0.2">
      <c r="A333" s="832" t="s">
        <v>1299</v>
      </c>
      <c r="B333" s="863" t="s">
        <v>1300</v>
      </c>
      <c r="C333" s="687">
        <v>550000</v>
      </c>
      <c r="D333" s="687">
        <v>550000</v>
      </c>
      <c r="E333" s="653">
        <v>0</v>
      </c>
      <c r="F333" s="653"/>
      <c r="G333" s="643">
        <f t="shared" si="54"/>
        <v>0</v>
      </c>
      <c r="H333" s="659">
        <f t="shared" si="55"/>
        <v>0</v>
      </c>
      <c r="I333" s="664">
        <f t="shared" si="56"/>
        <v>0</v>
      </c>
      <c r="J333" s="29">
        <v>1200</v>
      </c>
    </row>
    <row r="334" spans="1:10" s="98" customFormat="1" x14ac:dyDescent="0.2">
      <c r="A334" s="832" t="s">
        <v>1301</v>
      </c>
      <c r="B334" s="863" t="s">
        <v>1302</v>
      </c>
      <c r="C334" s="687">
        <v>80000</v>
      </c>
      <c r="D334" s="687">
        <v>80000</v>
      </c>
      <c r="E334" s="653">
        <v>0</v>
      </c>
      <c r="F334" s="653"/>
      <c r="G334" s="643">
        <f t="shared" si="54"/>
        <v>0</v>
      </c>
      <c r="H334" s="659">
        <f t="shared" si="55"/>
        <v>0</v>
      </c>
      <c r="I334" s="664">
        <v>0</v>
      </c>
      <c r="J334" s="29">
        <v>0</v>
      </c>
    </row>
    <row r="335" spans="1:10" s="98" customFormat="1" x14ac:dyDescent="0.2">
      <c r="A335" s="832" t="s">
        <v>1303</v>
      </c>
      <c r="B335" s="863" t="s">
        <v>1304</v>
      </c>
      <c r="C335" s="687">
        <v>60000</v>
      </c>
      <c r="D335" s="687">
        <v>60000</v>
      </c>
      <c r="E335" s="653">
        <v>0</v>
      </c>
      <c r="F335" s="653"/>
      <c r="G335" s="643">
        <f t="shared" si="54"/>
        <v>0</v>
      </c>
      <c r="H335" s="659">
        <f t="shared" si="55"/>
        <v>0</v>
      </c>
      <c r="I335" s="664">
        <v>0</v>
      </c>
      <c r="J335" s="29">
        <v>0</v>
      </c>
    </row>
    <row r="336" spans="1:10" s="98" customFormat="1" x14ac:dyDescent="0.2">
      <c r="A336" s="866" t="s">
        <v>585</v>
      </c>
      <c r="B336" s="867" t="s">
        <v>1305</v>
      </c>
      <c r="C336" s="653">
        <v>1000000</v>
      </c>
      <c r="D336" s="653">
        <v>1000000</v>
      </c>
      <c r="E336" s="650">
        <v>0</v>
      </c>
      <c r="F336" s="650"/>
      <c r="G336" s="643">
        <f t="shared" si="54"/>
        <v>0</v>
      </c>
      <c r="H336" s="659">
        <f t="shared" si="55"/>
        <v>0</v>
      </c>
      <c r="I336" s="664">
        <v>0</v>
      </c>
      <c r="J336" s="29">
        <v>0</v>
      </c>
    </row>
    <row r="337" spans="1:10" s="98" customFormat="1" x14ac:dyDescent="0.2">
      <c r="A337" s="683">
        <v>3632</v>
      </c>
      <c r="B337" s="640" t="s">
        <v>1306</v>
      </c>
      <c r="C337" s="649">
        <f>SUM(C339:C341)</f>
        <v>3466630</v>
      </c>
      <c r="D337" s="649">
        <f>SUM(D339:D341)</f>
        <v>3466630</v>
      </c>
      <c r="E337" s="649">
        <v>1691329</v>
      </c>
      <c r="F337" s="650">
        <f>SUM(E338,E340)</f>
        <v>1691329</v>
      </c>
      <c r="G337" s="642">
        <f t="shared" si="54"/>
        <v>48.788852574402227</v>
      </c>
      <c r="H337" s="644">
        <f t="shared" si="55"/>
        <v>48.788852574402227</v>
      </c>
      <c r="I337" s="651">
        <f t="shared" si="56"/>
        <v>97.751008240465779</v>
      </c>
      <c r="J337" s="29">
        <v>1730242</v>
      </c>
    </row>
    <row r="338" spans="1:10" s="98" customFormat="1" x14ac:dyDescent="0.2">
      <c r="A338" s="868"/>
      <c r="B338" s="869" t="s">
        <v>1307</v>
      </c>
      <c r="C338" s="650">
        <f>SUM(C339:C339)</f>
        <v>366630</v>
      </c>
      <c r="D338" s="650">
        <f>SUM(D339:D339)</f>
        <v>366630</v>
      </c>
      <c r="E338" s="653">
        <v>191329</v>
      </c>
      <c r="F338" s="653"/>
      <c r="G338" s="643">
        <f t="shared" si="54"/>
        <v>52.185854949131269</v>
      </c>
      <c r="H338" s="659">
        <f t="shared" si="55"/>
        <v>52.185854949131269</v>
      </c>
      <c r="I338" s="664">
        <f t="shared" si="56"/>
        <v>632.7017195767196</v>
      </c>
      <c r="J338" s="29">
        <v>30240</v>
      </c>
    </row>
    <row r="339" spans="1:10" s="98" customFormat="1" x14ac:dyDescent="0.2">
      <c r="A339" s="866" t="s">
        <v>377</v>
      </c>
      <c r="B339" s="658" t="s">
        <v>1308</v>
      </c>
      <c r="C339" s="653">
        <f>342430+24200</f>
        <v>366630</v>
      </c>
      <c r="D339" s="653">
        <f>342430+24200</f>
        <v>366630</v>
      </c>
      <c r="E339" s="653">
        <v>191329</v>
      </c>
      <c r="F339" s="653"/>
      <c r="G339" s="643">
        <f t="shared" si="54"/>
        <v>52.185854949131269</v>
      </c>
      <c r="H339" s="659">
        <f t="shared" si="55"/>
        <v>52.185854949131269</v>
      </c>
      <c r="I339" s="664">
        <f t="shared" si="56"/>
        <v>632.7017195767196</v>
      </c>
      <c r="J339" s="29">
        <v>30240</v>
      </c>
    </row>
    <row r="340" spans="1:10" s="98" customFormat="1" x14ac:dyDescent="0.2">
      <c r="A340" s="866" t="s">
        <v>383</v>
      </c>
      <c r="B340" s="658" t="s">
        <v>1309</v>
      </c>
      <c r="C340" s="653">
        <v>3000000</v>
      </c>
      <c r="D340" s="653">
        <v>3000000</v>
      </c>
      <c r="E340" s="653">
        <v>1500000</v>
      </c>
      <c r="F340" s="653"/>
      <c r="G340" s="643">
        <f t="shared" si="54"/>
        <v>50</v>
      </c>
      <c r="H340" s="659">
        <f t="shared" si="55"/>
        <v>50</v>
      </c>
      <c r="I340" s="664">
        <f t="shared" si="56"/>
        <v>88.235294117647058</v>
      </c>
      <c r="J340" s="29">
        <v>1700000</v>
      </c>
    </row>
    <row r="341" spans="1:10" s="98" customFormat="1" x14ac:dyDescent="0.2">
      <c r="A341" s="866" t="s">
        <v>387</v>
      </c>
      <c r="B341" s="658" t="s">
        <v>388</v>
      </c>
      <c r="C341" s="653">
        <v>100000</v>
      </c>
      <c r="D341" s="653">
        <v>100000</v>
      </c>
      <c r="E341" s="650">
        <v>0</v>
      </c>
      <c r="F341" s="650"/>
      <c r="G341" s="643">
        <f t="shared" si="54"/>
        <v>0</v>
      </c>
      <c r="H341" s="659">
        <f t="shared" si="55"/>
        <v>0</v>
      </c>
      <c r="I341" s="664">
        <v>0</v>
      </c>
      <c r="J341" s="29">
        <v>0</v>
      </c>
    </row>
    <row r="342" spans="1:10" s="98" customFormat="1" x14ac:dyDescent="0.2">
      <c r="A342" s="683">
        <v>3639</v>
      </c>
      <c r="B342" s="640" t="s">
        <v>1310</v>
      </c>
      <c r="C342" s="649">
        <f>SUM(C343:C343)</f>
        <v>5000</v>
      </c>
      <c r="D342" s="649">
        <f>SUM(D343:D343)</f>
        <v>5000</v>
      </c>
      <c r="E342" s="652">
        <v>0</v>
      </c>
      <c r="F342" s="653"/>
      <c r="G342" s="642">
        <f t="shared" si="54"/>
        <v>0</v>
      </c>
      <c r="H342" s="644">
        <f t="shared" si="55"/>
        <v>0</v>
      </c>
      <c r="I342" s="651">
        <v>0</v>
      </c>
      <c r="J342" s="29">
        <v>0</v>
      </c>
    </row>
    <row r="343" spans="1:10" s="98" customFormat="1" x14ac:dyDescent="0.2">
      <c r="A343" s="870" t="s">
        <v>392</v>
      </c>
      <c r="B343" s="658" t="s">
        <v>1311</v>
      </c>
      <c r="C343" s="653">
        <v>5000</v>
      </c>
      <c r="D343" s="653">
        <v>5000</v>
      </c>
      <c r="E343" s="650">
        <v>0</v>
      </c>
      <c r="F343" s="650"/>
      <c r="G343" s="643">
        <f t="shared" si="54"/>
        <v>0</v>
      </c>
      <c r="H343" s="659">
        <f t="shared" si="55"/>
        <v>0</v>
      </c>
      <c r="I343" s="664">
        <v>0</v>
      </c>
      <c r="J343" s="29">
        <v>0</v>
      </c>
    </row>
    <row r="344" spans="1:10" s="98" customFormat="1" x14ac:dyDescent="0.2">
      <c r="A344" s="683">
        <v>3699</v>
      </c>
      <c r="B344" s="640" t="s">
        <v>1312</v>
      </c>
      <c r="C344" s="649">
        <f t="shared" ref="C344:D344" si="57">SUM(C345:C346)</f>
        <v>650000</v>
      </c>
      <c r="D344" s="649">
        <f t="shared" si="57"/>
        <v>650000</v>
      </c>
      <c r="E344" s="871">
        <v>27104</v>
      </c>
      <c r="F344" s="872"/>
      <c r="G344" s="642">
        <f t="shared" si="54"/>
        <v>4.1698461538461542</v>
      </c>
      <c r="H344" s="644">
        <f t="shared" si="55"/>
        <v>4.1698461538461542</v>
      </c>
      <c r="I344" s="651">
        <f t="shared" si="56"/>
        <v>33.548000599071443</v>
      </c>
      <c r="J344" s="29">
        <v>80791.7</v>
      </c>
    </row>
    <row r="345" spans="1:10" s="98" customFormat="1" x14ac:dyDescent="0.2">
      <c r="A345" s="873" t="s">
        <v>1313</v>
      </c>
      <c r="B345" s="874" t="s">
        <v>1314</v>
      </c>
      <c r="C345" s="837">
        <v>100000</v>
      </c>
      <c r="D345" s="837">
        <v>100000</v>
      </c>
      <c r="E345" s="650">
        <v>0</v>
      </c>
      <c r="F345" s="650"/>
      <c r="G345" s="643">
        <f t="shared" si="54"/>
        <v>0</v>
      </c>
      <c r="H345" s="659">
        <f t="shared" si="55"/>
        <v>0</v>
      </c>
      <c r="I345" s="664">
        <f t="shared" si="56"/>
        <v>0</v>
      </c>
      <c r="J345" s="29">
        <v>43923</v>
      </c>
    </row>
    <row r="346" spans="1:10" ht="12.75" customHeight="1" x14ac:dyDescent="0.2">
      <c r="A346" s="873" t="s">
        <v>395</v>
      </c>
      <c r="B346" s="875" t="s">
        <v>1315</v>
      </c>
      <c r="C346" s="833">
        <v>550000</v>
      </c>
      <c r="D346" s="833">
        <v>550000</v>
      </c>
      <c r="E346" s="872">
        <v>27104</v>
      </c>
      <c r="F346" s="872"/>
      <c r="G346" s="643">
        <f t="shared" si="54"/>
        <v>4.9279999999999999</v>
      </c>
      <c r="H346" s="659">
        <f t="shared" si="55"/>
        <v>4.9279999999999999</v>
      </c>
      <c r="I346" s="664">
        <f t="shared" si="56"/>
        <v>73.514932720708899</v>
      </c>
      <c r="J346" s="29">
        <v>36868.699999999997</v>
      </c>
    </row>
    <row r="347" spans="1:10" s="98" customFormat="1" x14ac:dyDescent="0.2">
      <c r="A347" s="683">
        <v>3900</v>
      </c>
      <c r="B347" s="640" t="s">
        <v>1316</v>
      </c>
      <c r="C347" s="649">
        <v>0</v>
      </c>
      <c r="D347" s="649">
        <f>D348</f>
        <v>353320</v>
      </c>
      <c r="E347" s="871">
        <v>0</v>
      </c>
      <c r="F347" s="872"/>
      <c r="G347" s="642">
        <v>0</v>
      </c>
      <c r="H347" s="644">
        <f t="shared" si="55"/>
        <v>0</v>
      </c>
      <c r="I347" s="651">
        <v>0</v>
      </c>
      <c r="J347" s="29">
        <v>0</v>
      </c>
    </row>
    <row r="348" spans="1:10" s="98" customFormat="1" x14ac:dyDescent="0.2">
      <c r="A348" s="873" t="s">
        <v>1317</v>
      </c>
      <c r="B348" s="875" t="s">
        <v>1318</v>
      </c>
      <c r="C348" s="833">
        <v>0</v>
      </c>
      <c r="D348" s="833">
        <v>353320</v>
      </c>
      <c r="E348" s="833">
        <v>0</v>
      </c>
      <c r="F348" s="650">
        <f>SUM(E349:E352)</f>
        <v>24866502.440000001</v>
      </c>
      <c r="G348" s="643">
        <v>0</v>
      </c>
      <c r="H348" s="659">
        <f t="shared" si="55"/>
        <v>0</v>
      </c>
      <c r="I348" s="664">
        <v>0</v>
      </c>
      <c r="J348" s="29">
        <v>0</v>
      </c>
    </row>
    <row r="349" spans="1:10" ht="12.75" customHeight="1" x14ac:dyDescent="0.2">
      <c r="A349" s="876"/>
      <c r="B349" s="877"/>
      <c r="C349" s="671"/>
      <c r="D349" s="671"/>
      <c r="E349" s="671"/>
      <c r="F349" s="878"/>
      <c r="G349" s="879"/>
      <c r="H349" s="880"/>
      <c r="I349" s="881"/>
      <c r="J349" s="29"/>
    </row>
    <row r="350" spans="1:10" ht="20.25" x14ac:dyDescent="0.3">
      <c r="A350" s="882"/>
      <c r="B350" s="883" t="s">
        <v>1021</v>
      </c>
      <c r="C350" s="884">
        <f>C351+C365+C418+C442+C453+C465+C470+C482+C520+C539</f>
        <v>268131950</v>
      </c>
      <c r="D350" s="884">
        <f>D351+D365+D418+D442+D453+D465+D470+D482+D520+D539</f>
        <v>267381950</v>
      </c>
      <c r="E350" s="885">
        <v>24866502.440000001</v>
      </c>
      <c r="F350" s="886">
        <f>SUM(E351,E365,E418,E442,E453,E465,E470,E482,E510,E539)</f>
        <v>15057368.440000001</v>
      </c>
      <c r="G350" s="887">
        <f t="shared" si="54"/>
        <v>9.2739796357726121</v>
      </c>
      <c r="H350" s="887">
        <f t="shared" si="55"/>
        <v>9.2999929277200657</v>
      </c>
      <c r="I350" s="888">
        <f t="shared" si="56"/>
        <v>210.90785694347883</v>
      </c>
      <c r="J350" s="29">
        <v>11790221</v>
      </c>
    </row>
    <row r="351" spans="1:10" s="98" customFormat="1" ht="15.75" x14ac:dyDescent="0.25">
      <c r="A351" s="889"/>
      <c r="B351" s="890" t="s">
        <v>398</v>
      </c>
      <c r="C351" s="891">
        <f t="shared" ref="C351:D351" si="58">SUM(C352+C357)</f>
        <v>7770000</v>
      </c>
      <c r="D351" s="891">
        <f t="shared" si="58"/>
        <v>9470000</v>
      </c>
      <c r="E351" s="891">
        <v>0</v>
      </c>
      <c r="F351" s="892">
        <f>SUM(E352,E357)</f>
        <v>0</v>
      </c>
      <c r="G351" s="788">
        <f t="shared" si="54"/>
        <v>0</v>
      </c>
      <c r="H351" s="788">
        <f t="shared" si="55"/>
        <v>0</v>
      </c>
      <c r="I351" s="826">
        <f t="shared" si="56"/>
        <v>0</v>
      </c>
      <c r="J351" s="29">
        <v>24203</v>
      </c>
    </row>
    <row r="352" spans="1:10" s="98" customFormat="1" ht="13.5" customHeight="1" x14ac:dyDescent="0.2">
      <c r="A352" s="893">
        <v>2310</v>
      </c>
      <c r="B352" s="894" t="s">
        <v>1210</v>
      </c>
      <c r="C352" s="895">
        <f>SUM(C353:C356)</f>
        <v>505000</v>
      </c>
      <c r="D352" s="895">
        <f>SUM(D353:D356)</f>
        <v>2205000</v>
      </c>
      <c r="E352" s="735">
        <v>0</v>
      </c>
      <c r="F352" s="896">
        <f>SUM(E355:E356)</f>
        <v>0</v>
      </c>
      <c r="G352" s="642">
        <f t="shared" si="54"/>
        <v>0</v>
      </c>
      <c r="H352" s="644">
        <f t="shared" si="55"/>
        <v>0</v>
      </c>
      <c r="I352" s="651">
        <v>0</v>
      </c>
      <c r="J352" s="29">
        <v>0</v>
      </c>
    </row>
    <row r="353" spans="1:10" x14ac:dyDescent="0.2">
      <c r="A353" s="832" t="s">
        <v>263</v>
      </c>
      <c r="B353" s="686" t="s">
        <v>1319</v>
      </c>
      <c r="C353" s="687">
        <v>0</v>
      </c>
      <c r="D353" s="687">
        <f>200000+40000</f>
        <v>240000</v>
      </c>
      <c r="E353" s="653">
        <v>0</v>
      </c>
      <c r="F353" s="653"/>
      <c r="G353" s="643">
        <v>0</v>
      </c>
      <c r="H353" s="659">
        <f t="shared" si="55"/>
        <v>0</v>
      </c>
      <c r="I353" s="664">
        <v>0</v>
      </c>
      <c r="J353" s="29">
        <v>0</v>
      </c>
    </row>
    <row r="354" spans="1:10" x14ac:dyDescent="0.2">
      <c r="A354" s="832" t="s">
        <v>1213</v>
      </c>
      <c r="B354" s="686" t="s">
        <v>1320</v>
      </c>
      <c r="C354" s="687">
        <v>0</v>
      </c>
      <c r="D354" s="687">
        <f>1500000-40000</f>
        <v>1460000</v>
      </c>
      <c r="E354" s="653">
        <v>0</v>
      </c>
      <c r="F354" s="653"/>
      <c r="G354" s="643">
        <v>0</v>
      </c>
      <c r="H354" s="659">
        <f t="shared" si="55"/>
        <v>0</v>
      </c>
      <c r="I354" s="664">
        <v>0</v>
      </c>
      <c r="J354" s="29">
        <v>0</v>
      </c>
    </row>
    <row r="355" spans="1:10" s="98" customFormat="1" ht="13.5" customHeight="1" x14ac:dyDescent="0.2">
      <c r="A355" s="846" t="s">
        <v>403</v>
      </c>
      <c r="B355" s="897" t="s">
        <v>1321</v>
      </c>
      <c r="C355" s="722">
        <v>5000</v>
      </c>
      <c r="D355" s="722">
        <v>5000</v>
      </c>
      <c r="E355" s="722">
        <v>0</v>
      </c>
      <c r="F355" s="722"/>
      <c r="G355" s="643">
        <f t="shared" si="54"/>
        <v>0</v>
      </c>
      <c r="H355" s="659">
        <f t="shared" si="55"/>
        <v>0</v>
      </c>
      <c r="I355" s="664">
        <v>0</v>
      </c>
      <c r="J355" s="29">
        <v>0</v>
      </c>
    </row>
    <row r="356" spans="1:10" s="98" customFormat="1" x14ac:dyDescent="0.2">
      <c r="A356" s="846" t="s">
        <v>1322</v>
      </c>
      <c r="B356" s="897" t="s">
        <v>1323</v>
      </c>
      <c r="C356" s="722">
        <v>500000</v>
      </c>
      <c r="D356" s="722">
        <v>500000</v>
      </c>
      <c r="E356" s="722">
        <v>0</v>
      </c>
      <c r="F356" s="722"/>
      <c r="G356" s="643">
        <f t="shared" si="54"/>
        <v>0</v>
      </c>
      <c r="H356" s="659">
        <f t="shared" si="55"/>
        <v>0</v>
      </c>
      <c r="I356" s="664">
        <v>0</v>
      </c>
      <c r="J356" s="29">
        <v>0</v>
      </c>
    </row>
    <row r="357" spans="1:10" s="98" customFormat="1" x14ac:dyDescent="0.2">
      <c r="A357" s="769">
        <v>2321</v>
      </c>
      <c r="B357" s="898" t="s">
        <v>1215</v>
      </c>
      <c r="C357" s="899">
        <f>SUM(C358:C364)</f>
        <v>7265000</v>
      </c>
      <c r="D357" s="899">
        <f>SUM(D358:D364)</f>
        <v>7265000</v>
      </c>
      <c r="E357" s="899">
        <v>0</v>
      </c>
      <c r="F357" s="900">
        <f>SUM(E358:E364)</f>
        <v>0</v>
      </c>
      <c r="G357" s="642">
        <f t="shared" si="54"/>
        <v>0</v>
      </c>
      <c r="H357" s="644">
        <f t="shared" si="55"/>
        <v>0</v>
      </c>
      <c r="I357" s="651">
        <f t="shared" si="56"/>
        <v>0</v>
      </c>
      <c r="J357" s="29">
        <v>24203</v>
      </c>
    </row>
    <row r="358" spans="1:10" s="98" customFormat="1" x14ac:dyDescent="0.2">
      <c r="A358" s="846" t="s">
        <v>1324</v>
      </c>
      <c r="B358" s="897" t="s">
        <v>1325</v>
      </c>
      <c r="C358" s="722">
        <v>5000</v>
      </c>
      <c r="D358" s="722">
        <v>5000</v>
      </c>
      <c r="E358" s="722">
        <v>0</v>
      </c>
      <c r="F358" s="722"/>
      <c r="G358" s="643">
        <f t="shared" si="54"/>
        <v>0</v>
      </c>
      <c r="H358" s="659">
        <f t="shared" si="55"/>
        <v>0</v>
      </c>
      <c r="I358" s="664">
        <f t="shared" si="56"/>
        <v>0</v>
      </c>
      <c r="J358" s="29">
        <v>1273</v>
      </c>
    </row>
    <row r="359" spans="1:10" s="98" customFormat="1" x14ac:dyDescent="0.2">
      <c r="A359" s="846" t="s">
        <v>1326</v>
      </c>
      <c r="B359" s="897" t="s">
        <v>1327</v>
      </c>
      <c r="C359" s="722">
        <v>500000</v>
      </c>
      <c r="D359" s="722">
        <f>500000-300</f>
        <v>499700</v>
      </c>
      <c r="E359" s="722">
        <v>0</v>
      </c>
      <c r="F359" s="722"/>
      <c r="G359" s="643">
        <f t="shared" si="54"/>
        <v>0</v>
      </c>
      <c r="H359" s="659">
        <f t="shared" si="55"/>
        <v>0</v>
      </c>
      <c r="I359" s="664">
        <v>0</v>
      </c>
      <c r="J359" s="29">
        <v>0</v>
      </c>
    </row>
    <row r="360" spans="1:10" s="98" customFormat="1" x14ac:dyDescent="0.2">
      <c r="A360" s="846" t="s">
        <v>1328</v>
      </c>
      <c r="B360" s="897" t="s">
        <v>1329</v>
      </c>
      <c r="C360" s="722">
        <v>750000</v>
      </c>
      <c r="D360" s="722">
        <v>750000</v>
      </c>
      <c r="E360" s="722">
        <v>0</v>
      </c>
      <c r="F360" s="722"/>
      <c r="G360" s="643">
        <f t="shared" si="54"/>
        <v>0</v>
      </c>
      <c r="H360" s="659">
        <f t="shared" si="55"/>
        <v>0</v>
      </c>
      <c r="I360" s="664">
        <v>0</v>
      </c>
      <c r="J360" s="29">
        <v>0</v>
      </c>
    </row>
    <row r="361" spans="1:10" s="98" customFormat="1" x14ac:dyDescent="0.2">
      <c r="A361" s="846" t="s">
        <v>1330</v>
      </c>
      <c r="B361" s="897" t="s">
        <v>1331</v>
      </c>
      <c r="C361" s="722">
        <v>500000</v>
      </c>
      <c r="D361" s="722">
        <v>500000</v>
      </c>
      <c r="E361" s="722">
        <v>0</v>
      </c>
      <c r="F361" s="722"/>
      <c r="G361" s="643">
        <f t="shared" si="54"/>
        <v>0</v>
      </c>
      <c r="H361" s="659">
        <f t="shared" si="55"/>
        <v>0</v>
      </c>
      <c r="I361" s="664">
        <v>0</v>
      </c>
      <c r="J361" s="29">
        <v>0</v>
      </c>
    </row>
    <row r="362" spans="1:10" s="98" customFormat="1" x14ac:dyDescent="0.2">
      <c r="A362" s="846" t="s">
        <v>411</v>
      </c>
      <c r="B362" s="897" t="s">
        <v>412</v>
      </c>
      <c r="C362" s="722">
        <v>5000000</v>
      </c>
      <c r="D362" s="722">
        <v>5000000</v>
      </c>
      <c r="E362" s="722">
        <v>0</v>
      </c>
      <c r="F362" s="722"/>
      <c r="G362" s="643">
        <f t="shared" si="54"/>
        <v>0</v>
      </c>
      <c r="H362" s="659">
        <f t="shared" si="55"/>
        <v>0</v>
      </c>
      <c r="I362" s="664">
        <v>0</v>
      </c>
      <c r="J362" s="29">
        <v>0</v>
      </c>
    </row>
    <row r="363" spans="1:10" s="98" customFormat="1" x14ac:dyDescent="0.2">
      <c r="A363" s="846" t="s">
        <v>413</v>
      </c>
      <c r="B363" s="897" t="s">
        <v>1332</v>
      </c>
      <c r="C363" s="722">
        <v>450000</v>
      </c>
      <c r="D363" s="722">
        <v>450000</v>
      </c>
      <c r="E363" s="722">
        <v>0</v>
      </c>
      <c r="F363" s="722"/>
      <c r="G363" s="643">
        <f t="shared" si="54"/>
        <v>0</v>
      </c>
      <c r="H363" s="659">
        <f t="shared" si="55"/>
        <v>0</v>
      </c>
      <c r="I363" s="664">
        <v>0</v>
      </c>
      <c r="J363" s="29">
        <v>0</v>
      </c>
    </row>
    <row r="364" spans="1:10" x14ac:dyDescent="0.2">
      <c r="A364" s="876" t="s">
        <v>415</v>
      </c>
      <c r="B364" s="901" t="s">
        <v>1333</v>
      </c>
      <c r="C364" s="725">
        <v>60000</v>
      </c>
      <c r="D364" s="725">
        <f>60000+300</f>
        <v>60300</v>
      </c>
      <c r="E364" s="902">
        <v>0</v>
      </c>
      <c r="F364" s="902"/>
      <c r="G364" s="643">
        <f t="shared" si="54"/>
        <v>0</v>
      </c>
      <c r="H364" s="659">
        <f t="shared" si="55"/>
        <v>0</v>
      </c>
      <c r="I364" s="664">
        <v>0</v>
      </c>
      <c r="J364" s="29">
        <v>0</v>
      </c>
    </row>
    <row r="365" spans="1:10" ht="15.75" x14ac:dyDescent="0.25">
      <c r="A365" s="903"/>
      <c r="B365" s="904" t="s">
        <v>422</v>
      </c>
      <c r="C365" s="891">
        <f>SUM(C366+C385+C415)</f>
        <v>65784950</v>
      </c>
      <c r="D365" s="891">
        <f>SUM(D366+D385+D415)</f>
        <v>70684950</v>
      </c>
      <c r="E365" s="891">
        <v>6741951.5700000003</v>
      </c>
      <c r="F365" s="892">
        <f>SUM(E366,E385,E415)</f>
        <v>6741951.5700000003</v>
      </c>
      <c r="G365" s="788">
        <f t="shared" ref="G365:G428" si="59">E365/C365*100</f>
        <v>10.248471071270862</v>
      </c>
      <c r="H365" s="788">
        <f t="shared" ref="H365:H428" si="60">E365/D365*100</f>
        <v>9.5380297644689573</v>
      </c>
      <c r="I365" s="826">
        <f t="shared" si="56"/>
        <v>181.38566449400395</v>
      </c>
      <c r="J365" s="29">
        <v>3716915.33</v>
      </c>
    </row>
    <row r="366" spans="1:10" x14ac:dyDescent="0.2">
      <c r="A366" s="893">
        <v>2212</v>
      </c>
      <c r="B366" s="894" t="s">
        <v>1334</v>
      </c>
      <c r="C366" s="895">
        <f>SUM(C367:C384)</f>
        <v>29190000</v>
      </c>
      <c r="D366" s="895">
        <f>SUM(D367:D384)</f>
        <v>35690000</v>
      </c>
      <c r="E366" s="895">
        <v>1598380.42</v>
      </c>
      <c r="F366" s="905">
        <f>SUM(E367:E384)</f>
        <v>1598380.42</v>
      </c>
      <c r="G366" s="642">
        <f t="shared" si="59"/>
        <v>5.4757808153477212</v>
      </c>
      <c r="H366" s="644">
        <f t="shared" si="60"/>
        <v>4.4785105631829643</v>
      </c>
      <c r="I366" s="645">
        <f t="shared" si="56"/>
        <v>316.31689348624417</v>
      </c>
      <c r="J366" s="29">
        <v>505309.85</v>
      </c>
    </row>
    <row r="367" spans="1:10" ht="14.25" customHeight="1" x14ac:dyDescent="0.2">
      <c r="A367" s="846" t="s">
        <v>293</v>
      </c>
      <c r="B367" s="897" t="s">
        <v>424</v>
      </c>
      <c r="C367" s="722">
        <v>300000</v>
      </c>
      <c r="D367" s="722">
        <f>300000-160000</f>
        <v>140000</v>
      </c>
      <c r="E367" s="722">
        <v>0</v>
      </c>
      <c r="F367" s="722"/>
      <c r="G367" s="643">
        <f t="shared" si="59"/>
        <v>0</v>
      </c>
      <c r="H367" s="659">
        <f t="shared" si="60"/>
        <v>0</v>
      </c>
      <c r="I367" s="660">
        <f t="shared" si="56"/>
        <v>0</v>
      </c>
      <c r="J367" s="29">
        <v>77621.600000000006</v>
      </c>
    </row>
    <row r="368" spans="1:10" x14ac:dyDescent="0.2">
      <c r="A368" s="846" t="s">
        <v>291</v>
      </c>
      <c r="B368" s="897" t="s">
        <v>425</v>
      </c>
      <c r="C368" s="722">
        <v>4000000</v>
      </c>
      <c r="D368" s="722">
        <v>4000000</v>
      </c>
      <c r="E368" s="722">
        <v>0</v>
      </c>
      <c r="F368" s="722"/>
      <c r="G368" s="643">
        <f t="shared" si="59"/>
        <v>0</v>
      </c>
      <c r="H368" s="659">
        <f t="shared" si="60"/>
        <v>0</v>
      </c>
      <c r="I368" s="660">
        <v>0</v>
      </c>
      <c r="J368" s="29">
        <v>0</v>
      </c>
    </row>
    <row r="369" spans="1:10" x14ac:dyDescent="0.2">
      <c r="A369" s="846" t="s">
        <v>1335</v>
      </c>
      <c r="B369" s="897" t="s">
        <v>1336</v>
      </c>
      <c r="C369" s="722">
        <v>750000</v>
      </c>
      <c r="D369" s="722">
        <v>750000</v>
      </c>
      <c r="E369" s="722">
        <v>156543.29999999999</v>
      </c>
      <c r="F369" s="722"/>
      <c r="G369" s="643">
        <f t="shared" si="59"/>
        <v>20.872439999999997</v>
      </c>
      <c r="H369" s="659">
        <f t="shared" si="60"/>
        <v>20.872439999999997</v>
      </c>
      <c r="I369" s="660">
        <v>0</v>
      </c>
      <c r="J369" s="29">
        <v>0</v>
      </c>
    </row>
    <row r="370" spans="1:10" x14ac:dyDescent="0.2">
      <c r="A370" s="846" t="s">
        <v>440</v>
      </c>
      <c r="B370" s="847" t="s">
        <v>1337</v>
      </c>
      <c r="C370" s="722">
        <v>5000</v>
      </c>
      <c r="D370" s="722">
        <v>5000</v>
      </c>
      <c r="E370" s="722">
        <v>0</v>
      </c>
      <c r="F370" s="722"/>
      <c r="G370" s="643">
        <f t="shared" si="59"/>
        <v>0</v>
      </c>
      <c r="H370" s="659">
        <f t="shared" si="60"/>
        <v>0</v>
      </c>
      <c r="I370" s="660">
        <v>0</v>
      </c>
      <c r="J370" s="29">
        <v>0</v>
      </c>
    </row>
    <row r="371" spans="1:10" x14ac:dyDescent="0.2">
      <c r="A371" s="846" t="s">
        <v>1338</v>
      </c>
      <c r="B371" s="897" t="s">
        <v>1339</v>
      </c>
      <c r="C371" s="722">
        <v>30000</v>
      </c>
      <c r="D371" s="722">
        <f>30000+160000</f>
        <v>190000</v>
      </c>
      <c r="E371" s="722">
        <v>125618</v>
      </c>
      <c r="F371" s="722"/>
      <c r="G371" s="643">
        <f t="shared" si="59"/>
        <v>418.72666666666669</v>
      </c>
      <c r="H371" s="659">
        <f t="shared" si="60"/>
        <v>66.114736842105259</v>
      </c>
      <c r="I371" s="660">
        <v>0</v>
      </c>
      <c r="J371" s="29">
        <v>0</v>
      </c>
    </row>
    <row r="372" spans="1:10" x14ac:dyDescent="0.2">
      <c r="A372" s="846" t="s">
        <v>1340</v>
      </c>
      <c r="B372" s="897" t="s">
        <v>1341</v>
      </c>
      <c r="C372" s="722">
        <v>3250000</v>
      </c>
      <c r="D372" s="722">
        <f>3250000+400000</f>
        <v>3650000</v>
      </c>
      <c r="E372" s="722">
        <v>459800</v>
      </c>
      <c r="F372" s="722"/>
      <c r="G372" s="643">
        <f t="shared" si="59"/>
        <v>14.147692307692308</v>
      </c>
      <c r="H372" s="659">
        <f t="shared" si="60"/>
        <v>12.597260273972601</v>
      </c>
      <c r="I372" s="660">
        <v>0</v>
      </c>
      <c r="J372" s="29">
        <v>0</v>
      </c>
    </row>
    <row r="373" spans="1:10" x14ac:dyDescent="0.2">
      <c r="A373" s="846" t="s">
        <v>1342</v>
      </c>
      <c r="B373" s="897" t="s">
        <v>1343</v>
      </c>
      <c r="C373" s="722">
        <v>500000</v>
      </c>
      <c r="D373" s="722">
        <v>500000</v>
      </c>
      <c r="E373" s="722">
        <v>0</v>
      </c>
      <c r="F373" s="722"/>
      <c r="G373" s="643">
        <f t="shared" si="59"/>
        <v>0</v>
      </c>
      <c r="H373" s="659">
        <f t="shared" si="60"/>
        <v>0</v>
      </c>
      <c r="I373" s="660">
        <v>0</v>
      </c>
      <c r="J373" s="29">
        <v>0</v>
      </c>
    </row>
    <row r="374" spans="1:10" x14ac:dyDescent="0.2">
      <c r="A374" s="846" t="s">
        <v>1344</v>
      </c>
      <c r="B374" s="897" t="s">
        <v>1345</v>
      </c>
      <c r="C374" s="722">
        <v>200000</v>
      </c>
      <c r="D374" s="722">
        <v>200000</v>
      </c>
      <c r="E374" s="722">
        <v>0</v>
      </c>
      <c r="F374" s="722"/>
      <c r="G374" s="643">
        <f t="shared" si="59"/>
        <v>0</v>
      </c>
      <c r="H374" s="659">
        <f t="shared" si="60"/>
        <v>0</v>
      </c>
      <c r="I374" s="660">
        <v>0</v>
      </c>
      <c r="J374" s="29">
        <v>0</v>
      </c>
    </row>
    <row r="375" spans="1:10" x14ac:dyDescent="0.2">
      <c r="A375" s="846" t="s">
        <v>1346</v>
      </c>
      <c r="B375" s="897" t="s">
        <v>1347</v>
      </c>
      <c r="C375" s="722">
        <v>250000</v>
      </c>
      <c r="D375" s="722">
        <v>250000</v>
      </c>
      <c r="E375" s="722">
        <v>0</v>
      </c>
      <c r="F375" s="722"/>
      <c r="G375" s="643">
        <f t="shared" si="59"/>
        <v>0</v>
      </c>
      <c r="H375" s="659">
        <f t="shared" si="60"/>
        <v>0</v>
      </c>
      <c r="I375" s="660">
        <v>0</v>
      </c>
      <c r="J375" s="29">
        <v>0</v>
      </c>
    </row>
    <row r="376" spans="1:10" x14ac:dyDescent="0.2">
      <c r="A376" s="846" t="s">
        <v>293</v>
      </c>
      <c r="B376" s="897" t="s">
        <v>1348</v>
      </c>
      <c r="C376" s="722">
        <v>1500000</v>
      </c>
      <c r="D376" s="722">
        <f>1500000-1100000-400000</f>
        <v>0</v>
      </c>
      <c r="E376" s="722">
        <v>0</v>
      </c>
      <c r="F376" s="722"/>
      <c r="G376" s="643">
        <f t="shared" si="59"/>
        <v>0</v>
      </c>
      <c r="H376" s="659">
        <v>0</v>
      </c>
      <c r="I376" s="660">
        <v>0</v>
      </c>
      <c r="J376" s="29">
        <v>0</v>
      </c>
    </row>
    <row r="377" spans="1:10" x14ac:dyDescent="0.2">
      <c r="A377" s="846" t="s">
        <v>447</v>
      </c>
      <c r="B377" s="897" t="s">
        <v>1349</v>
      </c>
      <c r="C377" s="722">
        <v>13000000</v>
      </c>
      <c r="D377" s="722">
        <f>13000000+8000000</f>
        <v>21000000</v>
      </c>
      <c r="E377" s="722">
        <v>0</v>
      </c>
      <c r="F377" s="722"/>
      <c r="G377" s="643">
        <f t="shared" si="59"/>
        <v>0</v>
      </c>
      <c r="H377" s="659">
        <f t="shared" si="60"/>
        <v>0</v>
      </c>
      <c r="I377" s="660">
        <v>0</v>
      </c>
      <c r="J377" s="29">
        <v>0</v>
      </c>
    </row>
    <row r="378" spans="1:10" x14ac:dyDescent="0.2">
      <c r="A378" s="846" t="s">
        <v>1350</v>
      </c>
      <c r="B378" s="897" t="s">
        <v>1351</v>
      </c>
      <c r="C378" s="722">
        <v>3000000</v>
      </c>
      <c r="D378" s="722">
        <f>3000000-400000</f>
        <v>2600000</v>
      </c>
      <c r="E378" s="722">
        <v>647089.12</v>
      </c>
      <c r="F378" s="722"/>
      <c r="G378" s="643">
        <f t="shared" si="59"/>
        <v>21.569637333333333</v>
      </c>
      <c r="H378" s="659">
        <f t="shared" si="60"/>
        <v>24.888043076923079</v>
      </c>
      <c r="I378" s="660">
        <f t="shared" si="56"/>
        <v>596.50545722713866</v>
      </c>
      <c r="J378" s="29">
        <v>108480</v>
      </c>
    </row>
    <row r="379" spans="1:10" x14ac:dyDescent="0.2">
      <c r="A379" s="846" t="s">
        <v>438</v>
      </c>
      <c r="B379" s="897" t="s">
        <v>1352</v>
      </c>
      <c r="C379" s="722">
        <v>5000</v>
      </c>
      <c r="D379" s="722">
        <v>5000</v>
      </c>
      <c r="E379" s="722">
        <v>0</v>
      </c>
      <c r="F379" s="722"/>
      <c r="G379" s="643">
        <f t="shared" si="59"/>
        <v>0</v>
      </c>
      <c r="H379" s="659">
        <f t="shared" si="60"/>
        <v>0</v>
      </c>
      <c r="I379" s="660">
        <v>0</v>
      </c>
      <c r="J379" s="29">
        <v>0</v>
      </c>
    </row>
    <row r="380" spans="1:10" x14ac:dyDescent="0.2">
      <c r="A380" s="846" t="s">
        <v>1353</v>
      </c>
      <c r="B380" s="897" t="s">
        <v>1354</v>
      </c>
      <c r="C380" s="722">
        <v>1150000</v>
      </c>
      <c r="D380" s="722">
        <v>1150000</v>
      </c>
      <c r="E380" s="722">
        <v>0</v>
      </c>
      <c r="F380" s="722"/>
      <c r="G380" s="643">
        <f t="shared" si="59"/>
        <v>0</v>
      </c>
      <c r="H380" s="659">
        <f t="shared" si="60"/>
        <v>0</v>
      </c>
      <c r="I380" s="660">
        <v>0</v>
      </c>
      <c r="J380" s="29">
        <v>0</v>
      </c>
    </row>
    <row r="381" spans="1:10" x14ac:dyDescent="0.2">
      <c r="A381" s="846" t="s">
        <v>1355</v>
      </c>
      <c r="B381" s="897" t="s">
        <v>1356</v>
      </c>
      <c r="C381" s="722">
        <v>350000</v>
      </c>
      <c r="D381" s="722">
        <v>350000</v>
      </c>
      <c r="E381" s="722">
        <v>0</v>
      </c>
      <c r="F381" s="722"/>
      <c r="G381" s="643">
        <f t="shared" si="59"/>
        <v>0</v>
      </c>
      <c r="H381" s="659">
        <f t="shared" si="60"/>
        <v>0</v>
      </c>
      <c r="I381" s="660">
        <v>0</v>
      </c>
      <c r="J381" s="29">
        <v>0</v>
      </c>
    </row>
    <row r="382" spans="1:10" x14ac:dyDescent="0.2">
      <c r="A382" s="846" t="s">
        <v>451</v>
      </c>
      <c r="B382" s="897" t="s">
        <v>1357</v>
      </c>
      <c r="C382" s="722">
        <v>200000</v>
      </c>
      <c r="D382" s="722">
        <v>200000</v>
      </c>
      <c r="E382" s="722">
        <v>0</v>
      </c>
      <c r="F382" s="722"/>
      <c r="G382" s="643">
        <f t="shared" si="59"/>
        <v>0</v>
      </c>
      <c r="H382" s="659">
        <f t="shared" si="60"/>
        <v>0</v>
      </c>
      <c r="I382" s="660">
        <v>0</v>
      </c>
      <c r="J382" s="29">
        <v>0</v>
      </c>
    </row>
    <row r="383" spans="1:10" x14ac:dyDescent="0.2">
      <c r="A383" s="846" t="s">
        <v>1358</v>
      </c>
      <c r="B383" s="897" t="s">
        <v>1359</v>
      </c>
      <c r="C383" s="722">
        <v>350000</v>
      </c>
      <c r="D383" s="722">
        <v>350000</v>
      </c>
      <c r="E383" s="722">
        <v>30250</v>
      </c>
      <c r="F383" s="900"/>
      <c r="G383" s="643">
        <f t="shared" si="59"/>
        <v>8.6428571428571423</v>
      </c>
      <c r="H383" s="659">
        <f t="shared" si="60"/>
        <v>8.6428571428571423</v>
      </c>
      <c r="I383" s="660">
        <v>0</v>
      </c>
      <c r="J383" s="29">
        <v>0</v>
      </c>
    </row>
    <row r="384" spans="1:10" x14ac:dyDescent="0.2">
      <c r="A384" s="846" t="s">
        <v>1360</v>
      </c>
      <c r="B384" s="897" t="s">
        <v>1361</v>
      </c>
      <c r="C384" s="722">
        <v>350000</v>
      </c>
      <c r="D384" s="722">
        <v>350000</v>
      </c>
      <c r="E384" s="722">
        <v>179080</v>
      </c>
      <c r="F384" s="722"/>
      <c r="G384" s="643">
        <f t="shared" si="59"/>
        <v>51.16571428571428</v>
      </c>
      <c r="H384" s="659">
        <f t="shared" si="60"/>
        <v>51.16571428571428</v>
      </c>
      <c r="I384" s="660">
        <v>0</v>
      </c>
      <c r="J384" s="29">
        <v>0</v>
      </c>
    </row>
    <row r="385" spans="1:10" x14ac:dyDescent="0.2">
      <c r="A385" s="769">
        <v>2219</v>
      </c>
      <c r="B385" s="898" t="s">
        <v>1239</v>
      </c>
      <c r="C385" s="899">
        <f>SUM(C386:C414)</f>
        <v>34448950</v>
      </c>
      <c r="D385" s="899">
        <f>SUM(D386:D414)</f>
        <v>32848950</v>
      </c>
      <c r="E385" s="899">
        <v>5076751.1500000004</v>
      </c>
      <c r="F385" s="722">
        <f>SUM(E386:E414)</f>
        <v>5076751.1499999994</v>
      </c>
      <c r="G385" s="642">
        <f t="shared" si="59"/>
        <v>14.737027253370568</v>
      </c>
      <c r="H385" s="644">
        <f t="shared" si="60"/>
        <v>15.454835390476712</v>
      </c>
      <c r="I385" s="645">
        <f t="shared" si="56"/>
        <v>158.97539242166835</v>
      </c>
      <c r="J385" s="29">
        <v>3193419.48</v>
      </c>
    </row>
    <row r="386" spans="1:10" x14ac:dyDescent="0.2">
      <c r="A386" s="846" t="s">
        <v>299</v>
      </c>
      <c r="B386" s="897" t="s">
        <v>460</v>
      </c>
      <c r="C386" s="722">
        <v>200000</v>
      </c>
      <c r="D386" s="722">
        <v>200000</v>
      </c>
      <c r="E386" s="722">
        <v>0</v>
      </c>
      <c r="F386" s="722"/>
      <c r="G386" s="643">
        <f t="shared" si="59"/>
        <v>0</v>
      </c>
      <c r="H386" s="659">
        <f t="shared" si="60"/>
        <v>0</v>
      </c>
      <c r="I386" s="660">
        <f t="shared" si="56"/>
        <v>0</v>
      </c>
      <c r="J386" s="29">
        <v>88000</v>
      </c>
    </row>
    <row r="387" spans="1:10" x14ac:dyDescent="0.2">
      <c r="A387" s="846" t="s">
        <v>301</v>
      </c>
      <c r="B387" s="897" t="s">
        <v>461</v>
      </c>
      <c r="C387" s="722">
        <v>1500000</v>
      </c>
      <c r="D387" s="722">
        <v>1500000</v>
      </c>
      <c r="E387" s="722">
        <v>0</v>
      </c>
      <c r="F387" s="722"/>
      <c r="G387" s="643">
        <f t="shared" si="59"/>
        <v>0</v>
      </c>
      <c r="H387" s="659">
        <f t="shared" si="60"/>
        <v>0</v>
      </c>
      <c r="I387" s="660">
        <v>0</v>
      </c>
      <c r="J387" s="29">
        <v>0</v>
      </c>
    </row>
    <row r="388" spans="1:10" x14ac:dyDescent="0.2">
      <c r="A388" s="846" t="s">
        <v>464</v>
      </c>
      <c r="B388" s="897" t="s">
        <v>1362</v>
      </c>
      <c r="C388" s="722">
        <v>2000000</v>
      </c>
      <c r="D388" s="722">
        <f>2000000+481000</f>
        <v>2481000</v>
      </c>
      <c r="E388" s="722">
        <v>2351432.83</v>
      </c>
      <c r="F388" s="722"/>
      <c r="G388" s="643">
        <f t="shared" si="59"/>
        <v>117.57164150000001</v>
      </c>
      <c r="H388" s="659">
        <f t="shared" si="60"/>
        <v>94.777623135832329</v>
      </c>
      <c r="I388" s="660">
        <f t="shared" si="56"/>
        <v>40486.102444903583</v>
      </c>
      <c r="J388" s="29">
        <v>5808</v>
      </c>
    </row>
    <row r="389" spans="1:10" x14ac:dyDescent="0.2">
      <c r="A389" s="846" t="s">
        <v>468</v>
      </c>
      <c r="B389" s="897" t="s">
        <v>1363</v>
      </c>
      <c r="C389" s="722">
        <v>500000</v>
      </c>
      <c r="D389" s="722">
        <v>500000</v>
      </c>
      <c r="E389" s="722">
        <v>254100</v>
      </c>
      <c r="F389" s="722"/>
      <c r="G389" s="643">
        <f t="shared" si="59"/>
        <v>50.82</v>
      </c>
      <c r="H389" s="659">
        <f t="shared" si="60"/>
        <v>50.82</v>
      </c>
      <c r="I389" s="660">
        <f t="shared" si="56"/>
        <v>539.30724170133294</v>
      </c>
      <c r="J389" s="29">
        <v>47116</v>
      </c>
    </row>
    <row r="390" spans="1:10" x14ac:dyDescent="0.2">
      <c r="A390" s="846" t="s">
        <v>1364</v>
      </c>
      <c r="B390" s="847" t="s">
        <v>1365</v>
      </c>
      <c r="C390" s="722">
        <v>2200000</v>
      </c>
      <c r="D390" s="722">
        <f>2200000-500000</f>
        <v>1700000</v>
      </c>
      <c r="E390" s="722">
        <v>993655.76</v>
      </c>
      <c r="F390" s="722"/>
      <c r="G390" s="643">
        <f t="shared" si="59"/>
        <v>45.166170909090908</v>
      </c>
      <c r="H390" s="659">
        <f t="shared" si="60"/>
        <v>58.450338823529414</v>
      </c>
      <c r="I390" s="660">
        <v>0</v>
      </c>
      <c r="J390" s="29">
        <v>0</v>
      </c>
    </row>
    <row r="391" spans="1:10" x14ac:dyDescent="0.2">
      <c r="A391" s="846" t="s">
        <v>470</v>
      </c>
      <c r="B391" s="847" t="s">
        <v>1366</v>
      </c>
      <c r="C391" s="722">
        <v>5000</v>
      </c>
      <c r="D391" s="722">
        <v>5000</v>
      </c>
      <c r="E391" s="722">
        <v>0</v>
      </c>
      <c r="F391" s="722"/>
      <c r="G391" s="643">
        <f t="shared" si="59"/>
        <v>0</v>
      </c>
      <c r="H391" s="659">
        <f t="shared" si="60"/>
        <v>0</v>
      </c>
      <c r="I391" s="660">
        <f t="shared" si="56"/>
        <v>0</v>
      </c>
      <c r="J391" s="29">
        <v>58080</v>
      </c>
    </row>
    <row r="392" spans="1:10" x14ac:dyDescent="0.2">
      <c r="A392" s="846" t="s">
        <v>1367</v>
      </c>
      <c r="B392" s="847" t="s">
        <v>1368</v>
      </c>
      <c r="C392" s="722">
        <v>330000</v>
      </c>
      <c r="D392" s="722">
        <v>330000</v>
      </c>
      <c r="E392" s="722">
        <v>0</v>
      </c>
      <c r="F392" s="722"/>
      <c r="G392" s="643">
        <f t="shared" si="59"/>
        <v>0</v>
      </c>
      <c r="H392" s="659">
        <f t="shared" si="60"/>
        <v>0</v>
      </c>
      <c r="I392" s="660">
        <v>0</v>
      </c>
      <c r="J392" s="29">
        <v>0</v>
      </c>
    </row>
    <row r="393" spans="1:10" x14ac:dyDescent="0.2">
      <c r="A393" s="846" t="s">
        <v>1369</v>
      </c>
      <c r="B393" s="847" t="s">
        <v>1370</v>
      </c>
      <c r="C393" s="722">
        <v>200000</v>
      </c>
      <c r="D393" s="722">
        <v>200000</v>
      </c>
      <c r="E393" s="722">
        <v>9000</v>
      </c>
      <c r="F393" s="722"/>
      <c r="G393" s="643">
        <f t="shared" si="59"/>
        <v>4.5</v>
      </c>
      <c r="H393" s="659">
        <f t="shared" si="60"/>
        <v>4.5</v>
      </c>
      <c r="I393" s="660">
        <f t="shared" ref="I393:I453" si="61">E393/J393*100</f>
        <v>15.07739730617168</v>
      </c>
      <c r="J393" s="29">
        <v>59692</v>
      </c>
    </row>
    <row r="394" spans="1:10" x14ac:dyDescent="0.2">
      <c r="A394" s="846" t="s">
        <v>1371</v>
      </c>
      <c r="B394" s="847" t="s">
        <v>1372</v>
      </c>
      <c r="C394" s="722">
        <v>60000</v>
      </c>
      <c r="D394" s="722">
        <f>60000+11390</f>
        <v>71390</v>
      </c>
      <c r="E394" s="722">
        <v>71390</v>
      </c>
      <c r="F394" s="722"/>
      <c r="G394" s="643">
        <f t="shared" si="59"/>
        <v>118.98333333333333</v>
      </c>
      <c r="H394" s="659">
        <f t="shared" si="60"/>
        <v>100</v>
      </c>
      <c r="I394" s="660">
        <f t="shared" si="61"/>
        <v>24.583333333333332</v>
      </c>
      <c r="J394" s="29">
        <v>290400</v>
      </c>
    </row>
    <row r="395" spans="1:10" x14ac:dyDescent="0.2">
      <c r="A395" s="846" t="s">
        <v>1373</v>
      </c>
      <c r="B395" s="847" t="s">
        <v>1374</v>
      </c>
      <c r="C395" s="722">
        <v>370000</v>
      </c>
      <c r="D395" s="722">
        <v>370000</v>
      </c>
      <c r="E395" s="722">
        <v>0</v>
      </c>
      <c r="F395" s="722"/>
      <c r="G395" s="643">
        <f t="shared" si="59"/>
        <v>0</v>
      </c>
      <c r="H395" s="659">
        <f t="shared" si="60"/>
        <v>0</v>
      </c>
      <c r="I395" s="660">
        <v>0</v>
      </c>
      <c r="J395" s="29">
        <v>0</v>
      </c>
    </row>
    <row r="396" spans="1:10" x14ac:dyDescent="0.2">
      <c r="A396" s="846" t="s">
        <v>1375</v>
      </c>
      <c r="B396" s="847" t="s">
        <v>1376</v>
      </c>
      <c r="C396" s="722">
        <v>26000</v>
      </c>
      <c r="D396" s="722">
        <f>26000+181000</f>
        <v>207000</v>
      </c>
      <c r="E396" s="722">
        <v>191180</v>
      </c>
      <c r="F396" s="722"/>
      <c r="G396" s="643">
        <f t="shared" si="59"/>
        <v>735.30769230769226</v>
      </c>
      <c r="H396" s="659">
        <f t="shared" si="60"/>
        <v>92.357487922705317</v>
      </c>
      <c r="I396" s="660">
        <v>0</v>
      </c>
      <c r="J396" s="29">
        <v>0</v>
      </c>
    </row>
    <row r="397" spans="1:10" x14ac:dyDescent="0.2">
      <c r="A397" s="846" t="s">
        <v>492</v>
      </c>
      <c r="B397" s="847" t="s">
        <v>1377</v>
      </c>
      <c r="C397" s="722">
        <v>2800000</v>
      </c>
      <c r="D397" s="722">
        <f>2800000-500000-12000</f>
        <v>2288000</v>
      </c>
      <c r="E397" s="722">
        <v>0</v>
      </c>
      <c r="F397" s="722"/>
      <c r="G397" s="643">
        <f t="shared" si="59"/>
        <v>0</v>
      </c>
      <c r="H397" s="659">
        <f t="shared" si="60"/>
        <v>0</v>
      </c>
      <c r="I397" s="660">
        <f t="shared" si="61"/>
        <v>0</v>
      </c>
      <c r="J397" s="29">
        <v>36300</v>
      </c>
    </row>
    <row r="398" spans="1:10" x14ac:dyDescent="0.2">
      <c r="A398" s="846" t="s">
        <v>1378</v>
      </c>
      <c r="B398" s="847" t="s">
        <v>1379</v>
      </c>
      <c r="C398" s="722">
        <v>5050000</v>
      </c>
      <c r="D398" s="722">
        <f>5050000-500000</f>
        <v>4550000</v>
      </c>
      <c r="E398" s="722">
        <v>7260</v>
      </c>
      <c r="F398" s="722"/>
      <c r="G398" s="643">
        <f t="shared" si="59"/>
        <v>0.14376237623762378</v>
      </c>
      <c r="H398" s="659">
        <f t="shared" si="60"/>
        <v>0.15956043956043955</v>
      </c>
      <c r="I398" s="660">
        <f t="shared" si="61"/>
        <v>20</v>
      </c>
      <c r="J398" s="29">
        <v>36300</v>
      </c>
    </row>
    <row r="399" spans="1:10" x14ac:dyDescent="0.2">
      <c r="A399" s="846" t="s">
        <v>1380</v>
      </c>
      <c r="B399" s="847" t="s">
        <v>1381</v>
      </c>
      <c r="C399" s="722">
        <v>2000000</v>
      </c>
      <c r="D399" s="722">
        <f>2000000-1055000+1255000</f>
        <v>2200000</v>
      </c>
      <c r="E399" s="722">
        <v>36300</v>
      </c>
      <c r="F399" s="722"/>
      <c r="G399" s="643">
        <f t="shared" si="59"/>
        <v>1.8149999999999999</v>
      </c>
      <c r="H399" s="659">
        <f t="shared" si="60"/>
        <v>1.6500000000000001</v>
      </c>
      <c r="I399" s="660">
        <v>0</v>
      </c>
      <c r="J399" s="29">
        <v>0</v>
      </c>
    </row>
    <row r="400" spans="1:10" x14ac:dyDescent="0.2">
      <c r="A400" s="846" t="s">
        <v>1382</v>
      </c>
      <c r="B400" s="847" t="s">
        <v>1383</v>
      </c>
      <c r="C400" s="722">
        <v>50000</v>
      </c>
      <c r="D400" s="722">
        <v>50000</v>
      </c>
      <c r="E400" s="722">
        <v>0</v>
      </c>
      <c r="F400" s="722"/>
      <c r="G400" s="643">
        <f t="shared" si="59"/>
        <v>0</v>
      </c>
      <c r="H400" s="659">
        <f t="shared" si="60"/>
        <v>0</v>
      </c>
      <c r="I400" s="660">
        <v>0</v>
      </c>
      <c r="J400" s="29">
        <v>0</v>
      </c>
    </row>
    <row r="401" spans="1:10" x14ac:dyDescent="0.2">
      <c r="A401" s="846" t="s">
        <v>1384</v>
      </c>
      <c r="B401" s="847" t="s">
        <v>1385</v>
      </c>
      <c r="C401" s="722">
        <v>500000</v>
      </c>
      <c r="D401" s="722">
        <f>500000-158000-34000</f>
        <v>308000</v>
      </c>
      <c r="E401" s="722">
        <v>42000</v>
      </c>
      <c r="F401" s="722"/>
      <c r="G401" s="643">
        <f t="shared" si="59"/>
        <v>8.4</v>
      </c>
      <c r="H401" s="659">
        <f t="shared" si="60"/>
        <v>13.636363636363635</v>
      </c>
      <c r="I401" s="660">
        <v>0</v>
      </c>
      <c r="J401" s="29">
        <v>0</v>
      </c>
    </row>
    <row r="402" spans="1:10" x14ac:dyDescent="0.2">
      <c r="A402" s="846" t="s">
        <v>1386</v>
      </c>
      <c r="B402" s="847" t="s">
        <v>1387</v>
      </c>
      <c r="C402" s="722">
        <v>500000</v>
      </c>
      <c r="D402" s="722">
        <f>500000-323000+12000</f>
        <v>189000</v>
      </c>
      <c r="E402" s="722">
        <v>22000</v>
      </c>
      <c r="F402" s="722"/>
      <c r="G402" s="643">
        <f t="shared" si="59"/>
        <v>4.3999999999999995</v>
      </c>
      <c r="H402" s="659">
        <f t="shared" si="60"/>
        <v>11.640211640211639</v>
      </c>
      <c r="I402" s="660">
        <v>0</v>
      </c>
      <c r="J402" s="29">
        <v>0</v>
      </c>
    </row>
    <row r="403" spans="1:10" x14ac:dyDescent="0.2">
      <c r="A403" s="846" t="s">
        <v>1388</v>
      </c>
      <c r="B403" s="847" t="s">
        <v>1389</v>
      </c>
      <c r="C403" s="722">
        <v>500000</v>
      </c>
      <c r="D403" s="722">
        <f>500000</f>
        <v>500000</v>
      </c>
      <c r="E403" s="722">
        <v>0</v>
      </c>
      <c r="F403" s="722"/>
      <c r="G403" s="643">
        <f t="shared" si="59"/>
        <v>0</v>
      </c>
      <c r="H403" s="659">
        <f t="shared" si="60"/>
        <v>0</v>
      </c>
      <c r="I403" s="660">
        <v>0</v>
      </c>
      <c r="J403" s="29">
        <v>0</v>
      </c>
    </row>
    <row r="404" spans="1:10" ht="12.75" customHeight="1" x14ac:dyDescent="0.2">
      <c r="A404" s="846" t="s">
        <v>500</v>
      </c>
      <c r="B404" s="847" t="s">
        <v>1390</v>
      </c>
      <c r="C404" s="722">
        <v>10000</v>
      </c>
      <c r="D404" s="722">
        <v>10000</v>
      </c>
      <c r="E404" s="722">
        <v>0</v>
      </c>
      <c r="F404" s="722"/>
      <c r="G404" s="643">
        <f t="shared" si="59"/>
        <v>0</v>
      </c>
      <c r="H404" s="659">
        <f t="shared" si="60"/>
        <v>0</v>
      </c>
      <c r="I404" s="660">
        <v>0</v>
      </c>
      <c r="J404" s="29">
        <v>0</v>
      </c>
    </row>
    <row r="405" spans="1:10" x14ac:dyDescent="0.2">
      <c r="A405" s="846" t="s">
        <v>1391</v>
      </c>
      <c r="B405" s="847" t="s">
        <v>1392</v>
      </c>
      <c r="C405" s="722">
        <v>660000</v>
      </c>
      <c r="D405" s="722">
        <v>660000</v>
      </c>
      <c r="E405" s="722">
        <v>0</v>
      </c>
      <c r="F405" s="722"/>
      <c r="G405" s="643">
        <f t="shared" si="59"/>
        <v>0</v>
      </c>
      <c r="H405" s="659">
        <f t="shared" si="60"/>
        <v>0</v>
      </c>
      <c r="I405" s="660">
        <f t="shared" si="61"/>
        <v>0</v>
      </c>
      <c r="J405" s="29">
        <v>235950</v>
      </c>
    </row>
    <row r="406" spans="1:10" x14ac:dyDescent="0.2">
      <c r="A406" s="846" t="s">
        <v>1393</v>
      </c>
      <c r="B406" s="847" t="s">
        <v>1394</v>
      </c>
      <c r="C406" s="722">
        <v>730000</v>
      </c>
      <c r="D406" s="722">
        <f>730000+540500+34000</f>
        <v>1304500</v>
      </c>
      <c r="E406" s="722">
        <v>496000</v>
      </c>
      <c r="F406" s="722"/>
      <c r="G406" s="643">
        <f t="shared" si="59"/>
        <v>67.945205479452056</v>
      </c>
      <c r="H406" s="659">
        <f t="shared" si="60"/>
        <v>38.02223073974703</v>
      </c>
      <c r="I406" s="660">
        <v>0</v>
      </c>
      <c r="J406" s="29">
        <v>0</v>
      </c>
    </row>
    <row r="407" spans="1:10" x14ac:dyDescent="0.2">
      <c r="A407" s="846" t="s">
        <v>1395</v>
      </c>
      <c r="B407" s="847" t="s">
        <v>1396</v>
      </c>
      <c r="C407" s="722">
        <v>114950</v>
      </c>
      <c r="D407" s="722">
        <f>114950+514500</f>
        <v>629450</v>
      </c>
      <c r="E407" s="722">
        <v>0</v>
      </c>
      <c r="F407" s="722"/>
      <c r="G407" s="643">
        <f t="shared" si="59"/>
        <v>0</v>
      </c>
      <c r="H407" s="659">
        <f t="shared" si="60"/>
        <v>0</v>
      </c>
      <c r="I407" s="660">
        <v>0</v>
      </c>
      <c r="J407" s="29">
        <v>0</v>
      </c>
    </row>
    <row r="408" spans="1:10" x14ac:dyDescent="0.2">
      <c r="A408" s="846" t="s">
        <v>1397</v>
      </c>
      <c r="B408" s="847" t="s">
        <v>1398</v>
      </c>
      <c r="C408" s="722">
        <v>560000</v>
      </c>
      <c r="D408" s="722">
        <v>560000</v>
      </c>
      <c r="E408" s="722">
        <v>0</v>
      </c>
      <c r="F408" s="722"/>
      <c r="G408" s="643">
        <f t="shared" si="59"/>
        <v>0</v>
      </c>
      <c r="H408" s="659">
        <f t="shared" si="60"/>
        <v>0</v>
      </c>
      <c r="I408" s="660">
        <v>0</v>
      </c>
      <c r="J408" s="29">
        <v>0</v>
      </c>
    </row>
    <row r="409" spans="1:10" x14ac:dyDescent="0.2">
      <c r="A409" s="846" t="s">
        <v>1399</v>
      </c>
      <c r="B409" s="847" t="s">
        <v>1400</v>
      </c>
      <c r="C409" s="722">
        <v>800000</v>
      </c>
      <c r="D409" s="722">
        <f>800000-11390-30000</f>
        <v>758610</v>
      </c>
      <c r="E409" s="722">
        <v>0</v>
      </c>
      <c r="F409" s="722"/>
      <c r="G409" s="643">
        <f t="shared" si="59"/>
        <v>0</v>
      </c>
      <c r="H409" s="659">
        <f t="shared" si="60"/>
        <v>0</v>
      </c>
      <c r="I409" s="660">
        <v>0</v>
      </c>
      <c r="J409" s="29">
        <v>0</v>
      </c>
    </row>
    <row r="410" spans="1:10" x14ac:dyDescent="0.2">
      <c r="A410" s="846" t="s">
        <v>1401</v>
      </c>
      <c r="B410" s="847" t="s">
        <v>1402</v>
      </c>
      <c r="C410" s="722">
        <v>363000</v>
      </c>
      <c r="D410" s="722">
        <f>363000+30000</f>
        <v>393000</v>
      </c>
      <c r="E410" s="722">
        <v>392040</v>
      </c>
      <c r="F410" s="722"/>
      <c r="G410" s="643">
        <f t="shared" si="59"/>
        <v>108</v>
      </c>
      <c r="H410" s="659">
        <f t="shared" si="60"/>
        <v>99.755725190839698</v>
      </c>
      <c r="I410" s="660">
        <v>0</v>
      </c>
      <c r="J410" s="29">
        <v>0</v>
      </c>
    </row>
    <row r="411" spans="1:10" x14ac:dyDescent="0.2">
      <c r="A411" s="846" t="s">
        <v>1245</v>
      </c>
      <c r="B411" s="847" t="s">
        <v>1403</v>
      </c>
      <c r="C411" s="722">
        <v>100000</v>
      </c>
      <c r="D411" s="722">
        <f>100000-100000</f>
        <v>0</v>
      </c>
      <c r="E411" s="722">
        <v>0</v>
      </c>
      <c r="F411" s="722"/>
      <c r="G411" s="643">
        <f t="shared" si="59"/>
        <v>0</v>
      </c>
      <c r="H411" s="659">
        <v>0</v>
      </c>
      <c r="I411" s="660">
        <v>0</v>
      </c>
      <c r="J411" s="29">
        <v>0</v>
      </c>
    </row>
    <row r="412" spans="1:10" x14ac:dyDescent="0.2">
      <c r="A412" s="846" t="s">
        <v>1404</v>
      </c>
      <c r="B412" s="847" t="s">
        <v>1405</v>
      </c>
      <c r="C412" s="722">
        <v>11000000</v>
      </c>
      <c r="D412" s="722">
        <f>11000000-181000-1255000</f>
        <v>9564000</v>
      </c>
      <c r="E412" s="722">
        <v>65582</v>
      </c>
      <c r="F412" s="722"/>
      <c r="G412" s="643">
        <f t="shared" si="59"/>
        <v>0.59620000000000006</v>
      </c>
      <c r="H412" s="659">
        <f t="shared" si="60"/>
        <v>0.68571727310748642</v>
      </c>
      <c r="I412" s="660">
        <v>0</v>
      </c>
      <c r="J412" s="29">
        <v>0</v>
      </c>
    </row>
    <row r="413" spans="1:10" x14ac:dyDescent="0.2">
      <c r="A413" s="846" t="s">
        <v>1406</v>
      </c>
      <c r="B413" s="847" t="s">
        <v>1407</v>
      </c>
      <c r="C413" s="722">
        <v>1300000</v>
      </c>
      <c r="D413" s="722">
        <v>1300000</v>
      </c>
      <c r="E413" s="722">
        <v>130290.56</v>
      </c>
      <c r="F413" s="722"/>
      <c r="G413" s="643">
        <f t="shared" si="59"/>
        <v>10.022350769230769</v>
      </c>
      <c r="H413" s="659">
        <f t="shared" si="60"/>
        <v>10.022350769230769</v>
      </c>
      <c r="I413" s="660">
        <v>0</v>
      </c>
      <c r="J413" s="29">
        <v>0</v>
      </c>
    </row>
    <row r="414" spans="1:10" ht="12.75" customHeight="1" x14ac:dyDescent="0.2">
      <c r="A414" s="846" t="s">
        <v>1408</v>
      </c>
      <c r="B414" s="847" t="s">
        <v>1409</v>
      </c>
      <c r="C414" s="722">
        <v>20000</v>
      </c>
      <c r="D414" s="722">
        <v>20000</v>
      </c>
      <c r="E414" s="722">
        <v>14520</v>
      </c>
      <c r="F414" s="722"/>
      <c r="G414" s="643">
        <f t="shared" si="59"/>
        <v>72.599999999999994</v>
      </c>
      <c r="H414" s="659">
        <f t="shared" si="60"/>
        <v>72.599999999999994</v>
      </c>
      <c r="I414" s="660">
        <v>0</v>
      </c>
      <c r="J414" s="29">
        <v>0</v>
      </c>
    </row>
    <row r="415" spans="1:10" ht="12" customHeight="1" x14ac:dyDescent="0.2">
      <c r="A415" s="769">
        <v>2221</v>
      </c>
      <c r="B415" s="898" t="s">
        <v>1252</v>
      </c>
      <c r="C415" s="899">
        <f>SUM(C416:C417)</f>
        <v>2146000</v>
      </c>
      <c r="D415" s="899">
        <f>SUM(D416:D417)</f>
        <v>2146000</v>
      </c>
      <c r="E415" s="899">
        <v>66820</v>
      </c>
      <c r="F415" s="722">
        <f>SUM(E416:E417)</f>
        <v>66820</v>
      </c>
      <c r="G415" s="642">
        <f t="shared" si="59"/>
        <v>3.1136999068033551</v>
      </c>
      <c r="H415" s="644">
        <f t="shared" si="60"/>
        <v>3.1136999068033551</v>
      </c>
      <c r="I415" s="645">
        <f t="shared" si="61"/>
        <v>367.42549213680854</v>
      </c>
      <c r="J415" s="29">
        <v>18186</v>
      </c>
    </row>
    <row r="416" spans="1:10" x14ac:dyDescent="0.2">
      <c r="A416" s="846" t="s">
        <v>1410</v>
      </c>
      <c r="B416" s="906" t="s">
        <v>1411</v>
      </c>
      <c r="C416" s="722">
        <v>2000000</v>
      </c>
      <c r="D416" s="722">
        <v>2000000</v>
      </c>
      <c r="E416" s="722">
        <v>66820</v>
      </c>
      <c r="F416" s="722"/>
      <c r="G416" s="643">
        <f t="shared" si="59"/>
        <v>3.3410000000000002</v>
      </c>
      <c r="H416" s="659">
        <f t="shared" si="60"/>
        <v>3.3410000000000002</v>
      </c>
      <c r="I416" s="660">
        <f t="shared" si="61"/>
        <v>460.19283746556471</v>
      </c>
      <c r="J416" s="29">
        <v>14520</v>
      </c>
    </row>
    <row r="417" spans="1:10" x14ac:dyDescent="0.2">
      <c r="A417" s="907" t="s">
        <v>1412</v>
      </c>
      <c r="B417" s="908" t="s">
        <v>1413</v>
      </c>
      <c r="C417" s="725">
        <v>146000</v>
      </c>
      <c r="D417" s="725">
        <v>146000</v>
      </c>
      <c r="E417" s="722">
        <v>0</v>
      </c>
      <c r="F417" s="722"/>
      <c r="G417" s="643">
        <f t="shared" si="59"/>
        <v>0</v>
      </c>
      <c r="H417" s="659">
        <f t="shared" si="60"/>
        <v>0</v>
      </c>
      <c r="I417" s="660">
        <f t="shared" si="61"/>
        <v>0</v>
      </c>
      <c r="J417" s="29">
        <v>3666</v>
      </c>
    </row>
    <row r="418" spans="1:10" ht="15.75" x14ac:dyDescent="0.25">
      <c r="A418" s="909"/>
      <c r="B418" s="910" t="s">
        <v>1414</v>
      </c>
      <c r="C418" s="911">
        <f>SUM(C419,C428,C439,C437)</f>
        <v>68628000</v>
      </c>
      <c r="D418" s="911">
        <f>SUM(D419,D428,D439,D437)</f>
        <v>60648000</v>
      </c>
      <c r="E418" s="853">
        <v>1031199.86</v>
      </c>
      <c r="F418" s="912">
        <f>SUM(E419,E428,E439,E437)</f>
        <v>1031199.86</v>
      </c>
      <c r="G418" s="788">
        <f t="shared" si="59"/>
        <v>1.5025934895377979</v>
      </c>
      <c r="H418" s="788">
        <f t="shared" si="60"/>
        <v>1.700303159213824</v>
      </c>
      <c r="I418" s="826">
        <v>0</v>
      </c>
      <c r="J418" s="29">
        <v>0</v>
      </c>
    </row>
    <row r="419" spans="1:10" x14ac:dyDescent="0.2">
      <c r="A419" s="913">
        <v>3111</v>
      </c>
      <c r="B419" s="914" t="s">
        <v>1415</v>
      </c>
      <c r="C419" s="895">
        <f>SUM(C420:C427)</f>
        <v>6370000</v>
      </c>
      <c r="D419" s="895">
        <f>SUM(D420:D427)</f>
        <v>5870000</v>
      </c>
      <c r="E419" s="830">
        <v>106480</v>
      </c>
      <c r="F419" s="915">
        <f>SUM(E420:E427)</f>
        <v>106480</v>
      </c>
      <c r="G419" s="642">
        <f t="shared" si="59"/>
        <v>1.6715855572998433</v>
      </c>
      <c r="H419" s="644">
        <f t="shared" si="60"/>
        <v>1.8139693356047699</v>
      </c>
      <c r="I419" s="645">
        <v>0</v>
      </c>
      <c r="J419" s="29">
        <v>0</v>
      </c>
    </row>
    <row r="420" spans="1:10" x14ac:dyDescent="0.2">
      <c r="A420" s="846" t="s">
        <v>1416</v>
      </c>
      <c r="B420" s="897" t="s">
        <v>1417</v>
      </c>
      <c r="C420" s="722">
        <v>6000000</v>
      </c>
      <c r="D420" s="722">
        <f>6000000-500000</f>
        <v>5500000</v>
      </c>
      <c r="E420" s="722">
        <v>0</v>
      </c>
      <c r="F420" s="722"/>
      <c r="G420" s="643">
        <f t="shared" si="59"/>
        <v>0</v>
      </c>
      <c r="H420" s="659">
        <f t="shared" si="60"/>
        <v>0</v>
      </c>
      <c r="I420" s="660">
        <v>0</v>
      </c>
      <c r="J420" s="29">
        <v>0</v>
      </c>
    </row>
    <row r="421" spans="1:10" x14ac:dyDescent="0.2">
      <c r="A421" s="846" t="s">
        <v>1418</v>
      </c>
      <c r="B421" s="847" t="s">
        <v>1419</v>
      </c>
      <c r="C421" s="722">
        <v>10000</v>
      </c>
      <c r="D421" s="722">
        <v>10000</v>
      </c>
      <c r="E421" s="722">
        <v>9680</v>
      </c>
      <c r="F421" s="722"/>
      <c r="G421" s="643">
        <f t="shared" si="59"/>
        <v>96.8</v>
      </c>
      <c r="H421" s="659">
        <f t="shared" si="60"/>
        <v>96.8</v>
      </c>
      <c r="I421" s="660">
        <v>0</v>
      </c>
      <c r="J421" s="29">
        <v>0</v>
      </c>
    </row>
    <row r="422" spans="1:10" x14ac:dyDescent="0.2">
      <c r="A422" s="846" t="s">
        <v>1420</v>
      </c>
      <c r="B422" s="847" t="s">
        <v>1421</v>
      </c>
      <c r="C422" s="722">
        <v>5000</v>
      </c>
      <c r="D422" s="722">
        <v>5000</v>
      </c>
      <c r="E422" s="722">
        <v>0</v>
      </c>
      <c r="F422" s="722"/>
      <c r="G422" s="643">
        <f t="shared" si="59"/>
        <v>0</v>
      </c>
      <c r="H422" s="659">
        <f t="shared" si="60"/>
        <v>0</v>
      </c>
      <c r="I422" s="660">
        <v>0</v>
      </c>
      <c r="J422" s="29">
        <v>0</v>
      </c>
    </row>
    <row r="423" spans="1:10" x14ac:dyDescent="0.2">
      <c r="A423" s="846" t="s">
        <v>1422</v>
      </c>
      <c r="B423" s="916" t="s">
        <v>1423</v>
      </c>
      <c r="C423" s="768">
        <v>45000</v>
      </c>
      <c r="D423" s="768">
        <f>45000+27000</f>
        <v>72000</v>
      </c>
      <c r="E423" s="722">
        <v>0</v>
      </c>
      <c r="F423" s="722"/>
      <c r="G423" s="643">
        <f t="shared" si="59"/>
        <v>0</v>
      </c>
      <c r="H423" s="659">
        <f t="shared" si="60"/>
        <v>0</v>
      </c>
      <c r="I423" s="660">
        <v>0</v>
      </c>
      <c r="J423" s="29">
        <v>0</v>
      </c>
    </row>
    <row r="424" spans="1:10" x14ac:dyDescent="0.2">
      <c r="A424" s="846" t="s">
        <v>1424</v>
      </c>
      <c r="B424" s="916" t="s">
        <v>1425</v>
      </c>
      <c r="C424" s="768">
        <v>100000</v>
      </c>
      <c r="D424" s="768">
        <f>100000+17000+12000</f>
        <v>129000</v>
      </c>
      <c r="E424" s="722">
        <v>0</v>
      </c>
      <c r="F424" s="722"/>
      <c r="G424" s="643">
        <f t="shared" si="59"/>
        <v>0</v>
      </c>
      <c r="H424" s="659">
        <f t="shared" si="60"/>
        <v>0</v>
      </c>
      <c r="I424" s="660">
        <v>0</v>
      </c>
      <c r="J424" s="29">
        <v>0</v>
      </c>
    </row>
    <row r="425" spans="1:10" x14ac:dyDescent="0.2">
      <c r="A425" s="846" t="s">
        <v>1426</v>
      </c>
      <c r="B425" s="916" t="s">
        <v>1427</v>
      </c>
      <c r="C425" s="768">
        <v>10000</v>
      </c>
      <c r="D425" s="768">
        <v>10000</v>
      </c>
      <c r="E425" s="722">
        <v>0</v>
      </c>
      <c r="F425" s="722"/>
      <c r="G425" s="643">
        <f t="shared" si="59"/>
        <v>0</v>
      </c>
      <c r="H425" s="659">
        <f t="shared" si="60"/>
        <v>0</v>
      </c>
      <c r="I425" s="660">
        <v>0</v>
      </c>
      <c r="J425" s="29">
        <v>0</v>
      </c>
    </row>
    <row r="426" spans="1:10" x14ac:dyDescent="0.2">
      <c r="A426" s="846" t="s">
        <v>1428</v>
      </c>
      <c r="B426" s="916" t="s">
        <v>1429</v>
      </c>
      <c r="C426" s="768">
        <v>100000</v>
      </c>
      <c r="D426" s="768">
        <f>100000-44000-12000</f>
        <v>44000</v>
      </c>
      <c r="E426" s="722">
        <v>0</v>
      </c>
      <c r="F426" s="722"/>
      <c r="G426" s="643">
        <f t="shared" si="59"/>
        <v>0</v>
      </c>
      <c r="H426" s="659">
        <f t="shared" si="60"/>
        <v>0</v>
      </c>
      <c r="I426" s="660">
        <v>0</v>
      </c>
      <c r="J426" s="29">
        <v>0</v>
      </c>
    </row>
    <row r="427" spans="1:10" x14ac:dyDescent="0.2">
      <c r="A427" s="846" t="s">
        <v>1430</v>
      </c>
      <c r="B427" s="916" t="s">
        <v>1431</v>
      </c>
      <c r="C427" s="768">
        <v>100000</v>
      </c>
      <c r="D427" s="768">
        <v>100000</v>
      </c>
      <c r="E427" s="722">
        <v>96800</v>
      </c>
      <c r="F427" s="722"/>
      <c r="G427" s="643">
        <f t="shared" si="59"/>
        <v>96.8</v>
      </c>
      <c r="H427" s="659">
        <f t="shared" si="60"/>
        <v>96.8</v>
      </c>
      <c r="I427" s="660">
        <v>0</v>
      </c>
      <c r="J427" s="29">
        <v>0</v>
      </c>
    </row>
    <row r="428" spans="1:10" x14ac:dyDescent="0.2">
      <c r="A428" s="779">
        <v>3113</v>
      </c>
      <c r="B428" s="916" t="s">
        <v>1432</v>
      </c>
      <c r="C428" s="917">
        <f>SUM(C429:C436)</f>
        <v>31955000</v>
      </c>
      <c r="D428" s="917">
        <f>SUM(D429:D436)</f>
        <v>31175000</v>
      </c>
      <c r="E428" s="899">
        <v>240972</v>
      </c>
      <c r="F428" s="899">
        <f>SUM(E429:E436)</f>
        <v>240972</v>
      </c>
      <c r="G428" s="642">
        <f t="shared" si="59"/>
        <v>0.75409795024252846</v>
      </c>
      <c r="H428" s="644">
        <f t="shared" si="60"/>
        <v>0.77296551724137941</v>
      </c>
      <c r="I428" s="645">
        <v>0</v>
      </c>
      <c r="J428" s="29">
        <v>0</v>
      </c>
    </row>
    <row r="429" spans="1:10" x14ac:dyDescent="0.2">
      <c r="A429" s="918" t="s">
        <v>1433</v>
      </c>
      <c r="B429" s="780" t="s">
        <v>1434</v>
      </c>
      <c r="C429" s="919">
        <v>500000</v>
      </c>
      <c r="D429" s="919">
        <v>500000</v>
      </c>
      <c r="E429" s="722">
        <v>0</v>
      </c>
      <c r="F429" s="722"/>
      <c r="G429" s="643">
        <f t="shared" ref="G429:G492" si="62">E429/C429*100</f>
        <v>0</v>
      </c>
      <c r="H429" s="659">
        <f t="shared" ref="H429:H492" si="63">E429/D429*100</f>
        <v>0</v>
      </c>
      <c r="I429" s="660">
        <v>0</v>
      </c>
      <c r="J429" s="29">
        <v>0</v>
      </c>
    </row>
    <row r="430" spans="1:10" x14ac:dyDescent="0.2">
      <c r="A430" s="918" t="s">
        <v>1435</v>
      </c>
      <c r="B430" s="780" t="s">
        <v>1436</v>
      </c>
      <c r="C430" s="919">
        <v>5000</v>
      </c>
      <c r="D430" s="919">
        <v>5000</v>
      </c>
      <c r="E430" s="722">
        <v>0</v>
      </c>
      <c r="F430" s="722"/>
      <c r="G430" s="643">
        <f t="shared" si="62"/>
        <v>0</v>
      </c>
      <c r="H430" s="659">
        <f t="shared" si="63"/>
        <v>0</v>
      </c>
      <c r="I430" s="660">
        <v>0</v>
      </c>
      <c r="J430" s="29">
        <v>0</v>
      </c>
    </row>
    <row r="431" spans="1:10" x14ac:dyDescent="0.2">
      <c r="A431" s="918" t="s">
        <v>1437</v>
      </c>
      <c r="B431" s="780" t="s">
        <v>1438</v>
      </c>
      <c r="C431" s="919">
        <v>30000000</v>
      </c>
      <c r="D431" s="919">
        <v>30000000</v>
      </c>
      <c r="E431" s="722">
        <v>240972</v>
      </c>
      <c r="F431" s="722"/>
      <c r="G431" s="643">
        <f t="shared" si="62"/>
        <v>0.80324000000000007</v>
      </c>
      <c r="H431" s="659">
        <f t="shared" si="63"/>
        <v>0.80324000000000007</v>
      </c>
      <c r="I431" s="660">
        <v>0</v>
      </c>
      <c r="J431" s="29">
        <v>0</v>
      </c>
    </row>
    <row r="432" spans="1:10" x14ac:dyDescent="0.2">
      <c r="A432" s="846" t="s">
        <v>1439</v>
      </c>
      <c r="B432" s="897" t="s">
        <v>1440</v>
      </c>
      <c r="C432" s="919">
        <v>150000</v>
      </c>
      <c r="D432" s="919">
        <f>150000+70000</f>
        <v>220000</v>
      </c>
      <c r="E432" s="722">
        <v>0</v>
      </c>
      <c r="F432" s="722"/>
      <c r="G432" s="643">
        <f t="shared" si="62"/>
        <v>0</v>
      </c>
      <c r="H432" s="659">
        <f t="shared" si="63"/>
        <v>0</v>
      </c>
      <c r="I432" s="660">
        <v>0</v>
      </c>
      <c r="J432" s="29">
        <v>0</v>
      </c>
    </row>
    <row r="433" spans="1:10" x14ac:dyDescent="0.2">
      <c r="A433" s="846" t="s">
        <v>1441</v>
      </c>
      <c r="B433" s="780" t="s">
        <v>1442</v>
      </c>
      <c r="C433" s="919">
        <v>200000</v>
      </c>
      <c r="D433" s="919">
        <f>200000-10000</f>
        <v>190000</v>
      </c>
      <c r="E433" s="722">
        <v>0</v>
      </c>
      <c r="F433" s="722"/>
      <c r="G433" s="643">
        <f t="shared" si="62"/>
        <v>0</v>
      </c>
      <c r="H433" s="659">
        <f t="shared" si="63"/>
        <v>0</v>
      </c>
      <c r="I433" s="660">
        <v>0</v>
      </c>
      <c r="J433" s="29">
        <v>0</v>
      </c>
    </row>
    <row r="434" spans="1:10" x14ac:dyDescent="0.2">
      <c r="A434" s="846" t="s">
        <v>1443</v>
      </c>
      <c r="B434" s="780" t="s">
        <v>1444</v>
      </c>
      <c r="C434" s="919">
        <v>100000</v>
      </c>
      <c r="D434" s="919">
        <f>100000+10000</f>
        <v>110000</v>
      </c>
      <c r="E434" s="722">
        <v>0</v>
      </c>
      <c r="F434" s="722"/>
      <c r="G434" s="643">
        <f t="shared" si="62"/>
        <v>0</v>
      </c>
      <c r="H434" s="659">
        <f t="shared" si="63"/>
        <v>0</v>
      </c>
      <c r="I434" s="660">
        <v>0</v>
      </c>
      <c r="J434" s="29">
        <v>0</v>
      </c>
    </row>
    <row r="435" spans="1:10" ht="12.75" customHeight="1" x14ac:dyDescent="0.2">
      <c r="A435" s="846" t="s">
        <v>1445</v>
      </c>
      <c r="B435" s="780" t="s">
        <v>1446</v>
      </c>
      <c r="C435" s="919">
        <v>850000</v>
      </c>
      <c r="D435" s="919">
        <f>850000-850000</f>
        <v>0</v>
      </c>
      <c r="E435" s="722">
        <v>0</v>
      </c>
      <c r="F435" s="722"/>
      <c r="G435" s="643">
        <f t="shared" si="62"/>
        <v>0</v>
      </c>
      <c r="H435" s="659">
        <v>0</v>
      </c>
      <c r="I435" s="660">
        <v>0</v>
      </c>
      <c r="J435" s="29">
        <v>0</v>
      </c>
    </row>
    <row r="436" spans="1:10" ht="12.75" customHeight="1" x14ac:dyDescent="0.2">
      <c r="A436" s="846" t="s">
        <v>1447</v>
      </c>
      <c r="B436" s="780" t="s">
        <v>1448</v>
      </c>
      <c r="C436" s="919">
        <v>150000</v>
      </c>
      <c r="D436" s="919">
        <v>150000</v>
      </c>
      <c r="E436" s="722">
        <v>0</v>
      </c>
      <c r="F436" s="722"/>
      <c r="G436" s="643">
        <f t="shared" si="62"/>
        <v>0</v>
      </c>
      <c r="H436" s="659">
        <f t="shared" si="63"/>
        <v>0</v>
      </c>
      <c r="I436" s="660">
        <v>0</v>
      </c>
      <c r="J436" s="29">
        <v>0</v>
      </c>
    </row>
    <row r="437" spans="1:10" ht="12.75" customHeight="1" x14ac:dyDescent="0.2">
      <c r="A437" s="779">
        <v>3233</v>
      </c>
      <c r="B437" s="920" t="s">
        <v>1449</v>
      </c>
      <c r="C437" s="921">
        <f>SUM(C438)</f>
        <v>300000</v>
      </c>
      <c r="D437" s="921">
        <f>SUM(D438)</f>
        <v>300000</v>
      </c>
      <c r="E437" s="899">
        <v>0</v>
      </c>
      <c r="F437" s="722">
        <f>SUM(E438)</f>
        <v>0</v>
      </c>
      <c r="G437" s="643">
        <f t="shared" si="62"/>
        <v>0</v>
      </c>
      <c r="H437" s="659">
        <f t="shared" si="63"/>
        <v>0</v>
      </c>
      <c r="I437" s="660">
        <v>0</v>
      </c>
      <c r="J437" s="29">
        <v>0</v>
      </c>
    </row>
    <row r="438" spans="1:10" x14ac:dyDescent="0.2">
      <c r="A438" s="846" t="s">
        <v>1450</v>
      </c>
      <c r="B438" s="780" t="s">
        <v>1451</v>
      </c>
      <c r="C438" s="768">
        <v>300000</v>
      </c>
      <c r="D438" s="768">
        <v>300000</v>
      </c>
      <c r="E438" s="722">
        <v>0</v>
      </c>
      <c r="F438" s="722"/>
      <c r="G438" s="643">
        <f t="shared" si="62"/>
        <v>0</v>
      </c>
      <c r="H438" s="659">
        <f t="shared" si="63"/>
        <v>0</v>
      </c>
      <c r="I438" s="660">
        <v>0</v>
      </c>
      <c r="J438" s="29">
        <v>0</v>
      </c>
    </row>
    <row r="439" spans="1:10" x14ac:dyDescent="0.2">
      <c r="A439" s="779">
        <v>3412</v>
      </c>
      <c r="B439" s="920" t="s">
        <v>1265</v>
      </c>
      <c r="C439" s="917">
        <f t="shared" ref="C439:D439" si="64">SUM(C440:C441)</f>
        <v>30003000</v>
      </c>
      <c r="D439" s="921">
        <f t="shared" si="64"/>
        <v>23303000</v>
      </c>
      <c r="E439" s="899">
        <v>683747.86</v>
      </c>
      <c r="F439" s="899">
        <f>SUM(E440:E441)</f>
        <v>683747.86</v>
      </c>
      <c r="G439" s="642">
        <f t="shared" si="62"/>
        <v>2.2789316401693167</v>
      </c>
      <c r="H439" s="644">
        <f t="shared" si="63"/>
        <v>2.9341623825258552</v>
      </c>
      <c r="I439" s="645">
        <v>0</v>
      </c>
      <c r="J439" s="29">
        <v>0</v>
      </c>
    </row>
    <row r="440" spans="1:10" x14ac:dyDescent="0.2">
      <c r="A440" s="918" t="s">
        <v>1452</v>
      </c>
      <c r="B440" s="780" t="s">
        <v>1453</v>
      </c>
      <c r="C440" s="768">
        <v>3000</v>
      </c>
      <c r="D440" s="768">
        <f>3000+40000+4000</f>
        <v>47000</v>
      </c>
      <c r="E440" s="722">
        <v>46438</v>
      </c>
      <c r="F440" s="722"/>
      <c r="G440" s="643">
        <f t="shared" si="62"/>
        <v>1547.9333333333334</v>
      </c>
      <c r="H440" s="659">
        <f t="shared" si="63"/>
        <v>98.804255319148936</v>
      </c>
      <c r="I440" s="660">
        <v>0</v>
      </c>
      <c r="J440" s="29">
        <v>0</v>
      </c>
    </row>
    <row r="441" spans="1:10" x14ac:dyDescent="0.2">
      <c r="A441" s="918" t="s">
        <v>1454</v>
      </c>
      <c r="B441" s="780" t="s">
        <v>1455</v>
      </c>
      <c r="C441" s="768">
        <v>30000000</v>
      </c>
      <c r="D441" s="768">
        <f>30000000-40000-4000-5700000-1000000</f>
        <v>23256000</v>
      </c>
      <c r="E441" s="722">
        <v>637309.86</v>
      </c>
      <c r="F441" s="722"/>
      <c r="G441" s="643">
        <f t="shared" si="62"/>
        <v>2.1243661999999999</v>
      </c>
      <c r="H441" s="659">
        <f t="shared" si="63"/>
        <v>2.7404104747162021</v>
      </c>
      <c r="I441" s="660">
        <v>0</v>
      </c>
      <c r="J441" s="29">
        <v>0</v>
      </c>
    </row>
    <row r="442" spans="1:10" ht="15.75" x14ac:dyDescent="0.25">
      <c r="A442" s="922"/>
      <c r="B442" s="923" t="s">
        <v>523</v>
      </c>
      <c r="C442" s="924">
        <f>SUM(C443:C444,C447)</f>
        <v>7530000</v>
      </c>
      <c r="D442" s="924">
        <f>SUM(D443:D444,D447)</f>
        <v>7130000</v>
      </c>
      <c r="E442" s="891">
        <v>1034228.35</v>
      </c>
      <c r="F442" s="892">
        <f>SUM(E443:E444,E447)</f>
        <v>1034228.3500000001</v>
      </c>
      <c r="G442" s="788">
        <f t="shared" si="62"/>
        <v>13.734772244355909</v>
      </c>
      <c r="H442" s="788">
        <f t="shared" si="63"/>
        <v>14.505306451612904</v>
      </c>
      <c r="I442" s="826">
        <f t="shared" si="61"/>
        <v>27.859401179260274</v>
      </c>
      <c r="J442" s="29">
        <v>3712313.64</v>
      </c>
    </row>
    <row r="443" spans="1:10" x14ac:dyDescent="0.2">
      <c r="A443" s="925">
        <v>2219</v>
      </c>
      <c r="B443" s="926" t="s">
        <v>1456</v>
      </c>
      <c r="C443" s="927">
        <v>0</v>
      </c>
      <c r="D443" s="927">
        <f>1000000+100000</f>
        <v>1100000</v>
      </c>
      <c r="E443" s="735">
        <v>324739.19</v>
      </c>
      <c r="F443" s="896"/>
      <c r="G443" s="642">
        <v>0</v>
      </c>
      <c r="H443" s="644">
        <f t="shared" si="63"/>
        <v>29.521744545454549</v>
      </c>
      <c r="I443" s="928">
        <v>0</v>
      </c>
      <c r="J443" s="29">
        <v>0</v>
      </c>
    </row>
    <row r="444" spans="1:10" x14ac:dyDescent="0.2">
      <c r="A444" s="779">
        <v>3613</v>
      </c>
      <c r="B444" s="920" t="s">
        <v>1457</v>
      </c>
      <c r="C444" s="899">
        <f t="shared" ref="C444:D444" si="65">SUM(C445:C446)</f>
        <v>2000000</v>
      </c>
      <c r="D444" s="899">
        <f t="shared" si="65"/>
        <v>2000000</v>
      </c>
      <c r="E444" s="899">
        <v>53094</v>
      </c>
      <c r="F444" s="900">
        <f>SUM(E445:E446)</f>
        <v>53094</v>
      </c>
      <c r="G444" s="642">
        <f t="shared" si="62"/>
        <v>2.6547000000000001</v>
      </c>
      <c r="H444" s="644">
        <f t="shared" si="63"/>
        <v>2.6547000000000001</v>
      </c>
      <c r="I444" s="929">
        <v>0</v>
      </c>
      <c r="J444" s="29">
        <v>145200</v>
      </c>
    </row>
    <row r="445" spans="1:10" x14ac:dyDescent="0.2">
      <c r="A445" s="846" t="s">
        <v>1458</v>
      </c>
      <c r="B445" s="930" t="s">
        <v>1459</v>
      </c>
      <c r="C445" s="722">
        <v>0</v>
      </c>
      <c r="D445" s="722">
        <f>200000</f>
        <v>200000</v>
      </c>
      <c r="E445" s="722">
        <v>13310</v>
      </c>
      <c r="F445" s="722"/>
      <c r="G445" s="643">
        <v>0</v>
      </c>
      <c r="H445" s="659">
        <f t="shared" si="63"/>
        <v>6.6549999999999994</v>
      </c>
      <c r="I445" s="664">
        <v>0</v>
      </c>
      <c r="J445" s="29">
        <v>0</v>
      </c>
    </row>
    <row r="446" spans="1:10" ht="25.5" x14ac:dyDescent="0.2">
      <c r="A446" s="846" t="s">
        <v>525</v>
      </c>
      <c r="B446" s="930" t="s">
        <v>1460</v>
      </c>
      <c r="C446" s="722">
        <v>2000000</v>
      </c>
      <c r="D446" s="722">
        <f>2000000-200000</f>
        <v>1800000</v>
      </c>
      <c r="E446" s="722">
        <v>39784</v>
      </c>
      <c r="F446" s="722"/>
      <c r="G446" s="643">
        <f t="shared" si="62"/>
        <v>1.9892000000000001</v>
      </c>
      <c r="H446" s="659">
        <f t="shared" si="63"/>
        <v>2.2102222222222223</v>
      </c>
      <c r="I446" s="664">
        <f t="shared" si="61"/>
        <v>27.399449035812673</v>
      </c>
      <c r="J446" s="654">
        <v>145200</v>
      </c>
    </row>
    <row r="447" spans="1:10" x14ac:dyDescent="0.2">
      <c r="A447" s="769">
        <v>3639</v>
      </c>
      <c r="B447" s="898" t="s">
        <v>1461</v>
      </c>
      <c r="C447" s="899">
        <f>SUM(C448:C452)</f>
        <v>5530000</v>
      </c>
      <c r="D447" s="899">
        <f>SUM(D448:D452)</f>
        <v>4030000</v>
      </c>
      <c r="E447" s="899">
        <v>656395.16</v>
      </c>
      <c r="F447" s="899">
        <f>SUM(E448:E452)</f>
        <v>656395.16</v>
      </c>
      <c r="G447" s="642">
        <f t="shared" si="62"/>
        <v>11.86971356238698</v>
      </c>
      <c r="H447" s="644">
        <f t="shared" si="63"/>
        <v>16.287721091811417</v>
      </c>
      <c r="I447" s="651">
        <f t="shared" si="61"/>
        <v>25.569384610491962</v>
      </c>
      <c r="J447" s="29">
        <v>2567113.64</v>
      </c>
    </row>
    <row r="448" spans="1:10" x14ac:dyDescent="0.2">
      <c r="A448" s="846" t="s">
        <v>530</v>
      </c>
      <c r="B448" s="847" t="s">
        <v>1462</v>
      </c>
      <c r="C448" s="722">
        <v>40000</v>
      </c>
      <c r="D448" s="722">
        <v>40000</v>
      </c>
      <c r="E448" s="722">
        <v>19364.810000000001</v>
      </c>
      <c r="F448" s="722"/>
      <c r="G448" s="643">
        <f t="shared" si="62"/>
        <v>48.412025</v>
      </c>
      <c r="H448" s="659">
        <f t="shared" si="63"/>
        <v>48.412025</v>
      </c>
      <c r="I448" s="664">
        <f t="shared" si="61"/>
        <v>122.33244428496886</v>
      </c>
      <c r="J448" s="29">
        <v>15829.66</v>
      </c>
    </row>
    <row r="449" spans="1:10" x14ac:dyDescent="0.2">
      <c r="A449" s="846" t="s">
        <v>534</v>
      </c>
      <c r="B449" s="847" t="s">
        <v>1463</v>
      </c>
      <c r="C449" s="722">
        <v>515000</v>
      </c>
      <c r="D449" s="722">
        <f>515000</f>
        <v>515000</v>
      </c>
      <c r="E449" s="722">
        <v>165210.5</v>
      </c>
      <c r="F449" s="722"/>
      <c r="G449" s="643">
        <f t="shared" si="62"/>
        <v>32.079708737864074</v>
      </c>
      <c r="H449" s="659">
        <f t="shared" si="63"/>
        <v>32.079708737864074</v>
      </c>
      <c r="I449" s="664">
        <f t="shared" si="61"/>
        <v>68.828015054546483</v>
      </c>
      <c r="J449" s="29">
        <v>240033.8</v>
      </c>
    </row>
    <row r="450" spans="1:10" ht="25.5" x14ac:dyDescent="0.2">
      <c r="A450" s="846" t="s">
        <v>536</v>
      </c>
      <c r="B450" s="930" t="s">
        <v>1464</v>
      </c>
      <c r="C450" s="722">
        <v>4950000</v>
      </c>
      <c r="D450" s="722">
        <f>4950000-400000+(-1000000-100000)-59290</f>
        <v>3390710</v>
      </c>
      <c r="E450" s="722">
        <v>460342.5</v>
      </c>
      <c r="F450" s="722"/>
      <c r="G450" s="643">
        <f t="shared" si="62"/>
        <v>9.2998484848484839</v>
      </c>
      <c r="H450" s="659">
        <f t="shared" si="63"/>
        <v>13.576581305980163</v>
      </c>
      <c r="I450" s="664">
        <f t="shared" si="61"/>
        <v>83.819171380050747</v>
      </c>
      <c r="J450" s="654">
        <v>549209.07999999996</v>
      </c>
    </row>
    <row r="451" spans="1:10" x14ac:dyDescent="0.2">
      <c r="A451" s="846" t="s">
        <v>1465</v>
      </c>
      <c r="B451" s="930" t="s">
        <v>1466</v>
      </c>
      <c r="C451" s="722">
        <v>0</v>
      </c>
      <c r="D451" s="722">
        <f>(41503+17787)</f>
        <v>59290</v>
      </c>
      <c r="E451" s="722">
        <v>0</v>
      </c>
      <c r="F451" s="722"/>
      <c r="G451" s="643">
        <v>0</v>
      </c>
      <c r="H451" s="659">
        <f t="shared" si="63"/>
        <v>0</v>
      </c>
      <c r="I451" s="664">
        <v>0</v>
      </c>
      <c r="J451" s="29">
        <v>0</v>
      </c>
    </row>
    <row r="452" spans="1:10" x14ac:dyDescent="0.2">
      <c r="A452" s="846" t="s">
        <v>538</v>
      </c>
      <c r="B452" s="906" t="s">
        <v>1467</v>
      </c>
      <c r="C452" s="722">
        <v>25000</v>
      </c>
      <c r="D452" s="722">
        <v>25000</v>
      </c>
      <c r="E452" s="722">
        <v>11477.35</v>
      </c>
      <c r="F452" s="722"/>
      <c r="G452" s="643">
        <f t="shared" si="62"/>
        <v>45.909399999999998</v>
      </c>
      <c r="H452" s="659">
        <f t="shared" si="63"/>
        <v>45.909399999999998</v>
      </c>
      <c r="I452" s="664">
        <f t="shared" si="61"/>
        <v>95.318118776523747</v>
      </c>
      <c r="J452" s="29">
        <v>12041.1</v>
      </c>
    </row>
    <row r="453" spans="1:10" ht="15.75" x14ac:dyDescent="0.25">
      <c r="A453" s="931"/>
      <c r="B453" s="932" t="s">
        <v>1468</v>
      </c>
      <c r="C453" s="891">
        <f>SUM(C454,C458,C460)</f>
        <v>3805000</v>
      </c>
      <c r="D453" s="891">
        <f>SUM(D454,D458,D460)</f>
        <v>3965000</v>
      </c>
      <c r="E453" s="891">
        <v>1923355.45</v>
      </c>
      <c r="F453" s="933">
        <f>SUM(E454,E458,E460)</f>
        <v>1923355.45</v>
      </c>
      <c r="G453" s="788">
        <f t="shared" si="62"/>
        <v>50.548106438896191</v>
      </c>
      <c r="H453" s="788">
        <f t="shared" si="63"/>
        <v>48.5083341740227</v>
      </c>
      <c r="I453" s="826">
        <f t="shared" si="61"/>
        <v>689.22431908048156</v>
      </c>
      <c r="J453" s="29">
        <v>279060.88</v>
      </c>
    </row>
    <row r="454" spans="1:10" x14ac:dyDescent="0.2">
      <c r="A454" s="893">
        <v>3311</v>
      </c>
      <c r="B454" s="894" t="s">
        <v>1469</v>
      </c>
      <c r="C454" s="895">
        <f t="shared" ref="C454:D454" si="66">SUM(C455:C457)</f>
        <v>800000</v>
      </c>
      <c r="D454" s="895">
        <f t="shared" si="66"/>
        <v>800000</v>
      </c>
      <c r="E454" s="895">
        <v>19000</v>
      </c>
      <c r="F454" s="905">
        <f>SUM(E461)</f>
        <v>486420</v>
      </c>
      <c r="G454" s="642">
        <f t="shared" si="62"/>
        <v>2.375</v>
      </c>
      <c r="H454" s="644">
        <f t="shared" si="63"/>
        <v>2.375</v>
      </c>
      <c r="I454" s="645">
        <v>0</v>
      </c>
      <c r="J454" s="29">
        <v>0</v>
      </c>
    </row>
    <row r="455" spans="1:10" x14ac:dyDescent="0.2">
      <c r="A455" s="918" t="s">
        <v>1470</v>
      </c>
      <c r="B455" s="780" t="s">
        <v>1471</v>
      </c>
      <c r="C455" s="768">
        <v>250000</v>
      </c>
      <c r="D455" s="768">
        <v>250000</v>
      </c>
      <c r="E455" s="722">
        <v>19000</v>
      </c>
      <c r="F455" s="722"/>
      <c r="G455" s="643">
        <f t="shared" si="62"/>
        <v>7.6</v>
      </c>
      <c r="H455" s="659">
        <f t="shared" si="63"/>
        <v>7.6</v>
      </c>
      <c r="I455" s="660">
        <v>0</v>
      </c>
      <c r="J455" s="29">
        <v>0</v>
      </c>
    </row>
    <row r="456" spans="1:10" x14ac:dyDescent="0.2">
      <c r="A456" s="918" t="s">
        <v>1472</v>
      </c>
      <c r="B456" s="780" t="s">
        <v>1473</v>
      </c>
      <c r="C456" s="768">
        <v>250000</v>
      </c>
      <c r="D456" s="768">
        <v>250000</v>
      </c>
      <c r="E456" s="722">
        <v>0</v>
      </c>
      <c r="F456" s="722">
        <f>SUM(E457:E461)</f>
        <v>3598785.9</v>
      </c>
      <c r="G456" s="643">
        <f t="shared" si="62"/>
        <v>0</v>
      </c>
      <c r="H456" s="659">
        <f t="shared" si="63"/>
        <v>0</v>
      </c>
      <c r="I456" s="660">
        <v>0</v>
      </c>
      <c r="J456" s="29">
        <v>0</v>
      </c>
    </row>
    <row r="457" spans="1:10" x14ac:dyDescent="0.2">
      <c r="A457" s="846" t="s">
        <v>1474</v>
      </c>
      <c r="B457" s="780" t="s">
        <v>1475</v>
      </c>
      <c r="C457" s="768">
        <v>300000</v>
      </c>
      <c r="D457" s="768">
        <v>300000</v>
      </c>
      <c r="E457" s="722">
        <v>0</v>
      </c>
      <c r="F457" s="722"/>
      <c r="G457" s="643">
        <f t="shared" si="62"/>
        <v>0</v>
      </c>
      <c r="H457" s="659">
        <f t="shared" si="63"/>
        <v>0</v>
      </c>
      <c r="I457" s="660">
        <v>0</v>
      </c>
      <c r="J457" s="29">
        <v>0</v>
      </c>
    </row>
    <row r="458" spans="1:10" x14ac:dyDescent="0.2">
      <c r="A458" s="779">
        <v>3326</v>
      </c>
      <c r="B458" s="920" t="s">
        <v>1476</v>
      </c>
      <c r="C458" s="921">
        <f>SUM(C459)</f>
        <v>1600000</v>
      </c>
      <c r="D458" s="921">
        <f>SUM(D459)</f>
        <v>1600000</v>
      </c>
      <c r="E458" s="934">
        <v>1208010.45</v>
      </c>
      <c r="F458" s="902"/>
      <c r="G458" s="642">
        <f t="shared" si="62"/>
        <v>75.500653124999999</v>
      </c>
      <c r="H458" s="644">
        <f t="shared" si="63"/>
        <v>75.500653124999999</v>
      </c>
      <c r="I458" s="645">
        <v>0</v>
      </c>
      <c r="J458" s="29">
        <v>0</v>
      </c>
    </row>
    <row r="459" spans="1:10" x14ac:dyDescent="0.2">
      <c r="A459" s="846" t="s">
        <v>1477</v>
      </c>
      <c r="B459" s="780" t="s">
        <v>1478</v>
      </c>
      <c r="C459" s="768">
        <v>1600000</v>
      </c>
      <c r="D459" s="768">
        <v>1600000</v>
      </c>
      <c r="E459" s="722">
        <v>1208010.45</v>
      </c>
      <c r="F459" s="722"/>
      <c r="G459" s="643">
        <f t="shared" si="62"/>
        <v>75.500653124999999</v>
      </c>
      <c r="H459" s="659">
        <f t="shared" si="63"/>
        <v>75.500653124999999</v>
      </c>
      <c r="I459" s="660">
        <v>0</v>
      </c>
      <c r="J459" s="29">
        <v>0</v>
      </c>
    </row>
    <row r="460" spans="1:10" x14ac:dyDescent="0.2">
      <c r="A460" s="779">
        <v>3392</v>
      </c>
      <c r="B460" s="920" t="s">
        <v>1479</v>
      </c>
      <c r="C460" s="921">
        <f>SUM(C461:C464)</f>
        <v>1405000</v>
      </c>
      <c r="D460" s="921">
        <f>SUM(D461:D464)</f>
        <v>1565000</v>
      </c>
      <c r="E460" s="934">
        <v>696345</v>
      </c>
      <c r="F460" s="902">
        <f>SUM(E461:E464)</f>
        <v>696345</v>
      </c>
      <c r="G460" s="642">
        <f t="shared" si="62"/>
        <v>49.561921708185054</v>
      </c>
      <c r="H460" s="644">
        <f t="shared" si="63"/>
        <v>44.49488817891374</v>
      </c>
      <c r="I460" s="651">
        <f t="shared" ref="I460:I510" si="67">E460/J460*100</f>
        <v>252.26611844808002</v>
      </c>
      <c r="J460" s="29">
        <v>276035.88</v>
      </c>
    </row>
    <row r="461" spans="1:10" x14ac:dyDescent="0.2">
      <c r="A461" s="918" t="s">
        <v>1480</v>
      </c>
      <c r="B461" s="780" t="s">
        <v>1481</v>
      </c>
      <c r="C461" s="768">
        <v>750000</v>
      </c>
      <c r="D461" s="768">
        <f>750000-6000</f>
        <v>744000</v>
      </c>
      <c r="E461" s="722">
        <v>486420</v>
      </c>
      <c r="F461" s="722"/>
      <c r="G461" s="643">
        <f t="shared" si="62"/>
        <v>64.856000000000009</v>
      </c>
      <c r="H461" s="659">
        <f t="shared" si="63"/>
        <v>65.379032258064512</v>
      </c>
      <c r="I461" s="660">
        <v>0</v>
      </c>
      <c r="J461" s="29">
        <v>0</v>
      </c>
    </row>
    <row r="462" spans="1:10" x14ac:dyDescent="0.2">
      <c r="A462" s="918" t="s">
        <v>1482</v>
      </c>
      <c r="B462" s="780" t="s">
        <v>1483</v>
      </c>
      <c r="C462" s="768">
        <v>5000</v>
      </c>
      <c r="D462" s="768">
        <v>5000</v>
      </c>
      <c r="E462" s="722">
        <v>0</v>
      </c>
      <c r="F462" s="722"/>
      <c r="G462" s="643">
        <f t="shared" si="62"/>
        <v>0</v>
      </c>
      <c r="H462" s="659">
        <f t="shared" si="63"/>
        <v>0</v>
      </c>
      <c r="I462" s="660">
        <v>0</v>
      </c>
      <c r="J462" s="29">
        <v>0</v>
      </c>
    </row>
    <row r="463" spans="1:10" x14ac:dyDescent="0.2">
      <c r="A463" s="846" t="s">
        <v>1484</v>
      </c>
      <c r="B463" s="780" t="s">
        <v>1485</v>
      </c>
      <c r="C463" s="768">
        <v>150000</v>
      </c>
      <c r="D463" s="768">
        <f>150000+6000</f>
        <v>156000</v>
      </c>
      <c r="E463" s="902">
        <v>140000</v>
      </c>
      <c r="F463" s="902"/>
      <c r="G463" s="643">
        <f t="shared" si="62"/>
        <v>93.333333333333329</v>
      </c>
      <c r="H463" s="659">
        <f t="shared" si="63"/>
        <v>89.743589743589752</v>
      </c>
      <c r="I463" s="660">
        <v>0</v>
      </c>
      <c r="J463" s="29">
        <v>0</v>
      </c>
    </row>
    <row r="464" spans="1:10" x14ac:dyDescent="0.2">
      <c r="A464" s="935" t="s">
        <v>1486</v>
      </c>
      <c r="B464" s="936" t="s">
        <v>1487</v>
      </c>
      <c r="C464" s="937">
        <v>500000</v>
      </c>
      <c r="D464" s="937">
        <f>500000+160000</f>
        <v>660000</v>
      </c>
      <c r="E464" s="902">
        <v>69925</v>
      </c>
      <c r="F464" s="902"/>
      <c r="G464" s="643">
        <f t="shared" si="62"/>
        <v>13.984999999999999</v>
      </c>
      <c r="H464" s="659">
        <f t="shared" si="63"/>
        <v>10.594696969696969</v>
      </c>
      <c r="I464" s="660">
        <v>0</v>
      </c>
      <c r="J464" s="29">
        <v>0</v>
      </c>
    </row>
    <row r="465" spans="1:248" ht="15.75" x14ac:dyDescent="0.25">
      <c r="A465" s="938"/>
      <c r="B465" s="939" t="s">
        <v>1488</v>
      </c>
      <c r="C465" s="924">
        <f t="shared" ref="C465:D465" si="68">SUM(C466)</f>
        <v>8650000</v>
      </c>
      <c r="D465" s="924">
        <f t="shared" si="68"/>
        <v>13150000</v>
      </c>
      <c r="E465" s="891">
        <v>362220</v>
      </c>
      <c r="F465" s="940"/>
      <c r="G465" s="788">
        <f t="shared" si="62"/>
        <v>4.1875144508670514</v>
      </c>
      <c r="H465" s="788">
        <f t="shared" si="63"/>
        <v>2.7545247148288974</v>
      </c>
      <c r="I465" s="826">
        <v>0</v>
      </c>
      <c r="J465" s="29">
        <v>0</v>
      </c>
    </row>
    <row r="466" spans="1:248" x14ac:dyDescent="0.2">
      <c r="A466" s="941">
        <v>6171</v>
      </c>
      <c r="B466" s="942" t="s">
        <v>1489</v>
      </c>
      <c r="C466" s="943">
        <f>SUM(C467:C469)</f>
        <v>8650000</v>
      </c>
      <c r="D466" s="943">
        <f>SUM(D467:D469)</f>
        <v>13150000</v>
      </c>
      <c r="E466" s="895">
        <v>362220</v>
      </c>
      <c r="F466" s="905">
        <f>SUM(E467:E469)</f>
        <v>362220</v>
      </c>
      <c r="G466" s="642">
        <f t="shared" si="62"/>
        <v>4.1875144508670514</v>
      </c>
      <c r="H466" s="644">
        <f t="shared" si="63"/>
        <v>2.7545247148288974</v>
      </c>
      <c r="I466" s="645">
        <v>0</v>
      </c>
      <c r="J466" s="29">
        <v>0</v>
      </c>
    </row>
    <row r="467" spans="1:248" x14ac:dyDescent="0.2">
      <c r="A467" s="846" t="s">
        <v>1490</v>
      </c>
      <c r="B467" s="897" t="s">
        <v>1491</v>
      </c>
      <c r="C467" s="722">
        <v>0</v>
      </c>
      <c r="D467" s="722">
        <v>150470</v>
      </c>
      <c r="E467" s="722">
        <v>150470</v>
      </c>
      <c r="F467" s="722"/>
      <c r="G467" s="643">
        <v>0</v>
      </c>
      <c r="H467" s="659">
        <f t="shared" si="63"/>
        <v>100</v>
      </c>
      <c r="I467" s="660">
        <v>0</v>
      </c>
      <c r="J467" s="29">
        <v>0</v>
      </c>
    </row>
    <row r="468" spans="1:248" x14ac:dyDescent="0.2">
      <c r="A468" s="846" t="s">
        <v>1492</v>
      </c>
      <c r="B468" s="897" t="s">
        <v>1493</v>
      </c>
      <c r="C468" s="722">
        <v>8300000</v>
      </c>
      <c r="D468" s="722">
        <f>8300000-20000-150470+4500000</f>
        <v>12629530</v>
      </c>
      <c r="E468" s="722">
        <v>139150</v>
      </c>
      <c r="F468" s="722"/>
      <c r="G468" s="643">
        <f t="shared" si="62"/>
        <v>1.6765060240963854</v>
      </c>
      <c r="H468" s="659">
        <f t="shared" si="63"/>
        <v>1.1017828850321429</v>
      </c>
      <c r="I468" s="660">
        <v>0</v>
      </c>
      <c r="J468" s="29">
        <v>0</v>
      </c>
    </row>
    <row r="469" spans="1:248" x14ac:dyDescent="0.2">
      <c r="A469" s="876" t="s">
        <v>1494</v>
      </c>
      <c r="B469" s="901" t="s">
        <v>1495</v>
      </c>
      <c r="C469" s="725">
        <v>350000</v>
      </c>
      <c r="D469" s="725">
        <f>350000+20000</f>
        <v>370000</v>
      </c>
      <c r="E469" s="725">
        <v>72600</v>
      </c>
      <c r="F469" s="725"/>
      <c r="G469" s="643">
        <f t="shared" si="62"/>
        <v>20.742857142857144</v>
      </c>
      <c r="H469" s="659">
        <f t="shared" si="63"/>
        <v>19.621621621621621</v>
      </c>
      <c r="I469" s="660">
        <v>0</v>
      </c>
      <c r="J469" s="29">
        <v>0</v>
      </c>
    </row>
    <row r="470" spans="1:248" s="944" customFormat="1" ht="15.75" x14ac:dyDescent="0.25">
      <c r="A470" s="931"/>
      <c r="B470" s="945" t="s">
        <v>1496</v>
      </c>
      <c r="C470" s="891">
        <f>SUM(C471,C473,C475,C477,C480)</f>
        <v>5955000</v>
      </c>
      <c r="D470" s="891">
        <f>SUM(D471,D473,D475,D477,D480)</f>
        <v>5885000</v>
      </c>
      <c r="E470" s="891">
        <v>312080</v>
      </c>
      <c r="F470" s="933">
        <f>SUM(E471,E473,E475,E477,E480)</f>
        <v>312080</v>
      </c>
      <c r="G470" s="788">
        <f t="shared" si="62"/>
        <v>5.2406381192275395</v>
      </c>
      <c r="H470" s="788">
        <f t="shared" si="63"/>
        <v>5.3029736618521666</v>
      </c>
      <c r="I470" s="826">
        <v>0</v>
      </c>
      <c r="J470" s="29">
        <v>0</v>
      </c>
      <c r="K470" s="1"/>
      <c r="L470" s="1"/>
      <c r="M470" s="1"/>
      <c r="N470" s="1"/>
      <c r="O470" s="1"/>
      <c r="P470" s="1"/>
      <c r="Q470" s="1"/>
      <c r="R470" s="1"/>
      <c r="S470" s="1"/>
      <c r="T470" s="1"/>
      <c r="U470" s="1"/>
      <c r="V470" s="1"/>
      <c r="W470" s="1"/>
      <c r="X470" s="1"/>
      <c r="Y470" s="1"/>
      <c r="Z470" s="1"/>
      <c r="AA470" s="1"/>
      <c r="AB470" s="1"/>
      <c r="AC470" s="1"/>
      <c r="AD470" s="1"/>
      <c r="AE470" s="1"/>
      <c r="AF470" s="1"/>
      <c r="A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row>
    <row r="471" spans="1:248" s="946" customFormat="1" x14ac:dyDescent="0.2">
      <c r="A471" s="678">
        <v>3745</v>
      </c>
      <c r="B471" s="893" t="s">
        <v>1497</v>
      </c>
      <c r="C471" s="895">
        <f>SUM(C472:C472)</f>
        <v>5000</v>
      </c>
      <c r="D471" s="895">
        <f>SUM(D472:D472)</f>
        <v>5000</v>
      </c>
      <c r="E471" s="895">
        <v>0</v>
      </c>
      <c r="F471" s="905"/>
      <c r="G471" s="642">
        <f t="shared" si="62"/>
        <v>0</v>
      </c>
      <c r="H471" s="644">
        <f t="shared" si="63"/>
        <v>0</v>
      </c>
      <c r="I471" s="645">
        <v>0</v>
      </c>
      <c r="J471" s="29">
        <v>0</v>
      </c>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row>
    <row r="472" spans="1:248" s="944" customFormat="1" x14ac:dyDescent="0.2">
      <c r="A472" s="947" t="s">
        <v>1498</v>
      </c>
      <c r="B472" s="948" t="s">
        <v>1499</v>
      </c>
      <c r="C472" s="837">
        <v>5000</v>
      </c>
      <c r="D472" s="837">
        <v>5000</v>
      </c>
      <c r="E472" s="722">
        <v>0</v>
      </c>
      <c r="F472" s="722"/>
      <c r="G472" s="643">
        <f t="shared" si="62"/>
        <v>0</v>
      </c>
      <c r="H472" s="659">
        <f t="shared" si="63"/>
        <v>0</v>
      </c>
      <c r="I472" s="660">
        <v>0</v>
      </c>
      <c r="J472" s="29">
        <v>0</v>
      </c>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row>
    <row r="473" spans="1:248" s="98" customFormat="1" x14ac:dyDescent="0.2">
      <c r="A473" s="683">
        <v>2321</v>
      </c>
      <c r="B473" s="949" t="s">
        <v>1215</v>
      </c>
      <c r="C473" s="950">
        <f t="shared" ref="C473:D475" si="69">SUM(C474:C474)</f>
        <v>250000</v>
      </c>
      <c r="D473" s="950">
        <f t="shared" si="69"/>
        <v>250000</v>
      </c>
      <c r="E473" s="899">
        <v>0</v>
      </c>
      <c r="F473" s="722"/>
      <c r="G473" s="643">
        <f t="shared" si="62"/>
        <v>0</v>
      </c>
      <c r="H473" s="659">
        <f t="shared" si="63"/>
        <v>0</v>
      </c>
      <c r="I473" s="660">
        <v>0</v>
      </c>
      <c r="J473" s="29">
        <v>0</v>
      </c>
    </row>
    <row r="474" spans="1:248" s="951" customFormat="1" x14ac:dyDescent="0.2">
      <c r="A474" s="952" t="s">
        <v>1500</v>
      </c>
      <c r="B474" s="874" t="s">
        <v>1501</v>
      </c>
      <c r="C474" s="902">
        <v>250000</v>
      </c>
      <c r="D474" s="902">
        <v>250000</v>
      </c>
      <c r="E474" s="722">
        <v>0</v>
      </c>
      <c r="F474" s="722"/>
      <c r="G474" s="643">
        <f t="shared" si="62"/>
        <v>0</v>
      </c>
      <c r="H474" s="659">
        <f t="shared" si="63"/>
        <v>0</v>
      </c>
      <c r="I474" s="660">
        <v>0</v>
      </c>
      <c r="J474" s="29">
        <v>0</v>
      </c>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row>
    <row r="475" spans="1:248" ht="13.5" customHeight="1" x14ac:dyDescent="0.2">
      <c r="A475" s="953">
        <v>3612</v>
      </c>
      <c r="B475" s="954" t="s">
        <v>1502</v>
      </c>
      <c r="C475" s="955">
        <f t="shared" si="69"/>
        <v>400000</v>
      </c>
      <c r="D475" s="955">
        <f t="shared" si="69"/>
        <v>400000</v>
      </c>
      <c r="E475" s="899">
        <v>12000</v>
      </c>
      <c r="F475" s="900">
        <f>SUM(E476:E477)</f>
        <v>12000</v>
      </c>
      <c r="G475" s="642">
        <f t="shared" si="62"/>
        <v>3</v>
      </c>
      <c r="H475" s="644">
        <f t="shared" si="63"/>
        <v>3</v>
      </c>
      <c r="I475" s="645">
        <v>0</v>
      </c>
      <c r="J475" s="29">
        <v>0</v>
      </c>
    </row>
    <row r="476" spans="1:248" x14ac:dyDescent="0.2">
      <c r="A476" s="846"/>
      <c r="B476" s="874" t="s">
        <v>1503</v>
      </c>
      <c r="C476" s="837">
        <v>400000</v>
      </c>
      <c r="D476" s="837">
        <v>400000</v>
      </c>
      <c r="E476" s="722">
        <v>12000</v>
      </c>
      <c r="F476" s="722"/>
      <c r="G476" s="643">
        <f t="shared" si="62"/>
        <v>3</v>
      </c>
      <c r="H476" s="659">
        <f t="shared" si="63"/>
        <v>3</v>
      </c>
      <c r="I476" s="660">
        <v>0</v>
      </c>
      <c r="J476" s="29">
        <v>0</v>
      </c>
    </row>
    <row r="477" spans="1:248" x14ac:dyDescent="0.2">
      <c r="A477" s="956">
        <v>3613</v>
      </c>
      <c r="B477" s="957" t="s">
        <v>1277</v>
      </c>
      <c r="C477" s="934">
        <f t="shared" ref="C477:D477" si="70">SUM(C478:C479)</f>
        <v>700000</v>
      </c>
      <c r="D477" s="934">
        <f t="shared" si="70"/>
        <v>630000</v>
      </c>
      <c r="E477" s="899">
        <v>0</v>
      </c>
      <c r="F477" s="722"/>
      <c r="G477" s="643">
        <f t="shared" si="62"/>
        <v>0</v>
      </c>
      <c r="H477" s="659">
        <f t="shared" si="63"/>
        <v>0</v>
      </c>
      <c r="I477" s="660">
        <v>0</v>
      </c>
      <c r="J477" s="29">
        <v>0</v>
      </c>
    </row>
    <row r="478" spans="1:248" x14ac:dyDescent="0.2">
      <c r="A478" s="958" t="s">
        <v>1504</v>
      </c>
      <c r="B478" s="706" t="s">
        <v>1505</v>
      </c>
      <c r="C478" s="722">
        <v>400000</v>
      </c>
      <c r="D478" s="722">
        <f>400000-70000</f>
        <v>330000</v>
      </c>
      <c r="E478" s="722">
        <v>0</v>
      </c>
      <c r="F478" s="722"/>
      <c r="G478" s="643">
        <f t="shared" si="62"/>
        <v>0</v>
      </c>
      <c r="H478" s="659">
        <f t="shared" si="63"/>
        <v>0</v>
      </c>
      <c r="I478" s="660">
        <v>0</v>
      </c>
      <c r="J478" s="29">
        <v>0</v>
      </c>
    </row>
    <row r="479" spans="1:248" s="951" customFormat="1" x14ac:dyDescent="0.2">
      <c r="A479" s="958" t="s">
        <v>1506</v>
      </c>
      <c r="B479" s="706" t="s">
        <v>1507</v>
      </c>
      <c r="C479" s="722">
        <v>300000</v>
      </c>
      <c r="D479" s="722">
        <v>300000</v>
      </c>
      <c r="E479" s="722">
        <v>0</v>
      </c>
      <c r="F479" s="722"/>
      <c r="G479" s="643">
        <f t="shared" si="62"/>
        <v>0</v>
      </c>
      <c r="H479" s="659">
        <f t="shared" si="63"/>
        <v>0</v>
      </c>
      <c r="I479" s="660">
        <v>0</v>
      </c>
      <c r="J479" s="29">
        <v>0</v>
      </c>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row>
    <row r="480" spans="1:248" x14ac:dyDescent="0.2">
      <c r="A480" s="959">
        <v>3722</v>
      </c>
      <c r="B480" s="960" t="s">
        <v>1508</v>
      </c>
      <c r="C480" s="899">
        <f t="shared" ref="C480:D480" si="71">SUM(C481:C481)</f>
        <v>4600000</v>
      </c>
      <c r="D480" s="899">
        <f t="shared" si="71"/>
        <v>4600000</v>
      </c>
      <c r="E480" s="899">
        <v>300080</v>
      </c>
      <c r="F480" s="722"/>
      <c r="G480" s="642">
        <f t="shared" si="62"/>
        <v>6.5234782608695658</v>
      </c>
      <c r="H480" s="644">
        <f t="shared" si="63"/>
        <v>6.5234782608695658</v>
      </c>
      <c r="I480" s="645">
        <v>0</v>
      </c>
      <c r="J480" s="29">
        <v>0</v>
      </c>
    </row>
    <row r="481" spans="1:10" x14ac:dyDescent="0.2">
      <c r="A481" s="961" t="s">
        <v>1509</v>
      </c>
      <c r="B481" s="962" t="s">
        <v>1510</v>
      </c>
      <c r="C481" s="837">
        <v>4600000</v>
      </c>
      <c r="D481" s="837">
        <v>4600000</v>
      </c>
      <c r="E481" s="725">
        <v>300080</v>
      </c>
      <c r="F481" s="725"/>
      <c r="G481" s="643">
        <f t="shared" si="62"/>
        <v>6.5234782608695658</v>
      </c>
      <c r="H481" s="659">
        <f t="shared" si="63"/>
        <v>6.5234782608695658</v>
      </c>
      <c r="I481" s="660">
        <v>0</v>
      </c>
      <c r="J481" s="29">
        <v>0</v>
      </c>
    </row>
    <row r="482" spans="1:10" ht="15.75" x14ac:dyDescent="0.25">
      <c r="A482" s="903"/>
      <c r="B482" s="904" t="s">
        <v>1511</v>
      </c>
      <c r="C482" s="911">
        <f>SUM(C488,C483,C502,C510,C516,C518)</f>
        <v>76802000</v>
      </c>
      <c r="D482" s="911">
        <f>SUM(D488,D483,D502,D510,D516,D518)</f>
        <v>73242000</v>
      </c>
      <c r="E482" s="911">
        <v>3570579.21</v>
      </c>
      <c r="F482" s="963" t="e">
        <f>SUM(E483,#REF!,E492,E500,#REF!,E508)</f>
        <v>#REF!</v>
      </c>
      <c r="G482" s="788">
        <f t="shared" si="62"/>
        <v>4.6490706101403605</v>
      </c>
      <c r="H482" s="788">
        <f t="shared" si="63"/>
        <v>4.8750432948308342</v>
      </c>
      <c r="I482" s="826">
        <f t="shared" si="67"/>
        <v>84.825906380813308</v>
      </c>
      <c r="J482" s="29">
        <v>4209302.75</v>
      </c>
    </row>
    <row r="483" spans="1:10" x14ac:dyDescent="0.2">
      <c r="A483" s="964">
        <v>3412</v>
      </c>
      <c r="B483" s="965" t="s">
        <v>1512</v>
      </c>
      <c r="C483" s="966">
        <f>SUM(C484:C487)</f>
        <v>22500000</v>
      </c>
      <c r="D483" s="966">
        <f>SUM(D484:D487)</f>
        <v>22500000</v>
      </c>
      <c r="E483" s="966">
        <v>350900</v>
      </c>
      <c r="F483" s="967">
        <f>SUM(E484:E487)</f>
        <v>350900</v>
      </c>
      <c r="G483" s="642">
        <f t="shared" si="62"/>
        <v>1.5595555555555556</v>
      </c>
      <c r="H483" s="644">
        <f t="shared" si="63"/>
        <v>1.5595555555555556</v>
      </c>
      <c r="I483" s="651">
        <f t="shared" si="67"/>
        <v>7018.0000000000009</v>
      </c>
      <c r="J483" s="29">
        <v>5000</v>
      </c>
    </row>
    <row r="484" spans="1:10" x14ac:dyDescent="0.2">
      <c r="A484" s="846" t="s">
        <v>1513</v>
      </c>
      <c r="B484" s="968" t="s">
        <v>1514</v>
      </c>
      <c r="C484" s="969">
        <v>20000000</v>
      </c>
      <c r="D484" s="969">
        <v>20000000</v>
      </c>
      <c r="E484" s="969">
        <v>350900</v>
      </c>
      <c r="F484" s="969"/>
      <c r="G484" s="643">
        <f t="shared" si="62"/>
        <v>1.7545000000000002</v>
      </c>
      <c r="H484" s="659">
        <f t="shared" si="63"/>
        <v>1.7545000000000002</v>
      </c>
      <c r="I484" s="660">
        <v>0</v>
      </c>
      <c r="J484" s="29">
        <v>0</v>
      </c>
    </row>
    <row r="485" spans="1:10" x14ac:dyDescent="0.2">
      <c r="A485" s="846" t="s">
        <v>1515</v>
      </c>
      <c r="B485" s="968" t="s">
        <v>1516</v>
      </c>
      <c r="C485" s="969">
        <v>700000</v>
      </c>
      <c r="D485" s="969">
        <v>700000</v>
      </c>
      <c r="E485" s="969">
        <v>0</v>
      </c>
      <c r="F485" s="969"/>
      <c r="G485" s="643">
        <f t="shared" si="62"/>
        <v>0</v>
      </c>
      <c r="H485" s="659">
        <f t="shared" si="63"/>
        <v>0</v>
      </c>
      <c r="I485" s="660">
        <v>0</v>
      </c>
      <c r="J485" s="29">
        <v>0</v>
      </c>
    </row>
    <row r="486" spans="1:10" x14ac:dyDescent="0.2">
      <c r="A486" s="846" t="s">
        <v>1517</v>
      </c>
      <c r="B486" s="968" t="s">
        <v>1518</v>
      </c>
      <c r="C486" s="969">
        <v>500000</v>
      </c>
      <c r="D486" s="969">
        <v>500000</v>
      </c>
      <c r="E486" s="969">
        <v>0</v>
      </c>
      <c r="F486" s="969"/>
      <c r="G486" s="643">
        <f t="shared" si="62"/>
        <v>0</v>
      </c>
      <c r="H486" s="659">
        <f t="shared" si="63"/>
        <v>0</v>
      </c>
      <c r="I486" s="660">
        <v>0</v>
      </c>
      <c r="J486" s="29">
        <v>0</v>
      </c>
    </row>
    <row r="487" spans="1:10" x14ac:dyDescent="0.2">
      <c r="A487" s="846" t="s">
        <v>1519</v>
      </c>
      <c r="B487" s="968" t="s">
        <v>1520</v>
      </c>
      <c r="C487" s="969">
        <v>1300000</v>
      </c>
      <c r="D487" s="969">
        <v>1300000</v>
      </c>
      <c r="E487" s="722">
        <v>0</v>
      </c>
      <c r="F487" s="722"/>
      <c r="G487" s="643">
        <f t="shared" si="62"/>
        <v>0</v>
      </c>
      <c r="H487" s="659">
        <f t="shared" si="63"/>
        <v>0</v>
      </c>
      <c r="I487" s="660">
        <v>0</v>
      </c>
      <c r="J487" s="29">
        <v>0</v>
      </c>
    </row>
    <row r="488" spans="1:10" x14ac:dyDescent="0.2">
      <c r="A488" s="769">
        <v>3612</v>
      </c>
      <c r="B488" s="898" t="s">
        <v>1502</v>
      </c>
      <c r="C488" s="970">
        <f>SUM(C489:C501)</f>
        <v>22660000</v>
      </c>
      <c r="D488" s="970">
        <f>SUM(D489:D501)</f>
        <v>19600000</v>
      </c>
      <c r="E488" s="899">
        <v>2829526.21</v>
      </c>
      <c r="F488" s="722">
        <f>SUM(E489:E501)</f>
        <v>2829526.21</v>
      </c>
      <c r="G488" s="642">
        <f t="shared" si="62"/>
        <v>12.486876478375992</v>
      </c>
      <c r="H488" s="644">
        <f t="shared" si="63"/>
        <v>14.436358214285713</v>
      </c>
      <c r="I488" s="651">
        <f t="shared" si="67"/>
        <v>170.54068756630917</v>
      </c>
      <c r="J488" s="29">
        <v>1659150.23</v>
      </c>
    </row>
    <row r="489" spans="1:10" x14ac:dyDescent="0.2">
      <c r="A489" s="846" t="s">
        <v>1521</v>
      </c>
      <c r="B489" s="847" t="s">
        <v>1522</v>
      </c>
      <c r="C489" s="722">
        <v>10000</v>
      </c>
      <c r="D489" s="722">
        <v>10000</v>
      </c>
      <c r="E489" s="722">
        <v>0</v>
      </c>
      <c r="F489" s="722"/>
      <c r="G489" s="643">
        <f t="shared" si="62"/>
        <v>0</v>
      </c>
      <c r="H489" s="659">
        <f t="shared" si="63"/>
        <v>0</v>
      </c>
      <c r="I489" s="660">
        <v>0</v>
      </c>
      <c r="J489" s="29">
        <v>260000</v>
      </c>
    </row>
    <row r="490" spans="1:10" x14ac:dyDescent="0.2">
      <c r="A490" s="846" t="s">
        <v>1523</v>
      </c>
      <c r="B490" s="847" t="s">
        <v>1524</v>
      </c>
      <c r="C490" s="722">
        <v>8800000</v>
      </c>
      <c r="D490" s="722">
        <f>8800000-1000000</f>
        <v>7800000</v>
      </c>
      <c r="E490" s="722">
        <v>899887.21</v>
      </c>
      <c r="F490" s="722"/>
      <c r="G490" s="643">
        <f t="shared" si="62"/>
        <v>10.225991022727273</v>
      </c>
      <c r="H490" s="659">
        <f t="shared" si="63"/>
        <v>11.537015512820513</v>
      </c>
      <c r="I490" s="660">
        <v>0</v>
      </c>
      <c r="J490" s="29">
        <v>0</v>
      </c>
    </row>
    <row r="491" spans="1:10" x14ac:dyDescent="0.2">
      <c r="A491" s="846" t="s">
        <v>1525</v>
      </c>
      <c r="B491" s="897" t="s">
        <v>1526</v>
      </c>
      <c r="C491" s="722">
        <v>400000</v>
      </c>
      <c r="D491" s="722">
        <v>400000</v>
      </c>
      <c r="E491" s="722">
        <v>393250</v>
      </c>
      <c r="F491" s="722"/>
      <c r="G491" s="643">
        <f t="shared" si="62"/>
        <v>98.3125</v>
      </c>
      <c r="H491" s="659">
        <f t="shared" si="63"/>
        <v>98.3125</v>
      </c>
      <c r="I491" s="660">
        <v>0</v>
      </c>
      <c r="J491" s="29">
        <v>0</v>
      </c>
    </row>
    <row r="492" spans="1:10" x14ac:dyDescent="0.2">
      <c r="A492" s="846" t="s">
        <v>1527</v>
      </c>
      <c r="B492" s="897" t="s">
        <v>1528</v>
      </c>
      <c r="C492" s="722">
        <v>500000</v>
      </c>
      <c r="D492" s="722">
        <v>500000</v>
      </c>
      <c r="E492" s="722">
        <v>0</v>
      </c>
      <c r="F492" s="900"/>
      <c r="G492" s="643">
        <f t="shared" si="62"/>
        <v>0</v>
      </c>
      <c r="H492" s="659">
        <f t="shared" si="63"/>
        <v>0</v>
      </c>
      <c r="I492" s="660">
        <v>0</v>
      </c>
      <c r="J492" s="29">
        <v>0</v>
      </c>
    </row>
    <row r="493" spans="1:10" x14ac:dyDescent="0.2">
      <c r="A493" s="846" t="s">
        <v>1529</v>
      </c>
      <c r="B493" s="897" t="s">
        <v>1530</v>
      </c>
      <c r="C493" s="722">
        <v>550000</v>
      </c>
      <c r="D493" s="722">
        <f>550000-550000</f>
        <v>0</v>
      </c>
      <c r="E493" s="722">
        <v>0</v>
      </c>
      <c r="F493" s="722"/>
      <c r="G493" s="643">
        <f t="shared" ref="G493:G556" si="72">E493/C493*100</f>
        <v>0</v>
      </c>
      <c r="H493" s="659">
        <v>0</v>
      </c>
      <c r="I493" s="660">
        <v>0</v>
      </c>
      <c r="J493" s="29">
        <v>0</v>
      </c>
    </row>
    <row r="494" spans="1:10" x14ac:dyDescent="0.2">
      <c r="A494" s="846" t="s">
        <v>1531</v>
      </c>
      <c r="B494" s="897" t="s">
        <v>1532</v>
      </c>
      <c r="C494" s="722">
        <v>450000</v>
      </c>
      <c r="D494" s="722">
        <v>450000</v>
      </c>
      <c r="E494" s="722">
        <v>0</v>
      </c>
      <c r="F494" s="722"/>
      <c r="G494" s="643">
        <f t="shared" si="72"/>
        <v>0</v>
      </c>
      <c r="H494" s="659">
        <f t="shared" ref="H494:H556" si="73">E494/D494*100</f>
        <v>0</v>
      </c>
      <c r="I494" s="660">
        <v>0</v>
      </c>
      <c r="J494" s="29">
        <v>0</v>
      </c>
    </row>
    <row r="495" spans="1:10" x14ac:dyDescent="0.2">
      <c r="A495" s="846" t="s">
        <v>1533</v>
      </c>
      <c r="B495" s="897" t="s">
        <v>1534</v>
      </c>
      <c r="C495" s="722">
        <v>450000</v>
      </c>
      <c r="D495" s="722">
        <v>450000</v>
      </c>
      <c r="E495" s="722">
        <v>0</v>
      </c>
      <c r="F495" s="722"/>
      <c r="G495" s="643">
        <f t="shared" si="72"/>
        <v>0</v>
      </c>
      <c r="H495" s="659">
        <f t="shared" si="73"/>
        <v>0</v>
      </c>
      <c r="I495" s="660">
        <v>0</v>
      </c>
      <c r="J495" s="29">
        <v>0</v>
      </c>
    </row>
    <row r="496" spans="1:10" x14ac:dyDescent="0.2">
      <c r="A496" s="846" t="s">
        <v>1535</v>
      </c>
      <c r="B496" s="971" t="s">
        <v>1536</v>
      </c>
      <c r="C496" s="722">
        <v>400000</v>
      </c>
      <c r="D496" s="722">
        <v>400000</v>
      </c>
      <c r="E496" s="722">
        <v>0</v>
      </c>
      <c r="F496" s="722"/>
      <c r="G496" s="643">
        <f t="shared" si="72"/>
        <v>0</v>
      </c>
      <c r="H496" s="659">
        <f t="shared" si="73"/>
        <v>0</v>
      </c>
      <c r="I496" s="660">
        <v>0</v>
      </c>
      <c r="J496" s="29">
        <v>0</v>
      </c>
    </row>
    <row r="497" spans="1:10" x14ac:dyDescent="0.2">
      <c r="A497" s="846" t="s">
        <v>1537</v>
      </c>
      <c r="B497" s="971" t="s">
        <v>1538</v>
      </c>
      <c r="C497" s="722">
        <v>300000</v>
      </c>
      <c r="D497" s="722">
        <v>300000</v>
      </c>
      <c r="E497" s="722">
        <v>235000</v>
      </c>
      <c r="F497" s="722"/>
      <c r="G497" s="643">
        <f t="shared" si="72"/>
        <v>78.333333333333329</v>
      </c>
      <c r="H497" s="659">
        <f t="shared" si="73"/>
        <v>78.333333333333329</v>
      </c>
      <c r="I497" s="660">
        <v>0</v>
      </c>
      <c r="J497" s="29">
        <v>0</v>
      </c>
    </row>
    <row r="498" spans="1:10" x14ac:dyDescent="0.2">
      <c r="A498" s="846" t="s">
        <v>1539</v>
      </c>
      <c r="B498" s="971" t="s">
        <v>1540</v>
      </c>
      <c r="C498" s="722">
        <v>300000</v>
      </c>
      <c r="D498" s="722">
        <v>300000</v>
      </c>
      <c r="E498" s="722">
        <v>0</v>
      </c>
      <c r="F498" s="722"/>
      <c r="G498" s="643">
        <f t="shared" si="72"/>
        <v>0</v>
      </c>
      <c r="H498" s="659">
        <f t="shared" si="73"/>
        <v>0</v>
      </c>
      <c r="I498" s="660">
        <v>0</v>
      </c>
      <c r="J498" s="29">
        <v>0</v>
      </c>
    </row>
    <row r="499" spans="1:10" x14ac:dyDescent="0.2">
      <c r="A499" s="846" t="s">
        <v>1541</v>
      </c>
      <c r="B499" s="971" t="s">
        <v>1542</v>
      </c>
      <c r="C499" s="722">
        <v>0</v>
      </c>
      <c r="D499" s="722">
        <v>550000</v>
      </c>
      <c r="E499" s="722">
        <v>0</v>
      </c>
      <c r="F499" s="722"/>
      <c r="G499" s="643">
        <v>0</v>
      </c>
      <c r="H499" s="659">
        <f t="shared" si="73"/>
        <v>0</v>
      </c>
      <c r="I499" s="660">
        <v>0</v>
      </c>
      <c r="J499" s="29">
        <v>0</v>
      </c>
    </row>
    <row r="500" spans="1:10" x14ac:dyDescent="0.2">
      <c r="A500" s="846" t="s">
        <v>1543</v>
      </c>
      <c r="B500" s="971" t="s">
        <v>1544</v>
      </c>
      <c r="C500" s="722">
        <v>6000000</v>
      </c>
      <c r="D500" s="722">
        <f>6000000-1900000</f>
        <v>4100000</v>
      </c>
      <c r="E500" s="722">
        <v>0</v>
      </c>
      <c r="F500" s="722"/>
      <c r="G500" s="643">
        <f t="shared" si="72"/>
        <v>0</v>
      </c>
      <c r="H500" s="659">
        <f t="shared" si="73"/>
        <v>0</v>
      </c>
      <c r="I500" s="660">
        <v>0</v>
      </c>
      <c r="J500" s="29">
        <v>0</v>
      </c>
    </row>
    <row r="501" spans="1:10" x14ac:dyDescent="0.2">
      <c r="A501" s="846" t="s">
        <v>1545</v>
      </c>
      <c r="B501" s="897" t="s">
        <v>1546</v>
      </c>
      <c r="C501" s="722">
        <v>4500000</v>
      </c>
      <c r="D501" s="722">
        <f>4500000-160000</f>
        <v>4340000</v>
      </c>
      <c r="E501" s="722">
        <v>1301389</v>
      </c>
      <c r="F501" s="722"/>
      <c r="G501" s="643">
        <f t="shared" si="72"/>
        <v>28.919755555555554</v>
      </c>
      <c r="H501" s="659">
        <f t="shared" si="73"/>
        <v>29.985921658986175</v>
      </c>
      <c r="I501" s="660">
        <v>0</v>
      </c>
      <c r="J501" s="29">
        <v>0</v>
      </c>
    </row>
    <row r="502" spans="1:10" x14ac:dyDescent="0.2">
      <c r="A502" s="959">
        <v>3613</v>
      </c>
      <c r="B502" s="898" t="s">
        <v>1277</v>
      </c>
      <c r="C502" s="899">
        <f>SUM(C503:C509)</f>
        <v>15837000</v>
      </c>
      <c r="D502" s="899">
        <f>SUM(D503:D509)</f>
        <v>14037000</v>
      </c>
      <c r="E502" s="899">
        <v>343205</v>
      </c>
      <c r="F502" s="722">
        <f>SUM(E503:E509)</f>
        <v>343205</v>
      </c>
      <c r="G502" s="642">
        <f t="shared" si="72"/>
        <v>2.1671086695712574</v>
      </c>
      <c r="H502" s="644">
        <f t="shared" si="73"/>
        <v>2.4450024934102732</v>
      </c>
      <c r="I502" s="651">
        <f t="shared" si="67"/>
        <v>47.236206079535968</v>
      </c>
      <c r="J502" s="29">
        <v>726571.9</v>
      </c>
    </row>
    <row r="503" spans="1:10" x14ac:dyDescent="0.2">
      <c r="A503" s="846" t="s">
        <v>1547</v>
      </c>
      <c r="B503" s="897" t="s">
        <v>1548</v>
      </c>
      <c r="C503" s="722">
        <v>1000000</v>
      </c>
      <c r="D503" s="722">
        <v>1000000</v>
      </c>
      <c r="E503" s="722">
        <v>46500</v>
      </c>
      <c r="F503" s="722"/>
      <c r="G503" s="643">
        <f t="shared" si="72"/>
        <v>4.6500000000000004</v>
      </c>
      <c r="H503" s="659">
        <f t="shared" si="73"/>
        <v>4.6500000000000004</v>
      </c>
      <c r="I503" s="660">
        <v>0</v>
      </c>
      <c r="J503" s="29">
        <v>0</v>
      </c>
    </row>
    <row r="504" spans="1:10" x14ac:dyDescent="0.2">
      <c r="A504" s="846" t="s">
        <v>1549</v>
      </c>
      <c r="B504" s="897" t="s">
        <v>1550</v>
      </c>
      <c r="C504" s="722">
        <v>3500000</v>
      </c>
      <c r="D504" s="722">
        <f>3500000-3500000</f>
        <v>0</v>
      </c>
      <c r="E504" s="722">
        <v>0</v>
      </c>
      <c r="F504" s="722"/>
      <c r="G504" s="643">
        <f t="shared" si="72"/>
        <v>0</v>
      </c>
      <c r="H504" s="659">
        <v>0</v>
      </c>
      <c r="I504" s="660">
        <v>0</v>
      </c>
      <c r="J504" s="29">
        <v>0</v>
      </c>
    </row>
    <row r="505" spans="1:10" x14ac:dyDescent="0.2">
      <c r="A505" s="846" t="s">
        <v>1551</v>
      </c>
      <c r="B505" s="897" t="s">
        <v>1552</v>
      </c>
      <c r="C505" s="722">
        <v>6687000</v>
      </c>
      <c r="D505" s="722">
        <f>6687000+5600000</f>
        <v>12287000</v>
      </c>
      <c r="E505" s="722">
        <v>296705</v>
      </c>
      <c r="F505" s="722"/>
      <c r="G505" s="643">
        <f t="shared" si="72"/>
        <v>4.4370420218334079</v>
      </c>
      <c r="H505" s="659">
        <f t="shared" si="73"/>
        <v>2.4147879873036544</v>
      </c>
      <c r="I505" s="660">
        <v>0</v>
      </c>
      <c r="J505" s="29">
        <v>0</v>
      </c>
    </row>
    <row r="506" spans="1:10" x14ac:dyDescent="0.2">
      <c r="A506" s="846" t="s">
        <v>1553</v>
      </c>
      <c r="B506" s="897" t="s">
        <v>1554</v>
      </c>
      <c r="C506" s="722">
        <v>500000</v>
      </c>
      <c r="D506" s="722">
        <f>500000-500000</f>
        <v>0</v>
      </c>
      <c r="E506" s="722">
        <v>0</v>
      </c>
      <c r="F506" s="722"/>
      <c r="G506" s="643">
        <f t="shared" si="72"/>
        <v>0</v>
      </c>
      <c r="H506" s="659">
        <v>0</v>
      </c>
      <c r="I506" s="660">
        <v>0</v>
      </c>
      <c r="J506" s="29">
        <v>0</v>
      </c>
    </row>
    <row r="507" spans="1:10" x14ac:dyDescent="0.2">
      <c r="A507" s="972" t="s">
        <v>1555</v>
      </c>
      <c r="B507" s="897" t="s">
        <v>1556</v>
      </c>
      <c r="C507" s="722">
        <v>3500000</v>
      </c>
      <c r="D507" s="722">
        <f>3500000+(-900000-200000)-2300000</f>
        <v>100000</v>
      </c>
      <c r="E507" s="902">
        <v>0</v>
      </c>
      <c r="F507" s="902"/>
      <c r="G507" s="643">
        <f t="shared" si="72"/>
        <v>0</v>
      </c>
      <c r="H507" s="659">
        <f t="shared" si="73"/>
        <v>0</v>
      </c>
      <c r="I507" s="660">
        <v>0</v>
      </c>
      <c r="J507" s="29">
        <v>0</v>
      </c>
    </row>
    <row r="508" spans="1:10" x14ac:dyDescent="0.2">
      <c r="A508" s="846" t="s">
        <v>1557</v>
      </c>
      <c r="B508" s="897" t="s">
        <v>1558</v>
      </c>
      <c r="C508" s="722">
        <v>250000</v>
      </c>
      <c r="D508" s="722">
        <v>250000</v>
      </c>
      <c r="E508" s="722">
        <v>0</v>
      </c>
      <c r="F508" s="900"/>
      <c r="G508" s="643">
        <f t="shared" si="72"/>
        <v>0</v>
      </c>
      <c r="H508" s="659">
        <f t="shared" si="73"/>
        <v>0</v>
      </c>
      <c r="I508" s="660">
        <v>0</v>
      </c>
      <c r="J508" s="29">
        <v>0</v>
      </c>
    </row>
    <row r="509" spans="1:10" x14ac:dyDescent="0.2">
      <c r="A509" s="846" t="s">
        <v>1559</v>
      </c>
      <c r="B509" s="897" t="s">
        <v>1560</v>
      </c>
      <c r="C509" s="722">
        <v>400000</v>
      </c>
      <c r="D509" s="722">
        <v>400000</v>
      </c>
      <c r="E509" s="722">
        <v>0</v>
      </c>
      <c r="F509" s="722"/>
      <c r="G509" s="643">
        <f t="shared" si="72"/>
        <v>0</v>
      </c>
      <c r="H509" s="659">
        <f t="shared" si="73"/>
        <v>0</v>
      </c>
      <c r="I509" s="973">
        <v>0</v>
      </c>
      <c r="J509" s="29">
        <v>0</v>
      </c>
    </row>
    <row r="510" spans="1:10" ht="12.75" customHeight="1" x14ac:dyDescent="0.2">
      <c r="A510" s="974">
        <v>3634</v>
      </c>
      <c r="B510" s="975" t="s">
        <v>1561</v>
      </c>
      <c r="C510" s="735">
        <f>SUM(C511:C515)</f>
        <v>15805000</v>
      </c>
      <c r="D510" s="735">
        <f>SUM(D511:D515)</f>
        <v>13105000</v>
      </c>
      <c r="E510" s="976">
        <v>46948</v>
      </c>
      <c r="F510" s="977">
        <f>SUM(E511:E515)</f>
        <v>46948</v>
      </c>
      <c r="G510" s="646">
        <f t="shared" si="72"/>
        <v>0.29704523884846568</v>
      </c>
      <c r="H510" s="978">
        <f t="shared" si="73"/>
        <v>0.35824494467760393</v>
      </c>
      <c r="I510" s="651">
        <f t="shared" si="67"/>
        <v>2.6073811679701406</v>
      </c>
      <c r="J510" s="29">
        <v>1800580.62</v>
      </c>
    </row>
    <row r="511" spans="1:10" x14ac:dyDescent="0.2">
      <c r="A511" s="846" t="s">
        <v>1562</v>
      </c>
      <c r="B511" s="897" t="s">
        <v>1563</v>
      </c>
      <c r="C511" s="722">
        <v>200000</v>
      </c>
      <c r="D511" s="722">
        <v>200000</v>
      </c>
      <c r="E511" s="722">
        <v>0</v>
      </c>
      <c r="F511" s="722"/>
      <c r="G511" s="643">
        <f t="shared" si="72"/>
        <v>0</v>
      </c>
      <c r="H511" s="659">
        <f t="shared" si="73"/>
        <v>0</v>
      </c>
      <c r="I511" s="660">
        <v>0</v>
      </c>
      <c r="J511" s="29">
        <v>0</v>
      </c>
    </row>
    <row r="512" spans="1:10" x14ac:dyDescent="0.2">
      <c r="A512" s="846" t="s">
        <v>1564</v>
      </c>
      <c r="B512" s="897" t="s">
        <v>1565</v>
      </c>
      <c r="C512" s="722">
        <v>800000</v>
      </c>
      <c r="D512" s="722">
        <v>800000</v>
      </c>
      <c r="E512" s="722">
        <v>0</v>
      </c>
      <c r="F512" s="722"/>
      <c r="G512" s="643">
        <f t="shared" si="72"/>
        <v>0</v>
      </c>
      <c r="H512" s="659">
        <f t="shared" si="73"/>
        <v>0</v>
      </c>
      <c r="I512" s="660">
        <v>0</v>
      </c>
      <c r="J512" s="29">
        <v>0</v>
      </c>
    </row>
    <row r="513" spans="1:10" x14ac:dyDescent="0.2">
      <c r="A513" s="846" t="s">
        <v>1566</v>
      </c>
      <c r="B513" s="897" t="s">
        <v>1567</v>
      </c>
      <c r="C513" s="722">
        <v>3300000</v>
      </c>
      <c r="D513" s="722">
        <v>3300000</v>
      </c>
      <c r="E513" s="722">
        <v>0</v>
      </c>
      <c r="F513" s="722"/>
      <c r="G513" s="643">
        <f t="shared" si="72"/>
        <v>0</v>
      </c>
      <c r="H513" s="659">
        <f t="shared" si="73"/>
        <v>0</v>
      </c>
      <c r="I513" s="660">
        <v>0</v>
      </c>
      <c r="J513" s="29">
        <v>0</v>
      </c>
    </row>
    <row r="514" spans="1:10" x14ac:dyDescent="0.2">
      <c r="A514" s="846" t="s">
        <v>1568</v>
      </c>
      <c r="B514" s="897" t="s">
        <v>1569</v>
      </c>
      <c r="C514" s="722">
        <v>5000</v>
      </c>
      <c r="D514" s="722">
        <v>5000</v>
      </c>
      <c r="E514" s="722">
        <v>0</v>
      </c>
      <c r="F514" s="722"/>
      <c r="G514" s="643">
        <f t="shared" si="72"/>
        <v>0</v>
      </c>
      <c r="H514" s="659">
        <f t="shared" si="73"/>
        <v>0</v>
      </c>
      <c r="I514" s="660">
        <v>0</v>
      </c>
      <c r="J514" s="29">
        <v>0</v>
      </c>
    </row>
    <row r="515" spans="1:10" x14ac:dyDescent="0.2">
      <c r="A515" s="846" t="s">
        <v>1570</v>
      </c>
      <c r="B515" s="897" t="s">
        <v>1571</v>
      </c>
      <c r="C515" s="722">
        <v>11500000</v>
      </c>
      <c r="D515" s="722">
        <f>11500000-2500000-200000</f>
        <v>8800000</v>
      </c>
      <c r="E515" s="722">
        <v>46948</v>
      </c>
      <c r="F515" s="722"/>
      <c r="G515" s="643">
        <f t="shared" si="72"/>
        <v>0.4082434782608696</v>
      </c>
      <c r="H515" s="659">
        <f t="shared" si="73"/>
        <v>0.53350000000000009</v>
      </c>
      <c r="I515" s="973">
        <v>0</v>
      </c>
      <c r="J515" s="29">
        <v>239580</v>
      </c>
    </row>
    <row r="516" spans="1:10" ht="12.75" customHeight="1" x14ac:dyDescent="0.2">
      <c r="A516" s="769">
        <v>4351</v>
      </c>
      <c r="B516" s="898" t="s">
        <v>772</v>
      </c>
      <c r="C516" s="899">
        <f>SUM(C517)</f>
        <v>0</v>
      </c>
      <c r="D516" s="899">
        <f>SUM(D517)</f>
        <v>3500000</v>
      </c>
      <c r="E516" s="970">
        <v>0</v>
      </c>
      <c r="F516" s="979">
        <f>SUM(E517,E524,E526,E543,E549)</f>
        <v>2395201.17</v>
      </c>
      <c r="G516" s="642">
        <v>0</v>
      </c>
      <c r="H516" s="644">
        <f t="shared" si="73"/>
        <v>0</v>
      </c>
      <c r="I516" s="710">
        <v>0</v>
      </c>
      <c r="J516" s="29">
        <v>0</v>
      </c>
    </row>
    <row r="517" spans="1:10" x14ac:dyDescent="0.2">
      <c r="A517" s="846" t="s">
        <v>1549</v>
      </c>
      <c r="B517" s="897" t="s">
        <v>1550</v>
      </c>
      <c r="C517" s="722">
        <v>0</v>
      </c>
      <c r="D517" s="722">
        <v>3500000</v>
      </c>
      <c r="E517" s="722">
        <v>0</v>
      </c>
      <c r="F517" s="722"/>
      <c r="G517" s="643">
        <v>0</v>
      </c>
      <c r="H517" s="659">
        <f t="shared" si="73"/>
        <v>0</v>
      </c>
      <c r="I517" s="736">
        <v>0</v>
      </c>
      <c r="J517" s="29">
        <v>0</v>
      </c>
    </row>
    <row r="518" spans="1:10" ht="12.75" customHeight="1" x14ac:dyDescent="0.2">
      <c r="A518" s="769">
        <v>4374</v>
      </c>
      <c r="B518" s="898" t="s">
        <v>753</v>
      </c>
      <c r="C518" s="899">
        <f>SUM(C519)</f>
        <v>0</v>
      </c>
      <c r="D518" s="899">
        <f>SUM(D519)</f>
        <v>500000</v>
      </c>
      <c r="E518" s="970">
        <v>0</v>
      </c>
      <c r="F518" s="979">
        <f>SUM(E519,E526,E528,E545,E551)</f>
        <v>12673996.48</v>
      </c>
      <c r="G518" s="642">
        <v>0</v>
      </c>
      <c r="H518" s="644">
        <f t="shared" si="73"/>
        <v>0</v>
      </c>
      <c r="I518" s="710">
        <v>0</v>
      </c>
      <c r="J518" s="29">
        <v>18000</v>
      </c>
    </row>
    <row r="519" spans="1:10" x14ac:dyDescent="0.2">
      <c r="A519" s="846" t="s">
        <v>1553</v>
      </c>
      <c r="B519" s="897" t="s">
        <v>1554</v>
      </c>
      <c r="C519" s="722">
        <v>0</v>
      </c>
      <c r="D519" s="722">
        <v>500000</v>
      </c>
      <c r="E519" s="902">
        <v>0</v>
      </c>
      <c r="F519" s="902"/>
      <c r="G519" s="643">
        <v>0</v>
      </c>
      <c r="H519" s="659">
        <f t="shared" si="73"/>
        <v>0</v>
      </c>
      <c r="I519" s="980">
        <v>0</v>
      </c>
      <c r="J519" s="29">
        <v>18000</v>
      </c>
    </row>
    <row r="520" spans="1:10" ht="15.75" x14ac:dyDescent="0.25">
      <c r="A520" s="981"/>
      <c r="B520" s="903" t="s">
        <v>546</v>
      </c>
      <c r="C520" s="911">
        <f>SUM(C521,C527,C529,C532,C537)</f>
        <v>22807000</v>
      </c>
      <c r="D520" s="911">
        <f>SUM(D521,D527,D529,D532,D537)</f>
        <v>22807000</v>
      </c>
      <c r="E520" s="891">
        <v>9856082</v>
      </c>
      <c r="F520" s="933">
        <f>SUM(E521,E527,E529,E532,E537)</f>
        <v>9856082</v>
      </c>
      <c r="G520" s="788">
        <f t="shared" si="72"/>
        <v>43.215162011663089</v>
      </c>
      <c r="H520" s="788">
        <f t="shared" si="73"/>
        <v>43.215162011663089</v>
      </c>
      <c r="I520" s="826">
        <f t="shared" ref="I520:I583" si="74">E520/J520*100</f>
        <v>1193.3378979096783</v>
      </c>
      <c r="J520" s="29">
        <v>825925.5</v>
      </c>
    </row>
    <row r="521" spans="1:10" x14ac:dyDescent="0.2">
      <c r="A521" s="913">
        <v>3412</v>
      </c>
      <c r="B521" s="894" t="s">
        <v>1572</v>
      </c>
      <c r="C521" s="735">
        <f>SUM(C522:C526)</f>
        <v>13037000</v>
      </c>
      <c r="D521" s="735">
        <f>SUM(D522:D526)</f>
        <v>13037000</v>
      </c>
      <c r="E521" s="735">
        <v>1578235</v>
      </c>
      <c r="F521" s="708">
        <f>SUM(E522:E526)</f>
        <v>1578235</v>
      </c>
      <c r="G521" s="642">
        <f t="shared" si="72"/>
        <v>12.105814221063129</v>
      </c>
      <c r="H521" s="644">
        <f t="shared" si="73"/>
        <v>12.105814221063129</v>
      </c>
      <c r="I521" s="651">
        <f t="shared" si="74"/>
        <v>518.82259928236931</v>
      </c>
      <c r="J521" s="29">
        <v>304195.5</v>
      </c>
    </row>
    <row r="522" spans="1:10" x14ac:dyDescent="0.2">
      <c r="A522" s="846" t="s">
        <v>1573</v>
      </c>
      <c r="B522" s="897" t="s">
        <v>1574</v>
      </c>
      <c r="C522" s="722">
        <v>650000</v>
      </c>
      <c r="D522" s="722">
        <f>650000+380000</f>
        <v>1030000</v>
      </c>
      <c r="E522" s="722">
        <v>31500</v>
      </c>
      <c r="F522" s="722"/>
      <c r="G522" s="643">
        <f t="shared" si="72"/>
        <v>4.8461538461538458</v>
      </c>
      <c r="H522" s="659">
        <f t="shared" si="73"/>
        <v>3.058252427184466</v>
      </c>
      <c r="I522" s="660">
        <v>0</v>
      </c>
      <c r="J522" s="29">
        <v>0</v>
      </c>
    </row>
    <row r="523" spans="1:10" x14ac:dyDescent="0.2">
      <c r="A523" s="846" t="s">
        <v>1575</v>
      </c>
      <c r="B523" s="897" t="s">
        <v>1576</v>
      </c>
      <c r="C523" s="722">
        <v>250000</v>
      </c>
      <c r="D523" s="722">
        <f>250000+100000</f>
        <v>350000</v>
      </c>
      <c r="E523" s="722">
        <v>20160</v>
      </c>
      <c r="F523" s="722"/>
      <c r="G523" s="643">
        <f t="shared" si="72"/>
        <v>8.0640000000000001</v>
      </c>
      <c r="H523" s="659">
        <f t="shared" si="73"/>
        <v>5.76</v>
      </c>
      <c r="I523" s="660">
        <v>0</v>
      </c>
      <c r="J523" s="29">
        <v>0</v>
      </c>
    </row>
    <row r="524" spans="1:10" x14ac:dyDescent="0.2">
      <c r="A524" s="846" t="s">
        <v>1577</v>
      </c>
      <c r="B524" s="847" t="s">
        <v>1578</v>
      </c>
      <c r="C524" s="722">
        <v>137000</v>
      </c>
      <c r="D524" s="722">
        <v>137000</v>
      </c>
      <c r="E524" s="722">
        <v>96800</v>
      </c>
      <c r="F524" s="722"/>
      <c r="G524" s="643">
        <f t="shared" si="72"/>
        <v>70.65693430656934</v>
      </c>
      <c r="H524" s="659">
        <f t="shared" si="73"/>
        <v>70.65693430656934</v>
      </c>
      <c r="I524" s="660">
        <v>0</v>
      </c>
      <c r="J524" s="29">
        <v>0</v>
      </c>
    </row>
    <row r="525" spans="1:10" x14ac:dyDescent="0.2">
      <c r="A525" s="846" t="s">
        <v>1579</v>
      </c>
      <c r="B525" s="897" t="s">
        <v>1580</v>
      </c>
      <c r="C525" s="722">
        <v>4000000</v>
      </c>
      <c r="D525" s="722">
        <f>4000000-480000</f>
        <v>3520000</v>
      </c>
      <c r="E525" s="722">
        <v>0</v>
      </c>
      <c r="F525" s="722"/>
      <c r="G525" s="643">
        <f t="shared" si="72"/>
        <v>0</v>
      </c>
      <c r="H525" s="659">
        <f t="shared" si="73"/>
        <v>0</v>
      </c>
      <c r="I525" s="660">
        <v>0</v>
      </c>
      <c r="J525" s="29">
        <v>148258.5</v>
      </c>
    </row>
    <row r="526" spans="1:10" ht="12.75" customHeight="1" x14ac:dyDescent="0.2">
      <c r="A526" s="846" t="s">
        <v>1581</v>
      </c>
      <c r="B526" s="897" t="s">
        <v>1582</v>
      </c>
      <c r="C526" s="722">
        <v>8000000</v>
      </c>
      <c r="D526" s="722">
        <v>8000000</v>
      </c>
      <c r="E526" s="722">
        <v>1429775</v>
      </c>
      <c r="F526" s="722"/>
      <c r="G526" s="643">
        <f t="shared" si="72"/>
        <v>17.872187499999999</v>
      </c>
      <c r="H526" s="659">
        <f t="shared" si="73"/>
        <v>17.872187499999999</v>
      </c>
      <c r="I526" s="660">
        <v>0</v>
      </c>
      <c r="J526" s="29">
        <v>0</v>
      </c>
    </row>
    <row r="527" spans="1:10" x14ac:dyDescent="0.2">
      <c r="A527" s="769">
        <v>3613</v>
      </c>
      <c r="B527" s="898" t="s">
        <v>1277</v>
      </c>
      <c r="C527" s="899">
        <f t="shared" ref="C527:D527" si="75">SUM(C528:C528)</f>
        <v>300000</v>
      </c>
      <c r="D527" s="899">
        <f t="shared" si="75"/>
        <v>300000</v>
      </c>
      <c r="E527" s="899">
        <v>0</v>
      </c>
      <c r="F527" s="722"/>
      <c r="G527" s="642">
        <f t="shared" si="72"/>
        <v>0</v>
      </c>
      <c r="H527" s="644">
        <f t="shared" si="73"/>
        <v>0</v>
      </c>
      <c r="I527" s="645">
        <v>0</v>
      </c>
      <c r="J527" s="29">
        <v>0</v>
      </c>
    </row>
    <row r="528" spans="1:10" ht="12.75" customHeight="1" x14ac:dyDescent="0.2">
      <c r="A528" s="846" t="s">
        <v>553</v>
      </c>
      <c r="B528" s="897" t="s">
        <v>1583</v>
      </c>
      <c r="C528" s="722">
        <v>300000</v>
      </c>
      <c r="D528" s="722">
        <v>300000</v>
      </c>
      <c r="E528" s="722">
        <v>0</v>
      </c>
      <c r="F528" s="722"/>
      <c r="G528" s="643">
        <f t="shared" si="72"/>
        <v>0</v>
      </c>
      <c r="H528" s="659">
        <f t="shared" si="73"/>
        <v>0</v>
      </c>
      <c r="I528" s="660">
        <v>0</v>
      </c>
      <c r="J528" s="29">
        <v>0</v>
      </c>
    </row>
    <row r="529" spans="1:10" ht="12.75" customHeight="1" x14ac:dyDescent="0.2">
      <c r="A529" s="769">
        <v>3631</v>
      </c>
      <c r="B529" s="898" t="s">
        <v>1584</v>
      </c>
      <c r="C529" s="899">
        <f>SUM(C530:C531)</f>
        <v>7850000</v>
      </c>
      <c r="D529" s="899">
        <f>SUM(D530:D531)</f>
        <v>7850000</v>
      </c>
      <c r="E529" s="899">
        <v>7569917.4000000004</v>
      </c>
      <c r="F529" s="900"/>
      <c r="G529" s="642">
        <f t="shared" si="72"/>
        <v>96.432068789808923</v>
      </c>
      <c r="H529" s="644">
        <f t="shared" si="73"/>
        <v>96.432068789808923</v>
      </c>
      <c r="I529" s="651">
        <f t="shared" si="74"/>
        <v>48124.077558804835</v>
      </c>
      <c r="J529" s="29">
        <v>15730</v>
      </c>
    </row>
    <row r="530" spans="1:10" ht="12.75" customHeight="1" x14ac:dyDescent="0.2">
      <c r="A530" s="846" t="s">
        <v>567</v>
      </c>
      <c r="B530" s="897" t="s">
        <v>1585</v>
      </c>
      <c r="C530" s="722">
        <v>7600000</v>
      </c>
      <c r="D530" s="722">
        <f>7600000+110000</f>
        <v>7710000</v>
      </c>
      <c r="E530" s="722">
        <v>7569917.4000000004</v>
      </c>
      <c r="F530" s="722"/>
      <c r="G530" s="643">
        <f t="shared" si="72"/>
        <v>99.604176315789488</v>
      </c>
      <c r="H530" s="659">
        <f t="shared" si="73"/>
        <v>98.183105058365754</v>
      </c>
      <c r="I530" s="660">
        <v>0</v>
      </c>
      <c r="J530" s="29">
        <v>0</v>
      </c>
    </row>
    <row r="531" spans="1:10" ht="12.75" customHeight="1" x14ac:dyDescent="0.2">
      <c r="A531" s="846" t="s">
        <v>1586</v>
      </c>
      <c r="B531" s="897" t="s">
        <v>1587</v>
      </c>
      <c r="C531" s="722">
        <v>250000</v>
      </c>
      <c r="D531" s="722">
        <f>250000-110000</f>
        <v>140000</v>
      </c>
      <c r="E531" s="722">
        <v>0</v>
      </c>
      <c r="F531" s="722"/>
      <c r="G531" s="643">
        <f t="shared" si="72"/>
        <v>0</v>
      </c>
      <c r="H531" s="659">
        <f t="shared" si="73"/>
        <v>0</v>
      </c>
      <c r="I531" s="660">
        <v>0</v>
      </c>
      <c r="J531" s="29">
        <v>0</v>
      </c>
    </row>
    <row r="532" spans="1:10" ht="12.75" customHeight="1" x14ac:dyDescent="0.2">
      <c r="A532" s="769">
        <v>3632</v>
      </c>
      <c r="B532" s="898" t="s">
        <v>1306</v>
      </c>
      <c r="C532" s="899">
        <f t="shared" ref="C532:D532" si="76">SUM(C533:C536)</f>
        <v>1220000</v>
      </c>
      <c r="D532" s="899">
        <f t="shared" si="76"/>
        <v>1220000</v>
      </c>
      <c r="E532" s="899">
        <v>707929.59999999998</v>
      </c>
      <c r="F532" s="900">
        <f>SUM(E533:E536)</f>
        <v>707929.59999999998</v>
      </c>
      <c r="G532" s="642">
        <f t="shared" si="72"/>
        <v>58.027016393442622</v>
      </c>
      <c r="H532" s="644">
        <f t="shared" si="73"/>
        <v>58.027016393442622</v>
      </c>
      <c r="I532" s="651">
        <f t="shared" si="74"/>
        <v>139.90703557312253</v>
      </c>
      <c r="J532" s="29">
        <v>506000</v>
      </c>
    </row>
    <row r="533" spans="1:10" x14ac:dyDescent="0.2">
      <c r="A533" s="846" t="s">
        <v>1588</v>
      </c>
      <c r="B533" s="897" t="s">
        <v>1589</v>
      </c>
      <c r="C533" s="722">
        <v>10000</v>
      </c>
      <c r="D533" s="722">
        <v>10000</v>
      </c>
      <c r="E533" s="722">
        <v>0</v>
      </c>
      <c r="F533" s="722"/>
      <c r="G533" s="643">
        <f t="shared" si="72"/>
        <v>0</v>
      </c>
      <c r="H533" s="659">
        <f t="shared" si="73"/>
        <v>0</v>
      </c>
      <c r="I533" s="660">
        <v>0</v>
      </c>
      <c r="J533" s="29">
        <v>498000</v>
      </c>
    </row>
    <row r="534" spans="1:10" x14ac:dyDescent="0.2">
      <c r="A534" s="846" t="s">
        <v>1588</v>
      </c>
      <c r="B534" s="847" t="s">
        <v>1590</v>
      </c>
      <c r="C534" s="722">
        <v>5000</v>
      </c>
      <c r="D534" s="722">
        <v>5000</v>
      </c>
      <c r="E534" s="722">
        <v>0</v>
      </c>
      <c r="F534" s="722"/>
      <c r="G534" s="643">
        <f t="shared" si="72"/>
        <v>0</v>
      </c>
      <c r="H534" s="659">
        <f t="shared" si="73"/>
        <v>0</v>
      </c>
      <c r="I534" s="660">
        <v>0</v>
      </c>
      <c r="J534" s="29">
        <v>0</v>
      </c>
    </row>
    <row r="535" spans="1:10" ht="12.75" customHeight="1" x14ac:dyDescent="0.2">
      <c r="A535" s="846" t="s">
        <v>588</v>
      </c>
      <c r="B535" s="847" t="s">
        <v>1591</v>
      </c>
      <c r="C535" s="722">
        <v>1200000</v>
      </c>
      <c r="D535" s="722">
        <v>1200000</v>
      </c>
      <c r="E535" s="722">
        <v>707929.59999999998</v>
      </c>
      <c r="F535" s="722"/>
      <c r="G535" s="643">
        <f t="shared" si="72"/>
        <v>58.99413333333333</v>
      </c>
      <c r="H535" s="659">
        <f t="shared" si="73"/>
        <v>58.99413333333333</v>
      </c>
      <c r="I535" s="660">
        <v>0</v>
      </c>
      <c r="J535" s="29">
        <v>0</v>
      </c>
    </row>
    <row r="536" spans="1:10" x14ac:dyDescent="0.2">
      <c r="A536" s="846" t="s">
        <v>1592</v>
      </c>
      <c r="B536" s="847" t="s">
        <v>1593</v>
      </c>
      <c r="C536" s="722">
        <v>5000</v>
      </c>
      <c r="D536" s="722">
        <v>5000</v>
      </c>
      <c r="E536" s="722">
        <v>0</v>
      </c>
      <c r="F536" s="722"/>
      <c r="G536" s="643">
        <f t="shared" si="72"/>
        <v>0</v>
      </c>
      <c r="H536" s="659">
        <f t="shared" si="73"/>
        <v>0</v>
      </c>
      <c r="I536" s="660">
        <v>0</v>
      </c>
      <c r="J536" s="29">
        <v>8000</v>
      </c>
    </row>
    <row r="537" spans="1:10" ht="13.5" customHeight="1" x14ac:dyDescent="0.2">
      <c r="A537" s="957">
        <v>3633</v>
      </c>
      <c r="B537" s="982" t="s">
        <v>1594</v>
      </c>
      <c r="C537" s="934">
        <f>SUM(C538:C538)</f>
        <v>400000</v>
      </c>
      <c r="D537" s="934">
        <f>SUM(D538:D538)</f>
        <v>400000</v>
      </c>
      <c r="E537" s="934">
        <v>0</v>
      </c>
      <c r="F537" s="902"/>
      <c r="G537" s="642">
        <f t="shared" si="72"/>
        <v>0</v>
      </c>
      <c r="H537" s="644">
        <f t="shared" si="73"/>
        <v>0</v>
      </c>
      <c r="I537" s="983">
        <v>0</v>
      </c>
      <c r="J537" s="29">
        <v>0</v>
      </c>
    </row>
    <row r="538" spans="1:10" ht="12.75" customHeight="1" x14ac:dyDescent="0.2">
      <c r="A538" s="958" t="s">
        <v>1595</v>
      </c>
      <c r="B538" s="984" t="s">
        <v>1596</v>
      </c>
      <c r="C538" s="902">
        <v>400000</v>
      </c>
      <c r="D538" s="902">
        <v>400000</v>
      </c>
      <c r="E538" s="902">
        <v>0</v>
      </c>
      <c r="F538" s="902"/>
      <c r="G538" s="643">
        <f t="shared" si="72"/>
        <v>0</v>
      </c>
      <c r="H538" s="659">
        <f t="shared" si="73"/>
        <v>0</v>
      </c>
      <c r="I538" s="985">
        <v>0</v>
      </c>
      <c r="J538" s="29">
        <v>0</v>
      </c>
    </row>
    <row r="539" spans="1:10" ht="15" customHeight="1" x14ac:dyDescent="0.25">
      <c r="A539" s="903"/>
      <c r="B539" s="903" t="s">
        <v>1597</v>
      </c>
      <c r="C539" s="891">
        <f t="shared" ref="C539:D542" si="77">SUM(C540:C540)</f>
        <v>400000</v>
      </c>
      <c r="D539" s="891">
        <f t="shared" si="77"/>
        <v>400000</v>
      </c>
      <c r="E539" s="891">
        <v>34806</v>
      </c>
      <c r="F539" s="940"/>
      <c r="G539" s="788">
        <f t="shared" si="72"/>
        <v>8.7014999999999993</v>
      </c>
      <c r="H539" s="788">
        <f t="shared" si="73"/>
        <v>8.7014999999999993</v>
      </c>
      <c r="I539" s="826">
        <f t="shared" si="74"/>
        <v>154.69333333333333</v>
      </c>
      <c r="J539" s="29">
        <v>22500</v>
      </c>
    </row>
    <row r="540" spans="1:10" ht="12.75" customHeight="1" x14ac:dyDescent="0.2">
      <c r="A540" s="986" t="s">
        <v>603</v>
      </c>
      <c r="B540" s="987" t="s">
        <v>1598</v>
      </c>
      <c r="C540" s="708">
        <v>400000</v>
      </c>
      <c r="D540" s="708">
        <v>400000</v>
      </c>
      <c r="E540" s="708">
        <v>34806</v>
      </c>
      <c r="F540" s="708"/>
      <c r="G540" s="643">
        <f t="shared" si="72"/>
        <v>8.7014999999999993</v>
      </c>
      <c r="H540" s="659">
        <f t="shared" si="73"/>
        <v>8.7014999999999993</v>
      </c>
      <c r="I540" s="664">
        <f t="shared" si="74"/>
        <v>154.69333333333333</v>
      </c>
      <c r="J540" s="29">
        <v>22500</v>
      </c>
    </row>
    <row r="541" spans="1:10" x14ac:dyDescent="0.2">
      <c r="A541" s="988"/>
      <c r="B541" s="989"/>
      <c r="C541" s="990"/>
      <c r="D541" s="990"/>
      <c r="E541" s="725"/>
      <c r="F541" s="725"/>
      <c r="G541" s="725"/>
      <c r="H541" s="725"/>
      <c r="I541" s="991"/>
      <c r="J541" s="29"/>
    </row>
    <row r="542" spans="1:10" ht="20.25" x14ac:dyDescent="0.3">
      <c r="A542" s="992"/>
      <c r="B542" s="993" t="s">
        <v>31</v>
      </c>
      <c r="C542" s="994">
        <f t="shared" si="77"/>
        <v>15000</v>
      </c>
      <c r="D542" s="994">
        <f t="shared" si="77"/>
        <v>15000</v>
      </c>
      <c r="E542" s="995">
        <v>0</v>
      </c>
      <c r="F542" s="996"/>
      <c r="G542" s="810">
        <f t="shared" si="72"/>
        <v>0</v>
      </c>
      <c r="H542" s="810">
        <f t="shared" si="73"/>
        <v>0</v>
      </c>
      <c r="I542" s="997">
        <f t="shared" si="74"/>
        <v>0</v>
      </c>
      <c r="J542" s="29">
        <v>7000</v>
      </c>
    </row>
    <row r="543" spans="1:10" x14ac:dyDescent="0.2">
      <c r="A543" s="998">
        <v>2141</v>
      </c>
      <c r="B543" s="999" t="s">
        <v>1599</v>
      </c>
      <c r="C543" s="652">
        <v>15000</v>
      </c>
      <c r="D543" s="652">
        <v>15000</v>
      </c>
      <c r="E543" s="652">
        <v>0</v>
      </c>
      <c r="F543" s="653"/>
      <c r="G543" s="642">
        <f t="shared" si="72"/>
        <v>0</v>
      </c>
      <c r="H543" s="644">
        <f t="shared" si="73"/>
        <v>0</v>
      </c>
      <c r="I543" s="651">
        <f t="shared" si="74"/>
        <v>0</v>
      </c>
      <c r="J543" s="29">
        <v>7000</v>
      </c>
    </row>
    <row r="544" spans="1:10" s="244" customFormat="1" ht="12.75" customHeight="1" x14ac:dyDescent="0.25">
      <c r="A544" s="1000"/>
      <c r="B544" s="1001"/>
      <c r="C544" s="872"/>
      <c r="D544" s="872"/>
      <c r="E544" s="872"/>
      <c r="F544" s="872"/>
      <c r="G544" s="872"/>
      <c r="H544" s="872"/>
      <c r="I544" s="1002"/>
      <c r="J544" s="1003"/>
    </row>
    <row r="545" spans="1:10" s="98" customFormat="1" ht="20.25" x14ac:dyDescent="0.3">
      <c r="A545" s="909"/>
      <c r="B545" s="624" t="s">
        <v>608</v>
      </c>
      <c r="C545" s="1004">
        <f t="shared" ref="C545:D545" si="78">SUM(C546:C549)</f>
        <v>15625044</v>
      </c>
      <c r="D545" s="1004">
        <f t="shared" si="78"/>
        <v>16236396.609999999</v>
      </c>
      <c r="E545" s="1005">
        <v>5723771.7400000002</v>
      </c>
      <c r="F545" s="825">
        <f>SUM(E546:E549)</f>
        <v>5723771.7399999993</v>
      </c>
      <c r="G545" s="810">
        <f t="shared" si="72"/>
        <v>36.632035980186686</v>
      </c>
      <c r="H545" s="810">
        <f t="shared" si="73"/>
        <v>35.252721878416843</v>
      </c>
      <c r="I545" s="997">
        <f t="shared" si="74"/>
        <v>113.60996025769472</v>
      </c>
      <c r="J545" s="29">
        <v>5038089.7300000004</v>
      </c>
    </row>
    <row r="546" spans="1:10" s="98" customFormat="1" ht="29.25" customHeight="1" x14ac:dyDescent="0.2">
      <c r="A546" s="678">
        <v>2141</v>
      </c>
      <c r="B546" s="999" t="s">
        <v>1600</v>
      </c>
      <c r="C546" s="652">
        <v>871332</v>
      </c>
      <c r="D546" s="652">
        <v>871332</v>
      </c>
      <c r="E546" s="652">
        <v>158688.87</v>
      </c>
      <c r="F546" s="653"/>
      <c r="G546" s="642">
        <f t="shared" si="72"/>
        <v>18.21221646857914</v>
      </c>
      <c r="H546" s="644">
        <f t="shared" si="73"/>
        <v>18.21221646857914</v>
      </c>
      <c r="I546" s="651">
        <f t="shared" si="74"/>
        <v>41.289929049455559</v>
      </c>
      <c r="J546" s="29">
        <v>384328.27</v>
      </c>
    </row>
    <row r="547" spans="1:10" s="98" customFormat="1" ht="79.5" customHeight="1" x14ac:dyDescent="0.2">
      <c r="A547" s="683">
        <v>2143</v>
      </c>
      <c r="B547" s="648" t="s">
        <v>1601</v>
      </c>
      <c r="C547" s="652">
        <v>13609712</v>
      </c>
      <c r="D547" s="652">
        <f>13609712+(34702.89+196649.72)-535000+80000+300000</f>
        <v>13686064.609999999</v>
      </c>
      <c r="E547" s="652">
        <v>4668119.6399999997</v>
      </c>
      <c r="F547" s="653"/>
      <c r="G547" s="642">
        <f t="shared" si="72"/>
        <v>34.299914943093576</v>
      </c>
      <c r="H547" s="644">
        <f t="shared" si="73"/>
        <v>34.108560590815443</v>
      </c>
      <c r="I547" s="651">
        <f t="shared" si="74"/>
        <v>104.68477031239685</v>
      </c>
      <c r="J547" s="654">
        <v>4459215.63</v>
      </c>
    </row>
    <row r="548" spans="1:10" s="98" customFormat="1" ht="27.75" customHeight="1" x14ac:dyDescent="0.2">
      <c r="A548" s="683">
        <v>3399</v>
      </c>
      <c r="B548" s="648" t="s">
        <v>1602</v>
      </c>
      <c r="C548" s="652">
        <v>70000</v>
      </c>
      <c r="D548" s="652">
        <v>70000</v>
      </c>
      <c r="E548" s="652">
        <v>28337.06</v>
      </c>
      <c r="F548" s="653"/>
      <c r="G548" s="642">
        <f t="shared" si="72"/>
        <v>40.48151428571429</v>
      </c>
      <c r="H548" s="644">
        <f t="shared" si="73"/>
        <v>40.48151428571429</v>
      </c>
      <c r="I548" s="651">
        <f t="shared" si="74"/>
        <v>346.84114153663876</v>
      </c>
      <c r="J548" s="654">
        <v>8170.04</v>
      </c>
    </row>
    <row r="549" spans="1:10" s="98" customFormat="1" ht="29.25" customHeight="1" x14ac:dyDescent="0.2">
      <c r="A549" s="683">
        <v>6223</v>
      </c>
      <c r="B549" s="648" t="s">
        <v>1603</v>
      </c>
      <c r="C549" s="652">
        <v>1074000</v>
      </c>
      <c r="D549" s="652">
        <f>1074000+535000</f>
        <v>1609000</v>
      </c>
      <c r="E549" s="652">
        <v>868626.17</v>
      </c>
      <c r="F549" s="653"/>
      <c r="G549" s="642">
        <f t="shared" si="72"/>
        <v>80.87766945996276</v>
      </c>
      <c r="H549" s="644">
        <f t="shared" si="73"/>
        <v>53.985467371037913</v>
      </c>
      <c r="I549" s="651">
        <f t="shared" si="74"/>
        <v>466.05419532984411</v>
      </c>
      <c r="J549" s="654">
        <v>186378.79</v>
      </c>
    </row>
    <row r="550" spans="1:10" s="98" customFormat="1" x14ac:dyDescent="0.2">
      <c r="A550" s="1006"/>
      <c r="B550" s="1007"/>
      <c r="C550" s="872"/>
      <c r="D550" s="872"/>
      <c r="E550" s="872"/>
      <c r="F550" s="872"/>
      <c r="G550" s="872"/>
      <c r="H550" s="872"/>
      <c r="I550" s="1008"/>
      <c r="J550" s="29"/>
    </row>
    <row r="551" spans="1:10" s="98" customFormat="1" ht="20.25" x14ac:dyDescent="0.3">
      <c r="A551" s="1009"/>
      <c r="B551" s="1010" t="s">
        <v>33</v>
      </c>
      <c r="C551" s="1011">
        <f t="shared" ref="C551:D551" si="79">SUM(C552,C553)</f>
        <v>11266280</v>
      </c>
      <c r="D551" s="1011">
        <f t="shared" si="79"/>
        <v>11266280</v>
      </c>
      <c r="E551" s="1012">
        <v>5520449.7400000002</v>
      </c>
      <c r="F551" s="1013">
        <f>SUM(E552:E553)</f>
        <v>5520449.7400000002</v>
      </c>
      <c r="G551" s="810">
        <f t="shared" si="72"/>
        <v>48.999756263824437</v>
      </c>
      <c r="H551" s="810">
        <f t="shared" si="73"/>
        <v>48.999756263824437</v>
      </c>
      <c r="I551" s="997">
        <f t="shared" si="74"/>
        <v>105.66471240070632</v>
      </c>
      <c r="J551" s="29">
        <v>5224497.01</v>
      </c>
    </row>
    <row r="552" spans="1:10" s="98" customFormat="1" ht="24.75" x14ac:dyDescent="0.2">
      <c r="A552" s="683">
        <v>2223</v>
      </c>
      <c r="B552" s="648" t="s">
        <v>1604</v>
      </c>
      <c r="C552" s="679">
        <v>87000</v>
      </c>
      <c r="D552" s="679">
        <v>87000</v>
      </c>
      <c r="E552" s="679">
        <v>84307.3</v>
      </c>
      <c r="F552" s="860"/>
      <c r="G552" s="642">
        <f t="shared" si="72"/>
        <v>96.904942528735631</v>
      </c>
      <c r="H552" s="644">
        <f t="shared" si="73"/>
        <v>96.904942528735631</v>
      </c>
      <c r="I552" s="651">
        <f t="shared" si="74"/>
        <v>105.59331856323861</v>
      </c>
      <c r="J552" s="29">
        <v>79841.509999999995</v>
      </c>
    </row>
    <row r="553" spans="1:10" s="98" customFormat="1" x14ac:dyDescent="0.2">
      <c r="A553" s="683">
        <v>2292</v>
      </c>
      <c r="B553" s="640" t="s">
        <v>1605</v>
      </c>
      <c r="C553" s="652">
        <f t="shared" ref="C553:D553" si="80">SUM(C554:C558)</f>
        <v>11179280</v>
      </c>
      <c r="D553" s="652">
        <f t="shared" si="80"/>
        <v>11179280</v>
      </c>
      <c r="E553" s="652">
        <v>5436142.4400000004</v>
      </c>
      <c r="F553" s="653">
        <f>SUM(E554:E558)</f>
        <v>5436142.4400000004</v>
      </c>
      <c r="G553" s="642">
        <f t="shared" si="72"/>
        <v>48.626945921383133</v>
      </c>
      <c r="H553" s="644">
        <f t="shared" si="73"/>
        <v>48.626945921383133</v>
      </c>
      <c r="I553" s="651">
        <f t="shared" si="74"/>
        <v>105.6658203838916</v>
      </c>
      <c r="J553" s="29">
        <v>5144655.5</v>
      </c>
    </row>
    <row r="554" spans="1:10" s="98" customFormat="1" x14ac:dyDescent="0.2">
      <c r="A554" s="683"/>
      <c r="B554" s="658" t="s">
        <v>617</v>
      </c>
      <c r="C554" s="653">
        <v>1917280</v>
      </c>
      <c r="D554" s="653">
        <v>1917280</v>
      </c>
      <c r="E554" s="653">
        <v>695003</v>
      </c>
      <c r="F554" s="653"/>
      <c r="G554" s="643">
        <f t="shared" si="72"/>
        <v>36.249426270549947</v>
      </c>
      <c r="H554" s="659">
        <f t="shared" si="73"/>
        <v>36.249426270549947</v>
      </c>
      <c r="I554" s="664">
        <f t="shared" si="74"/>
        <v>66.885382527400026</v>
      </c>
      <c r="J554" s="29">
        <v>1039095.5</v>
      </c>
    </row>
    <row r="555" spans="1:10" s="98" customFormat="1" x14ac:dyDescent="0.2">
      <c r="A555" s="683"/>
      <c r="B555" s="658" t="s">
        <v>1606</v>
      </c>
      <c r="C555" s="653">
        <v>8500000</v>
      </c>
      <c r="D555" s="653">
        <v>8500000</v>
      </c>
      <c r="E555" s="653">
        <v>4175323</v>
      </c>
      <c r="F555" s="653"/>
      <c r="G555" s="643">
        <f t="shared" si="72"/>
        <v>49.121447058823534</v>
      </c>
      <c r="H555" s="659">
        <f t="shared" si="73"/>
        <v>49.121447058823534</v>
      </c>
      <c r="I555" s="664">
        <f t="shared" si="74"/>
        <v>112.73992169569327</v>
      </c>
      <c r="J555" s="29">
        <v>3703500</v>
      </c>
    </row>
    <row r="556" spans="1:10" s="98" customFormat="1" x14ac:dyDescent="0.2">
      <c r="A556" s="683"/>
      <c r="B556" s="666" t="s">
        <v>1607</v>
      </c>
      <c r="C556" s="653">
        <v>350000</v>
      </c>
      <c r="D556" s="653">
        <v>350000</v>
      </c>
      <c r="E556" s="653">
        <v>298897</v>
      </c>
      <c r="F556" s="653"/>
      <c r="G556" s="643">
        <f t="shared" si="72"/>
        <v>85.399142857142863</v>
      </c>
      <c r="H556" s="659">
        <f t="shared" si="73"/>
        <v>85.399142857142863</v>
      </c>
      <c r="I556" s="664">
        <f t="shared" si="74"/>
        <v>344.91564541069494</v>
      </c>
      <c r="J556" s="88">
        <v>86658</v>
      </c>
    </row>
    <row r="557" spans="1:10" s="98" customFormat="1" x14ac:dyDescent="0.2">
      <c r="A557" s="1014"/>
      <c r="B557" s="1015" t="s">
        <v>1608</v>
      </c>
      <c r="C557" s="650">
        <v>400000</v>
      </c>
      <c r="D557" s="650">
        <v>400000</v>
      </c>
      <c r="E557" s="650">
        <v>263637</v>
      </c>
      <c r="F557" s="650"/>
      <c r="G557" s="643">
        <f t="shared" ref="G557:G560" si="81">E557/C557*100</f>
        <v>65.90925</v>
      </c>
      <c r="H557" s="659">
        <f t="shared" ref="H557:H620" si="82">E557/D557*100</f>
        <v>65.90925</v>
      </c>
      <c r="I557" s="664">
        <f t="shared" si="74"/>
        <v>83.587611999923908</v>
      </c>
      <c r="J557" s="29">
        <v>315402</v>
      </c>
    </row>
    <row r="558" spans="1:10" s="98" customFormat="1" x14ac:dyDescent="0.2">
      <c r="A558" s="1016"/>
      <c r="B558" s="1017" t="s">
        <v>1609</v>
      </c>
      <c r="C558" s="833">
        <v>12000</v>
      </c>
      <c r="D558" s="833">
        <v>12000</v>
      </c>
      <c r="E558" s="833">
        <v>3282.44</v>
      </c>
      <c r="F558" s="833"/>
      <c r="G558" s="643">
        <f t="shared" si="81"/>
        <v>27.353666666666665</v>
      </c>
      <c r="H558" s="659">
        <f t="shared" si="82"/>
        <v>27.353666666666665</v>
      </c>
      <c r="I558" s="664">
        <v>0</v>
      </c>
      <c r="J558" s="29">
        <v>0</v>
      </c>
    </row>
    <row r="559" spans="1:10" s="98" customFormat="1" x14ac:dyDescent="0.2">
      <c r="A559" s="1008"/>
      <c r="B559" s="1017"/>
      <c r="C559" s="671"/>
      <c r="D559" s="671"/>
      <c r="E559" s="671"/>
      <c r="F559" s="671"/>
      <c r="G559" s="671"/>
      <c r="H559" s="671"/>
      <c r="I559" s="1018"/>
      <c r="J559" s="29"/>
    </row>
    <row r="560" spans="1:10" s="98" customFormat="1" ht="20.25" x14ac:dyDescent="0.3">
      <c r="A560" s="909"/>
      <c r="B560" s="624" t="s">
        <v>34</v>
      </c>
      <c r="C560" s="752">
        <f t="shared" ref="C560:D564" si="83">SUM(C561:C562)</f>
        <v>162000</v>
      </c>
      <c r="D560" s="752">
        <f t="shared" si="83"/>
        <v>162000</v>
      </c>
      <c r="E560" s="1019">
        <v>6830.06</v>
      </c>
      <c r="F560" s="963">
        <f>SUM(E561:E562)</f>
        <v>6830.06</v>
      </c>
      <c r="G560" s="810">
        <f t="shared" si="81"/>
        <v>4.2160864197530863</v>
      </c>
      <c r="H560" s="810">
        <f t="shared" si="82"/>
        <v>4.2160864197530863</v>
      </c>
      <c r="I560" s="997">
        <f t="shared" si="74"/>
        <v>13.849582285667939</v>
      </c>
      <c r="J560" s="29">
        <v>49316</v>
      </c>
    </row>
    <row r="561" spans="1:11" s="98" customFormat="1" ht="12.75" customHeight="1" x14ac:dyDescent="0.2">
      <c r="A561" s="683">
        <v>2223</v>
      </c>
      <c r="B561" s="640" t="s">
        <v>1610</v>
      </c>
      <c r="C561" s="652">
        <v>150000</v>
      </c>
      <c r="D561" s="652">
        <v>150000</v>
      </c>
      <c r="E561" s="652">
        <v>6396.06</v>
      </c>
      <c r="F561" s="653"/>
      <c r="G561" s="642">
        <f t="shared" ref="G561:G562" si="84">E561/D488*100</f>
        <v>3.2632959183673468E-2</v>
      </c>
      <c r="H561" s="644">
        <f t="shared" si="82"/>
        <v>4.2640400000000005</v>
      </c>
      <c r="I561" s="651">
        <f t="shared" si="74"/>
        <v>13.515753439131078</v>
      </c>
      <c r="J561" s="29">
        <v>47323</v>
      </c>
    </row>
    <row r="562" spans="1:11" s="98" customFormat="1" x14ac:dyDescent="0.2">
      <c r="A562" s="683">
        <v>6171</v>
      </c>
      <c r="B562" s="640" t="s">
        <v>1611</v>
      </c>
      <c r="C562" s="652">
        <v>12000</v>
      </c>
      <c r="D562" s="652">
        <v>12000</v>
      </c>
      <c r="E562" s="652">
        <v>434</v>
      </c>
      <c r="F562" s="653"/>
      <c r="G562" s="642">
        <f t="shared" si="84"/>
        <v>4.34</v>
      </c>
      <c r="H562" s="644">
        <f t="shared" si="82"/>
        <v>3.6166666666666667</v>
      </c>
      <c r="I562" s="651">
        <f t="shared" si="74"/>
        <v>20.825335892514396</v>
      </c>
      <c r="J562" s="29">
        <v>2084</v>
      </c>
    </row>
    <row r="563" spans="1:11" s="98" customFormat="1" x14ac:dyDescent="0.2">
      <c r="A563" s="1020"/>
      <c r="B563" s="1021"/>
      <c r="C563" s="872"/>
      <c r="D563" s="872"/>
      <c r="E563" s="878"/>
      <c r="F563" s="878"/>
      <c r="G563" s="878"/>
      <c r="H563" s="878"/>
      <c r="I563" s="749"/>
      <c r="J563" s="29"/>
    </row>
    <row r="564" spans="1:11" s="98" customFormat="1" ht="20.25" x14ac:dyDescent="0.3">
      <c r="A564" s="1009"/>
      <c r="B564" s="1022" t="s">
        <v>624</v>
      </c>
      <c r="C564" s="819">
        <f t="shared" si="83"/>
        <v>1000000</v>
      </c>
      <c r="D564" s="819">
        <f>SUM(D565:D566)</f>
        <v>1224000</v>
      </c>
      <c r="E564" s="1019">
        <v>355497.35</v>
      </c>
      <c r="F564" s="1023"/>
      <c r="G564" s="810">
        <f>E564/C564*100</f>
        <v>35.549734999999998</v>
      </c>
      <c r="H564" s="810">
        <f t="shared" si="82"/>
        <v>29.043901143790844</v>
      </c>
      <c r="I564" s="997">
        <f t="shared" si="74"/>
        <v>35.951942321449287</v>
      </c>
      <c r="J564" s="29">
        <v>988812.64</v>
      </c>
    </row>
    <row r="565" spans="1:11" s="98" customFormat="1" x14ac:dyDescent="0.2">
      <c r="A565" s="1024">
        <v>6115</v>
      </c>
      <c r="B565" s="953" t="s">
        <v>625</v>
      </c>
      <c r="C565" s="649">
        <v>500000</v>
      </c>
      <c r="D565" s="649">
        <v>500000</v>
      </c>
      <c r="E565" s="652">
        <v>355497.35</v>
      </c>
      <c r="F565" s="653"/>
      <c r="G565" s="642">
        <f>E565/D492*100</f>
        <v>71.099469999999997</v>
      </c>
      <c r="H565" s="644">
        <f t="shared" si="82"/>
        <v>71.099469999999997</v>
      </c>
      <c r="I565" s="651">
        <v>0</v>
      </c>
      <c r="J565" s="29">
        <v>0</v>
      </c>
    </row>
    <row r="566" spans="1:11" s="98" customFormat="1" x14ac:dyDescent="0.2">
      <c r="A566" s="769">
        <v>6117</v>
      </c>
      <c r="B566" s="683" t="s">
        <v>1612</v>
      </c>
      <c r="C566" s="649">
        <v>500000</v>
      </c>
      <c r="D566" s="649">
        <f>500000+(724000-500000)</f>
        <v>724000</v>
      </c>
      <c r="E566" s="652">
        <v>0</v>
      </c>
      <c r="F566" s="653"/>
      <c r="G566" s="642">
        <v>0</v>
      </c>
      <c r="H566" s="644">
        <f t="shared" si="82"/>
        <v>0</v>
      </c>
      <c r="I566" s="651">
        <v>0</v>
      </c>
      <c r="J566" s="29">
        <v>0</v>
      </c>
    </row>
    <row r="567" spans="1:11" s="98" customFormat="1" x14ac:dyDescent="0.2">
      <c r="A567" s="1025"/>
      <c r="B567" s="1026"/>
      <c r="C567" s="670"/>
      <c r="D567" s="670"/>
      <c r="E567" s="1027"/>
      <c r="F567" s="792"/>
      <c r="G567" s="1027"/>
      <c r="H567" s="1027"/>
      <c r="I567" s="1028"/>
      <c r="J567" s="29"/>
    </row>
    <row r="568" spans="1:11" customFormat="1" ht="20.25" x14ac:dyDescent="0.3">
      <c r="A568" s="992"/>
      <c r="B568" s="1029" t="s">
        <v>36</v>
      </c>
      <c r="C568" s="1030">
        <f t="shared" ref="C568:D568" si="85">C569+C613+C640</f>
        <v>112714300</v>
      </c>
      <c r="D568" s="1030">
        <f t="shared" si="85"/>
        <v>131296914.09999999</v>
      </c>
      <c r="E568" s="1019">
        <v>73172442.230000004</v>
      </c>
      <c r="F568" s="963">
        <f>SUM(E569,E613,E640)</f>
        <v>73172442.229999989</v>
      </c>
      <c r="G568" s="810">
        <f t="shared" ref="G568:G631" si="86">E568/C568*100</f>
        <v>64.918508325917827</v>
      </c>
      <c r="H568" s="810">
        <f t="shared" si="82"/>
        <v>55.730511818632309</v>
      </c>
      <c r="I568" s="997">
        <f t="shared" si="74"/>
        <v>105.29251333453517</v>
      </c>
      <c r="J568" s="88">
        <v>69494439.739999995</v>
      </c>
    </row>
    <row r="569" spans="1:11" customFormat="1" ht="15.75" x14ac:dyDescent="0.25">
      <c r="A569" s="903"/>
      <c r="B569" s="1031" t="s">
        <v>627</v>
      </c>
      <c r="C569" s="911">
        <f t="shared" ref="C569:D569" si="87">SUM(C570,C586,C611,C606)</f>
        <v>44001000</v>
      </c>
      <c r="D569" s="911">
        <f t="shared" si="87"/>
        <v>56830062.099999994</v>
      </c>
      <c r="E569" s="911">
        <v>31311825.129999999</v>
      </c>
      <c r="F569" s="1032">
        <f>SUM(E570,E586,E606,E611)</f>
        <v>31311825.129999999</v>
      </c>
      <c r="G569" s="788">
        <f t="shared" si="86"/>
        <v>71.161621622235856</v>
      </c>
      <c r="H569" s="788">
        <f t="shared" si="82"/>
        <v>55.097291772975211</v>
      </c>
      <c r="I569" s="826">
        <f t="shared" si="74"/>
        <v>105.3557120272405</v>
      </c>
      <c r="J569" s="88">
        <v>29720102.050000001</v>
      </c>
    </row>
    <row r="570" spans="1:11" customFormat="1" x14ac:dyDescent="0.2">
      <c r="A570" s="974">
        <v>3111</v>
      </c>
      <c r="B570" s="1033" t="s">
        <v>1613</v>
      </c>
      <c r="C570" s="895">
        <f t="shared" ref="C570:D570" si="88">SUM(C571:C573)</f>
        <v>9931000</v>
      </c>
      <c r="D570" s="895">
        <f t="shared" si="88"/>
        <v>10154944</v>
      </c>
      <c r="E570" s="895">
        <v>4411813</v>
      </c>
      <c r="F570" s="1034">
        <f>SUM(E571:E573)</f>
        <v>4411813</v>
      </c>
      <c r="G570" s="642">
        <f t="shared" si="86"/>
        <v>44.424660155069986</v>
      </c>
      <c r="H570" s="644">
        <f t="shared" si="82"/>
        <v>43.444976161365339</v>
      </c>
      <c r="I570" s="651">
        <f t="shared" si="74"/>
        <v>88.250304506460381</v>
      </c>
      <c r="J570" s="88">
        <v>4999204.28</v>
      </c>
      <c r="K570" s="2"/>
    </row>
    <row r="571" spans="1:11" customFormat="1" x14ac:dyDescent="0.2">
      <c r="A571" s="706"/>
      <c r="B571" s="1035" t="s">
        <v>629</v>
      </c>
      <c r="C571" s="1036">
        <f t="shared" ref="C571:D573" si="89">+C575+C579+C583</f>
        <v>8544000</v>
      </c>
      <c r="D571" s="1036">
        <f t="shared" si="89"/>
        <v>8767944</v>
      </c>
      <c r="E571" s="722">
        <v>4387070</v>
      </c>
      <c r="F571" s="722">
        <f t="shared" ref="F571:F572" si="90">SUM(E575,E579,E583)</f>
        <v>4387070</v>
      </c>
      <c r="G571" s="643">
        <f t="shared" si="86"/>
        <v>51.346793071161045</v>
      </c>
      <c r="H571" s="659">
        <f t="shared" si="82"/>
        <v>50.035333254865677</v>
      </c>
      <c r="I571" s="664">
        <f t="shared" si="74"/>
        <v>102.14365541327123</v>
      </c>
      <c r="J571" s="88">
        <v>4295000</v>
      </c>
    </row>
    <row r="572" spans="1:11" customFormat="1" x14ac:dyDescent="0.2">
      <c r="A572" s="706"/>
      <c r="B572" s="1035" t="s">
        <v>1614</v>
      </c>
      <c r="C572" s="1036">
        <f t="shared" si="89"/>
        <v>937000</v>
      </c>
      <c r="D572" s="1036">
        <f>+D576+D580+D584</f>
        <v>937000</v>
      </c>
      <c r="E572" s="722">
        <v>24743</v>
      </c>
      <c r="F572" s="722">
        <f t="shared" si="90"/>
        <v>24743</v>
      </c>
      <c r="G572" s="643">
        <f t="shared" si="86"/>
        <v>2.6406616862326575</v>
      </c>
      <c r="H572" s="659">
        <f t="shared" si="82"/>
        <v>2.6406616862326575</v>
      </c>
      <c r="I572" s="664">
        <f t="shared" si="74"/>
        <v>3.5136111356778459</v>
      </c>
      <c r="J572" s="88">
        <v>704204.28</v>
      </c>
    </row>
    <row r="573" spans="1:11" customFormat="1" x14ac:dyDescent="0.2">
      <c r="A573" s="706"/>
      <c r="B573" s="1035" t="s">
        <v>1615</v>
      </c>
      <c r="C573" s="1036">
        <f t="shared" si="89"/>
        <v>450000</v>
      </c>
      <c r="D573" s="1036">
        <f t="shared" si="89"/>
        <v>450000</v>
      </c>
      <c r="E573" s="722">
        <v>0</v>
      </c>
      <c r="F573" s="722">
        <f>SUM(E577,E581,E584:E585)</f>
        <v>6600</v>
      </c>
      <c r="G573" s="643">
        <f t="shared" si="86"/>
        <v>0</v>
      </c>
      <c r="H573" s="659">
        <f t="shared" si="82"/>
        <v>0</v>
      </c>
      <c r="I573" s="664">
        <v>0</v>
      </c>
      <c r="J573" s="88">
        <v>0</v>
      </c>
    </row>
    <row r="574" spans="1:11" customFormat="1" x14ac:dyDescent="0.2">
      <c r="A574" s="706"/>
      <c r="B574" s="971" t="s">
        <v>1616</v>
      </c>
      <c r="C574" s="899">
        <f t="shared" ref="C574:D574" si="91">C575+C576+C577</f>
        <v>2687000</v>
      </c>
      <c r="D574" s="899">
        <f t="shared" si="91"/>
        <v>2687000</v>
      </c>
      <c r="E574" s="899">
        <v>1323000</v>
      </c>
      <c r="F574" s="722">
        <f>SUM(E575:E577)</f>
        <v>1323000</v>
      </c>
      <c r="G574" s="642">
        <f t="shared" si="86"/>
        <v>49.237067361369554</v>
      </c>
      <c r="H574" s="644">
        <f t="shared" si="82"/>
        <v>49.237067361369554</v>
      </c>
      <c r="I574" s="651">
        <f t="shared" si="74"/>
        <v>63.325545168804652</v>
      </c>
      <c r="J574" s="88">
        <v>2089204.28</v>
      </c>
    </row>
    <row r="575" spans="1:11" customFormat="1" x14ac:dyDescent="0.2">
      <c r="A575" s="706"/>
      <c r="B575" s="971" t="s">
        <v>1617</v>
      </c>
      <c r="C575" s="1037">
        <v>2673000</v>
      </c>
      <c r="D575" s="1037">
        <v>2673000</v>
      </c>
      <c r="E575" s="722">
        <v>1323000</v>
      </c>
      <c r="F575" s="722"/>
      <c r="G575" s="643">
        <f t="shared" si="86"/>
        <v>49.494949494949495</v>
      </c>
      <c r="H575" s="659">
        <f t="shared" si="82"/>
        <v>49.494949494949495</v>
      </c>
      <c r="I575" s="664">
        <f t="shared" si="74"/>
        <v>78.656361474435201</v>
      </c>
      <c r="J575" s="88">
        <v>1682000</v>
      </c>
    </row>
    <row r="576" spans="1:11" customFormat="1" ht="24.75" x14ac:dyDescent="0.2">
      <c r="A576" s="706" t="s">
        <v>634</v>
      </c>
      <c r="B576" s="971" t="s">
        <v>1618</v>
      </c>
      <c r="C576" s="1037">
        <v>14000</v>
      </c>
      <c r="D576" s="1037">
        <v>14000</v>
      </c>
      <c r="E576" s="708">
        <v>0</v>
      </c>
      <c r="F576" s="708"/>
      <c r="G576" s="643">
        <f t="shared" si="86"/>
        <v>0</v>
      </c>
      <c r="H576" s="659">
        <f t="shared" si="82"/>
        <v>0</v>
      </c>
      <c r="I576" s="664">
        <f t="shared" si="74"/>
        <v>0</v>
      </c>
      <c r="J576" s="32">
        <v>704204.28</v>
      </c>
    </row>
    <row r="577" spans="1:10" customFormat="1" x14ac:dyDescent="0.2">
      <c r="A577" s="706"/>
      <c r="B577" s="971" t="s">
        <v>1619</v>
      </c>
      <c r="C577" s="1037">
        <v>0</v>
      </c>
      <c r="D577" s="1037">
        <v>0</v>
      </c>
      <c r="E577" s="708">
        <v>0</v>
      </c>
      <c r="F577" s="708"/>
      <c r="G577" s="643">
        <v>0</v>
      </c>
      <c r="H577" s="659">
        <v>0</v>
      </c>
      <c r="I577" s="664">
        <v>0</v>
      </c>
      <c r="J577" s="88">
        <v>0</v>
      </c>
    </row>
    <row r="578" spans="1:10" customFormat="1" ht="15" x14ac:dyDescent="0.2">
      <c r="A578" s="706"/>
      <c r="B578" s="1038" t="s">
        <v>1620</v>
      </c>
      <c r="C578" s="1039">
        <f t="shared" ref="C578:D578" si="92">SUM(C579:C581)</f>
        <v>4000000</v>
      </c>
      <c r="D578" s="1039">
        <f t="shared" si="92"/>
        <v>4000000</v>
      </c>
      <c r="E578" s="735">
        <v>1590143</v>
      </c>
      <c r="F578" s="708">
        <f>SUM(E579:E581)</f>
        <v>1590143</v>
      </c>
      <c r="G578" s="642">
        <f t="shared" si="86"/>
        <v>39.753575000000005</v>
      </c>
      <c r="H578" s="644">
        <f t="shared" si="82"/>
        <v>39.753575000000005</v>
      </c>
      <c r="I578" s="651">
        <f t="shared" si="74"/>
        <v>100.00899371069183</v>
      </c>
      <c r="J578" s="88">
        <v>1590000</v>
      </c>
    </row>
    <row r="579" spans="1:10" customFormat="1" x14ac:dyDescent="0.2">
      <c r="A579" s="706"/>
      <c r="B579" s="971" t="s">
        <v>1621</v>
      </c>
      <c r="C579" s="1037">
        <f>70000+3075000</f>
        <v>3145000</v>
      </c>
      <c r="D579" s="1037">
        <f>70000+3075000</f>
        <v>3145000</v>
      </c>
      <c r="E579" s="722">
        <v>1572000</v>
      </c>
      <c r="F579" s="722"/>
      <c r="G579" s="643">
        <f t="shared" si="86"/>
        <v>49.984101748807632</v>
      </c>
      <c r="H579" s="659">
        <f t="shared" si="82"/>
        <v>49.984101748807632</v>
      </c>
      <c r="I579" s="664">
        <f t="shared" si="74"/>
        <v>98.867924528301884</v>
      </c>
      <c r="J579" s="88">
        <v>1590000</v>
      </c>
    </row>
    <row r="580" spans="1:10" customFormat="1" ht="26.25" customHeight="1" x14ac:dyDescent="0.2">
      <c r="A580" s="706"/>
      <c r="B580" s="971" t="s">
        <v>1622</v>
      </c>
      <c r="C580" s="1037">
        <v>455000</v>
      </c>
      <c r="D580" s="1037">
        <v>455000</v>
      </c>
      <c r="E580" s="722">
        <v>18143</v>
      </c>
      <c r="F580" s="722"/>
      <c r="G580" s="643">
        <f t="shared" si="86"/>
        <v>3.9874725274725278</v>
      </c>
      <c r="H580" s="659">
        <f t="shared" si="82"/>
        <v>3.9874725274725278</v>
      </c>
      <c r="I580" s="664">
        <v>0</v>
      </c>
      <c r="J580" s="32">
        <v>0</v>
      </c>
    </row>
    <row r="581" spans="1:10" customFormat="1" x14ac:dyDescent="0.2">
      <c r="A581" s="706"/>
      <c r="B581" s="971" t="s">
        <v>1623</v>
      </c>
      <c r="C581" s="1037">
        <v>400000</v>
      </c>
      <c r="D581" s="1037">
        <v>400000</v>
      </c>
      <c r="E581" s="708">
        <v>0</v>
      </c>
      <c r="F581" s="708"/>
      <c r="G581" s="643">
        <f t="shared" si="86"/>
        <v>0</v>
      </c>
      <c r="H581" s="659">
        <f t="shared" si="82"/>
        <v>0</v>
      </c>
      <c r="I581" s="664">
        <v>0</v>
      </c>
      <c r="J581" s="88">
        <v>0</v>
      </c>
    </row>
    <row r="582" spans="1:10" customFormat="1" x14ac:dyDescent="0.2">
      <c r="A582" s="706"/>
      <c r="B582" s="971" t="s">
        <v>1624</v>
      </c>
      <c r="C582" s="1039">
        <f>SUM(C583:C585)</f>
        <v>3244000</v>
      </c>
      <c r="D582" s="1039">
        <f>SUM(D583:D585)</f>
        <v>3467944</v>
      </c>
      <c r="E582" s="735">
        <v>1498670</v>
      </c>
      <c r="F582" s="708">
        <f>SUM(E583:E585)</f>
        <v>1498670</v>
      </c>
      <c r="G582" s="642">
        <f t="shared" si="86"/>
        <v>46.198212083847103</v>
      </c>
      <c r="H582" s="644">
        <f t="shared" si="82"/>
        <v>43.214942340476085</v>
      </c>
      <c r="I582" s="651">
        <f t="shared" si="74"/>
        <v>113.53560606060607</v>
      </c>
      <c r="J582" s="88">
        <v>1320000</v>
      </c>
    </row>
    <row r="583" spans="1:10" customFormat="1" x14ac:dyDescent="0.2">
      <c r="A583" s="706"/>
      <c r="B583" s="971" t="s">
        <v>1625</v>
      </c>
      <c r="C583" s="1037">
        <v>2726000</v>
      </c>
      <c r="D583" s="1037">
        <f>2726000+192228+(3419.6+30776.4)-1284-1196</f>
        <v>2949944</v>
      </c>
      <c r="E583" s="708">
        <v>1492070</v>
      </c>
      <c r="F583" s="708"/>
      <c r="G583" s="643">
        <f t="shared" si="86"/>
        <v>54.734776228906824</v>
      </c>
      <c r="H583" s="659">
        <f t="shared" si="82"/>
        <v>50.579604222995421</v>
      </c>
      <c r="I583" s="664">
        <f t="shared" si="74"/>
        <v>113.03560606060606</v>
      </c>
      <c r="J583" s="88">
        <v>1320000</v>
      </c>
    </row>
    <row r="584" spans="1:10" customFormat="1" ht="24.75" x14ac:dyDescent="0.2">
      <c r="A584" s="706"/>
      <c r="B584" s="971" t="s">
        <v>1626</v>
      </c>
      <c r="C584" s="1037">
        <v>468000</v>
      </c>
      <c r="D584" s="1037">
        <v>468000</v>
      </c>
      <c r="E584" s="708">
        <v>6600</v>
      </c>
      <c r="F584" s="708"/>
      <c r="G584" s="643">
        <f t="shared" si="86"/>
        <v>1.4102564102564104</v>
      </c>
      <c r="H584" s="659">
        <f t="shared" si="82"/>
        <v>1.4102564102564104</v>
      </c>
      <c r="I584" s="664">
        <v>0</v>
      </c>
      <c r="J584" s="32">
        <v>0</v>
      </c>
    </row>
    <row r="585" spans="1:10" customFormat="1" x14ac:dyDescent="0.2">
      <c r="A585" s="706"/>
      <c r="B585" s="971" t="s">
        <v>1627</v>
      </c>
      <c r="C585" s="1037">
        <v>50000</v>
      </c>
      <c r="D585" s="1037">
        <v>50000</v>
      </c>
      <c r="E585" s="722">
        <v>0</v>
      </c>
      <c r="F585" s="722"/>
      <c r="G585" s="643">
        <f t="shared" si="86"/>
        <v>0</v>
      </c>
      <c r="H585" s="659">
        <f t="shared" si="82"/>
        <v>0</v>
      </c>
      <c r="I585" s="664">
        <v>0</v>
      </c>
      <c r="J585" s="88">
        <v>0</v>
      </c>
    </row>
    <row r="586" spans="1:10" customFormat="1" x14ac:dyDescent="0.2">
      <c r="A586" s="769">
        <v>3113</v>
      </c>
      <c r="B586" s="1040" t="s">
        <v>644</v>
      </c>
      <c r="C586" s="1039">
        <f>SUM(C587:C590)</f>
        <v>31532000</v>
      </c>
      <c r="D586" s="1039">
        <f>SUM(D587:D590)</f>
        <v>43792608.099999994</v>
      </c>
      <c r="E586" s="735">
        <v>25258954.129999999</v>
      </c>
      <c r="F586" s="708">
        <f>SUM(E587:E590)</f>
        <v>25258954.129999999</v>
      </c>
      <c r="G586" s="642">
        <f t="shared" si="86"/>
        <v>80.105778669288341</v>
      </c>
      <c r="H586" s="644">
        <f t="shared" si="82"/>
        <v>57.678579161856312</v>
      </c>
      <c r="I586" s="651">
        <f t="shared" ref="I586:I647" si="93">E586/J586*100</f>
        <v>121.79982267477885</v>
      </c>
      <c r="J586" s="88">
        <v>20738087.77</v>
      </c>
    </row>
    <row r="587" spans="1:10" customFormat="1" x14ac:dyDescent="0.2">
      <c r="A587" s="769"/>
      <c r="B587" s="971" t="s">
        <v>645</v>
      </c>
      <c r="C587" s="1037">
        <v>548000</v>
      </c>
      <c r="D587" s="1037">
        <f>548000</f>
        <v>548000</v>
      </c>
      <c r="E587" s="708">
        <v>187729</v>
      </c>
      <c r="F587" s="708"/>
      <c r="G587" s="643">
        <f t="shared" si="86"/>
        <v>34.25711678832117</v>
      </c>
      <c r="H587" s="659">
        <f t="shared" si="82"/>
        <v>34.25711678832117</v>
      </c>
      <c r="I587" s="664">
        <f t="shared" si="93"/>
        <v>603.96036418621111</v>
      </c>
      <c r="J587" s="88">
        <v>31083</v>
      </c>
    </row>
    <row r="588" spans="1:10" customFormat="1" x14ac:dyDescent="0.2">
      <c r="A588" s="706"/>
      <c r="B588" s="971" t="s">
        <v>646</v>
      </c>
      <c r="C588" s="1036">
        <f t="shared" ref="C588:D589" si="94">+C592+C596+C599+C603</f>
        <v>26899000</v>
      </c>
      <c r="D588" s="1036">
        <f t="shared" si="94"/>
        <v>32178301.050000001</v>
      </c>
      <c r="E588" s="708">
        <v>18711464.079999998</v>
      </c>
      <c r="F588" s="708">
        <f t="shared" ref="F588:F589" si="95">SUM(E592,E596,E599,E603)</f>
        <v>18711464.079999998</v>
      </c>
      <c r="G588" s="643">
        <f t="shared" si="86"/>
        <v>69.561931967731141</v>
      </c>
      <c r="H588" s="659">
        <f t="shared" si="82"/>
        <v>58.149322585195961</v>
      </c>
      <c r="I588" s="664">
        <f t="shared" si="93"/>
        <v>94.514027442878273</v>
      </c>
      <c r="J588" s="88">
        <v>19797552.370000001</v>
      </c>
    </row>
    <row r="589" spans="1:10" customFormat="1" x14ac:dyDescent="0.2">
      <c r="A589" s="706"/>
      <c r="B589" s="971" t="s">
        <v>1628</v>
      </c>
      <c r="C589" s="1036">
        <f t="shared" si="94"/>
        <v>2123000</v>
      </c>
      <c r="D589" s="1036">
        <f t="shared" si="94"/>
        <v>3045208</v>
      </c>
      <c r="E589" s="708">
        <v>113354</v>
      </c>
      <c r="F589" s="708">
        <f t="shared" si="95"/>
        <v>113354</v>
      </c>
      <c r="G589" s="643">
        <f t="shared" si="86"/>
        <v>5.3393311351860575</v>
      </c>
      <c r="H589" s="659">
        <f t="shared" si="82"/>
        <v>3.7223729873296008</v>
      </c>
      <c r="I589" s="664">
        <f t="shared" si="93"/>
        <v>21.904687920903967</v>
      </c>
      <c r="J589" s="88">
        <v>517487.4</v>
      </c>
    </row>
    <row r="590" spans="1:10" customFormat="1" x14ac:dyDescent="0.2">
      <c r="A590" s="706"/>
      <c r="B590" s="971" t="s">
        <v>1629</v>
      </c>
      <c r="C590" s="1036">
        <f t="shared" ref="C590:D590" si="96">+C594+C601+C605</f>
        <v>1962000</v>
      </c>
      <c r="D590" s="1036">
        <f t="shared" si="96"/>
        <v>8021099.0500000007</v>
      </c>
      <c r="E590" s="722">
        <v>6246407.0499999998</v>
      </c>
      <c r="F590" s="722">
        <f>SUM(E594,E601,E605)</f>
        <v>6246407.0499999998</v>
      </c>
      <c r="G590" s="643">
        <f t="shared" si="86"/>
        <v>318.36937054026504</v>
      </c>
      <c r="H590" s="659">
        <f t="shared" si="82"/>
        <v>77.874702843870253</v>
      </c>
      <c r="I590" s="664">
        <f t="shared" si="93"/>
        <v>1593.6134731417346</v>
      </c>
      <c r="J590" s="88">
        <v>391965</v>
      </c>
    </row>
    <row r="591" spans="1:10" customFormat="1" x14ac:dyDescent="0.2">
      <c r="A591" s="706"/>
      <c r="B591" s="971" t="s">
        <v>1630</v>
      </c>
      <c r="C591" s="1039">
        <f>SUM(C592:C594)</f>
        <v>10921000</v>
      </c>
      <c r="D591" s="1039">
        <f>SUM(D592:D594)</f>
        <v>11132596</v>
      </c>
      <c r="E591" s="735">
        <v>4873108</v>
      </c>
      <c r="F591" s="708">
        <f>SUM(E592:E594)</f>
        <v>4873108</v>
      </c>
      <c r="G591" s="642">
        <f t="shared" si="86"/>
        <v>44.621444922626132</v>
      </c>
      <c r="H591" s="644">
        <f t="shared" si="82"/>
        <v>43.773330137912126</v>
      </c>
      <c r="I591" s="651">
        <f t="shared" si="93"/>
        <v>100.29037154433573</v>
      </c>
      <c r="J591" s="88">
        <v>4858998.8499999996</v>
      </c>
    </row>
    <row r="592" spans="1:10" customFormat="1" x14ac:dyDescent="0.2">
      <c r="A592" s="706"/>
      <c r="B592" s="971" t="s">
        <v>1631</v>
      </c>
      <c r="C592" s="1037">
        <v>9498000</v>
      </c>
      <c r="D592" s="1037">
        <f>9498000+90488+(4890+44010)</f>
        <v>9637388</v>
      </c>
      <c r="E592" s="722">
        <v>4873108</v>
      </c>
      <c r="F592" s="722"/>
      <c r="G592" s="643">
        <f t="shared" si="86"/>
        <v>51.306675089492529</v>
      </c>
      <c r="H592" s="659">
        <f t="shared" si="82"/>
        <v>50.564613565418348</v>
      </c>
      <c r="I592" s="664">
        <f t="shared" si="93"/>
        <v>102.51220113756571</v>
      </c>
      <c r="J592" s="88">
        <v>4753685.8499999996</v>
      </c>
    </row>
    <row r="593" spans="1:10" customFormat="1" ht="27.75" customHeight="1" x14ac:dyDescent="0.2">
      <c r="A593" s="706"/>
      <c r="B593" s="971" t="s">
        <v>1632</v>
      </c>
      <c r="C593" s="1037">
        <v>1131000</v>
      </c>
      <c r="D593" s="1037">
        <f>1131000+72208</f>
        <v>1203208</v>
      </c>
      <c r="E593" s="722">
        <v>0</v>
      </c>
      <c r="F593" s="722"/>
      <c r="G593" s="643">
        <f t="shared" si="86"/>
        <v>0</v>
      </c>
      <c r="H593" s="659">
        <f t="shared" si="82"/>
        <v>0</v>
      </c>
      <c r="I593" s="664">
        <f t="shared" si="93"/>
        <v>0</v>
      </c>
      <c r="J593" s="32">
        <v>105313</v>
      </c>
    </row>
    <row r="594" spans="1:10" customFormat="1" x14ac:dyDescent="0.2">
      <c r="A594" s="706"/>
      <c r="B594" s="971" t="s">
        <v>1633</v>
      </c>
      <c r="C594" s="1037">
        <v>292000</v>
      </c>
      <c r="D594" s="1037">
        <v>292000</v>
      </c>
      <c r="E594" s="1036">
        <v>0</v>
      </c>
      <c r="F594" s="1036"/>
      <c r="G594" s="643">
        <f t="shared" si="86"/>
        <v>0</v>
      </c>
      <c r="H594" s="659">
        <f t="shared" si="82"/>
        <v>0</v>
      </c>
      <c r="I594" s="664">
        <v>0</v>
      </c>
      <c r="J594" s="88">
        <v>0</v>
      </c>
    </row>
    <row r="595" spans="1:10" customFormat="1" x14ac:dyDescent="0.2">
      <c r="A595" s="706"/>
      <c r="B595" s="971" t="s">
        <v>1634</v>
      </c>
      <c r="C595" s="1039">
        <f t="shared" ref="C595:D595" si="97">SUM(C596:C597)</f>
        <v>5733000</v>
      </c>
      <c r="D595" s="1039">
        <f t="shared" si="97"/>
        <v>5808190</v>
      </c>
      <c r="E595" s="1039">
        <v>2778190</v>
      </c>
      <c r="F595" s="1036">
        <f>SUM(E596:E597)</f>
        <v>2778190</v>
      </c>
      <c r="G595" s="642">
        <f t="shared" si="86"/>
        <v>48.459619745334031</v>
      </c>
      <c r="H595" s="644">
        <f t="shared" si="82"/>
        <v>47.832285100866187</v>
      </c>
      <c r="I595" s="651">
        <f t="shared" si="93"/>
        <v>39.266624527423758</v>
      </c>
      <c r="J595" s="88">
        <v>7075194.3499999996</v>
      </c>
    </row>
    <row r="596" spans="1:10" customFormat="1" x14ac:dyDescent="0.2">
      <c r="A596" s="706"/>
      <c r="B596" s="971" t="s">
        <v>1635</v>
      </c>
      <c r="C596" s="1037">
        <v>5433000</v>
      </c>
      <c r="D596" s="1037">
        <f>5433000+(7519+67671)</f>
        <v>5508190</v>
      </c>
      <c r="E596" s="722">
        <v>2778190</v>
      </c>
      <c r="F596" s="900"/>
      <c r="G596" s="643">
        <f t="shared" si="86"/>
        <v>51.135468433646238</v>
      </c>
      <c r="H596" s="659">
        <f t="shared" si="82"/>
        <v>50.437439521875604</v>
      </c>
      <c r="I596" s="664">
        <f t="shared" si="93"/>
        <v>39.266624527423758</v>
      </c>
      <c r="J596" s="88">
        <v>7075194.3499999996</v>
      </c>
    </row>
    <row r="597" spans="1:10" customFormat="1" ht="24.75" x14ac:dyDescent="0.2">
      <c r="A597" s="706"/>
      <c r="B597" s="971" t="s">
        <v>1636</v>
      </c>
      <c r="C597" s="1037">
        <v>300000</v>
      </c>
      <c r="D597" s="1037">
        <v>300000</v>
      </c>
      <c r="E597" s="708">
        <v>0</v>
      </c>
      <c r="F597" s="708"/>
      <c r="G597" s="643">
        <f t="shared" si="86"/>
        <v>0</v>
      </c>
      <c r="H597" s="659">
        <f t="shared" si="82"/>
        <v>0</v>
      </c>
      <c r="I597" s="664">
        <v>0</v>
      </c>
      <c r="J597" s="32">
        <v>0</v>
      </c>
    </row>
    <row r="598" spans="1:10" customFormat="1" x14ac:dyDescent="0.2">
      <c r="A598" s="706"/>
      <c r="B598" s="971" t="s">
        <v>1637</v>
      </c>
      <c r="C598" s="1039">
        <f t="shared" ref="C598:D602" si="98">SUM(C599:C601)</f>
        <v>5192000</v>
      </c>
      <c r="D598" s="1039">
        <f t="shared" si="98"/>
        <v>16315822.100000001</v>
      </c>
      <c r="E598" s="735">
        <v>13670619.130000001</v>
      </c>
      <c r="F598" s="708">
        <f>SUM(E599:E601)</f>
        <v>13670619.129999999</v>
      </c>
      <c r="G598" s="642">
        <f t="shared" si="86"/>
        <v>263.30160111710325</v>
      </c>
      <c r="H598" s="644">
        <f t="shared" si="82"/>
        <v>83.787498087515928</v>
      </c>
      <c r="I598" s="651">
        <f t="shared" si="93"/>
        <v>455.46404041536215</v>
      </c>
      <c r="J598" s="88">
        <v>3001470.57</v>
      </c>
    </row>
    <row r="599" spans="1:10" customFormat="1" x14ac:dyDescent="0.2">
      <c r="A599" s="706"/>
      <c r="B599" s="971" t="s">
        <v>1638</v>
      </c>
      <c r="C599" s="1037">
        <v>4927000</v>
      </c>
      <c r="D599" s="1037">
        <f>4927000+(6180+55620)+313948+(261245.45+4441172.63)-13443.03</f>
        <v>9991723.0500000007</v>
      </c>
      <c r="E599" s="708">
        <v>7538166.0800000001</v>
      </c>
      <c r="F599" s="708"/>
      <c r="G599" s="643">
        <f t="shared" si="86"/>
        <v>152.99707895270956</v>
      </c>
      <c r="H599" s="659">
        <f t="shared" si="82"/>
        <v>75.444105508909189</v>
      </c>
      <c r="I599" s="664">
        <f t="shared" si="93"/>
        <v>324.07066154790749</v>
      </c>
      <c r="J599" s="88">
        <v>2326087.17</v>
      </c>
    </row>
    <row r="600" spans="1:10" customFormat="1" ht="24.75" x14ac:dyDescent="0.2">
      <c r="A600" s="706"/>
      <c r="B600" s="971" t="s">
        <v>1639</v>
      </c>
      <c r="C600" s="1037">
        <v>265000</v>
      </c>
      <c r="D600" s="1037">
        <v>265000</v>
      </c>
      <c r="E600" s="722">
        <v>73354</v>
      </c>
      <c r="F600" s="722"/>
      <c r="G600" s="643">
        <f t="shared" si="86"/>
        <v>27.680754716981131</v>
      </c>
      <c r="H600" s="659">
        <f t="shared" si="82"/>
        <v>27.680754716981131</v>
      </c>
      <c r="I600" s="664">
        <f t="shared" si="93"/>
        <v>21.003028165142656</v>
      </c>
      <c r="J600" s="32">
        <v>349254.40000000002</v>
      </c>
    </row>
    <row r="601" spans="1:10" customFormat="1" ht="24.75" x14ac:dyDescent="0.2">
      <c r="A601" s="706"/>
      <c r="B601" s="971" t="s">
        <v>1640</v>
      </c>
      <c r="C601" s="1037">
        <v>0</v>
      </c>
      <c r="D601" s="1037">
        <f>(336616.61+5722482.44)</f>
        <v>6059099.0500000007</v>
      </c>
      <c r="E601" s="722">
        <v>6059099.0499999998</v>
      </c>
      <c r="F601" s="722"/>
      <c r="G601" s="643">
        <v>0</v>
      </c>
      <c r="H601" s="659">
        <f t="shared" si="82"/>
        <v>99.999999999999986</v>
      </c>
      <c r="I601" s="664">
        <f t="shared" si="93"/>
        <v>1857.8841654682656</v>
      </c>
      <c r="J601" s="32">
        <v>326129</v>
      </c>
    </row>
    <row r="602" spans="1:10" customFormat="1" x14ac:dyDescent="0.2">
      <c r="A602" s="706"/>
      <c r="B602" s="971" t="s">
        <v>1641</v>
      </c>
      <c r="C602" s="1039">
        <f t="shared" si="98"/>
        <v>9138000</v>
      </c>
      <c r="D602" s="1039">
        <f t="shared" si="98"/>
        <v>9988000</v>
      </c>
      <c r="E602" s="735">
        <v>3749308</v>
      </c>
      <c r="F602" s="708">
        <f>SUM(E603:E605)</f>
        <v>3749308</v>
      </c>
      <c r="G602" s="642">
        <f t="shared" si="86"/>
        <v>41.029853359597283</v>
      </c>
      <c r="H602" s="644">
        <f t="shared" si="82"/>
        <v>37.538125750901081</v>
      </c>
      <c r="I602" s="651">
        <f t="shared" si="93"/>
        <v>64.964243145570492</v>
      </c>
      <c r="J602" s="88">
        <v>5771341</v>
      </c>
    </row>
    <row r="603" spans="1:10" customFormat="1" x14ac:dyDescent="0.2">
      <c r="A603" s="706"/>
      <c r="B603" s="971" t="s">
        <v>1642</v>
      </c>
      <c r="C603" s="1037">
        <v>7041000</v>
      </c>
      <c r="D603" s="1037">
        <v>7041000</v>
      </c>
      <c r="E603" s="708">
        <v>3522000</v>
      </c>
      <c r="F603" s="708"/>
      <c r="G603" s="643">
        <f t="shared" si="86"/>
        <v>50.021303792074988</v>
      </c>
      <c r="H603" s="659">
        <f t="shared" si="82"/>
        <v>50.021303792074988</v>
      </c>
      <c r="I603" s="664">
        <f t="shared" si="93"/>
        <v>62.418200168894224</v>
      </c>
      <c r="J603" s="88">
        <v>5642585</v>
      </c>
    </row>
    <row r="604" spans="1:10" customFormat="1" ht="24.75" x14ac:dyDescent="0.2">
      <c r="A604" s="706"/>
      <c r="B604" s="971" t="s">
        <v>1643</v>
      </c>
      <c r="C604" s="1037">
        <v>427000</v>
      </c>
      <c r="D604" s="1037">
        <f>427000+850000</f>
        <v>1277000</v>
      </c>
      <c r="E604" s="708">
        <v>40000</v>
      </c>
      <c r="F604" s="708"/>
      <c r="G604" s="643">
        <f t="shared" si="86"/>
        <v>9.3676814988290413</v>
      </c>
      <c r="H604" s="659">
        <f t="shared" si="82"/>
        <v>3.1323414252153485</v>
      </c>
      <c r="I604" s="664">
        <f t="shared" si="93"/>
        <v>63.572790845518121</v>
      </c>
      <c r="J604" s="32">
        <v>62920</v>
      </c>
    </row>
    <row r="605" spans="1:10" customFormat="1" ht="25.5" x14ac:dyDescent="0.2">
      <c r="A605" s="706"/>
      <c r="B605" s="971" t="s">
        <v>1644</v>
      </c>
      <c r="C605" s="1037">
        <v>1670000</v>
      </c>
      <c r="D605" s="1037">
        <v>1670000</v>
      </c>
      <c r="E605" s="722">
        <v>187308</v>
      </c>
      <c r="F605" s="722"/>
      <c r="G605" s="643">
        <f t="shared" si="86"/>
        <v>11.216047904191617</v>
      </c>
      <c r="H605" s="659">
        <f t="shared" si="82"/>
        <v>11.216047904191617</v>
      </c>
      <c r="I605" s="664">
        <f t="shared" si="93"/>
        <v>284.50695668023576</v>
      </c>
      <c r="J605" s="32">
        <v>65836</v>
      </c>
    </row>
    <row r="606" spans="1:10" customFormat="1" x14ac:dyDescent="0.2">
      <c r="A606" s="769">
        <v>3233</v>
      </c>
      <c r="B606" s="1040" t="s">
        <v>665</v>
      </c>
      <c r="C606" s="1039">
        <f>C607</f>
        <v>2458000</v>
      </c>
      <c r="D606" s="1039">
        <f>D607</f>
        <v>2668200</v>
      </c>
      <c r="E606" s="899">
        <v>1440200</v>
      </c>
      <c r="F606" s="722"/>
      <c r="G606" s="642">
        <f t="shared" si="86"/>
        <v>58.592351505288853</v>
      </c>
      <c r="H606" s="644">
        <f t="shared" si="82"/>
        <v>53.976463533468255</v>
      </c>
      <c r="I606" s="651">
        <f t="shared" si="93"/>
        <v>36.714479786004702</v>
      </c>
      <c r="J606" s="88">
        <v>3922703</v>
      </c>
    </row>
    <row r="607" spans="1:10" customFormat="1" x14ac:dyDescent="0.2">
      <c r="A607" s="769"/>
      <c r="B607" s="971" t="s">
        <v>1645</v>
      </c>
      <c r="C607" s="1036">
        <f>SUM(C608:C610)</f>
        <v>2458000</v>
      </c>
      <c r="D607" s="1036">
        <f>SUM(D608:D610)</f>
        <v>2668200</v>
      </c>
      <c r="E607" s="708">
        <v>1440200</v>
      </c>
      <c r="F607" s="708">
        <f>SUM(E608:E610)</f>
        <v>1440200</v>
      </c>
      <c r="G607" s="643">
        <f t="shared" si="86"/>
        <v>58.592351505288853</v>
      </c>
      <c r="H607" s="659">
        <f t="shared" si="82"/>
        <v>53.976463533468255</v>
      </c>
      <c r="I607" s="664">
        <f t="shared" si="93"/>
        <v>36.714479786004702</v>
      </c>
      <c r="J607" s="88">
        <v>3922703</v>
      </c>
    </row>
    <row r="608" spans="1:10" customFormat="1" x14ac:dyDescent="0.2">
      <c r="A608" s="769"/>
      <c r="B608" s="971" t="s">
        <v>1646</v>
      </c>
      <c r="C608" s="1037">
        <v>2458000</v>
      </c>
      <c r="D608" s="1037">
        <f>2458000+210200</f>
        <v>2668200</v>
      </c>
      <c r="E608" s="708">
        <v>1440200</v>
      </c>
      <c r="F608" s="708"/>
      <c r="G608" s="643">
        <f t="shared" si="86"/>
        <v>58.592351505288853</v>
      </c>
      <c r="H608" s="659">
        <f t="shared" si="82"/>
        <v>53.976463533468255</v>
      </c>
      <c r="I608" s="664">
        <f t="shared" si="93"/>
        <v>38.752942056521391</v>
      </c>
      <c r="J608" s="88">
        <v>3716363</v>
      </c>
    </row>
    <row r="609" spans="1:10" customFormat="1" ht="25.5" x14ac:dyDescent="0.2">
      <c r="A609" s="769"/>
      <c r="B609" s="971" t="s">
        <v>1647</v>
      </c>
      <c r="C609" s="1037">
        <v>0</v>
      </c>
      <c r="D609" s="1037">
        <v>0</v>
      </c>
      <c r="E609" s="708">
        <v>0</v>
      </c>
      <c r="F609" s="708"/>
      <c r="G609" s="643">
        <v>0</v>
      </c>
      <c r="H609" s="659">
        <v>0</v>
      </c>
      <c r="I609" s="664">
        <f t="shared" si="93"/>
        <v>0</v>
      </c>
      <c r="J609" s="88">
        <v>78340</v>
      </c>
    </row>
    <row r="610" spans="1:10" customFormat="1" x14ac:dyDescent="0.2">
      <c r="A610" s="769"/>
      <c r="B610" s="971" t="s">
        <v>1648</v>
      </c>
      <c r="C610" s="1037">
        <v>0</v>
      </c>
      <c r="D610" s="1037">
        <v>0</v>
      </c>
      <c r="E610" s="708">
        <v>0</v>
      </c>
      <c r="F610" s="708"/>
      <c r="G610" s="643">
        <v>0</v>
      </c>
      <c r="H610" s="659">
        <v>0</v>
      </c>
      <c r="I610" s="664">
        <f t="shared" si="93"/>
        <v>0</v>
      </c>
      <c r="J610" s="88">
        <v>128000</v>
      </c>
    </row>
    <row r="611" spans="1:10" customFormat="1" x14ac:dyDescent="0.2">
      <c r="A611" s="769">
        <v>3419</v>
      </c>
      <c r="B611" s="1040" t="s">
        <v>1649</v>
      </c>
      <c r="C611" s="1041">
        <v>80000</v>
      </c>
      <c r="D611" s="1041">
        <f>80000+134310</f>
        <v>214310</v>
      </c>
      <c r="E611" s="735">
        <v>200858</v>
      </c>
      <c r="F611" s="708"/>
      <c r="G611" s="642">
        <f t="shared" si="86"/>
        <v>251.07249999999999</v>
      </c>
      <c r="H611" s="644">
        <f t="shared" si="82"/>
        <v>93.723111380710193</v>
      </c>
      <c r="I611" s="651">
        <f t="shared" si="93"/>
        <v>334.16740146738317</v>
      </c>
      <c r="J611" s="88">
        <v>60107</v>
      </c>
    </row>
    <row r="612" spans="1:10" customFormat="1" x14ac:dyDescent="0.2">
      <c r="A612" s="953"/>
      <c r="B612" s="1042"/>
      <c r="C612" s="1043"/>
      <c r="D612" s="1043"/>
      <c r="E612" s="735"/>
      <c r="F612" s="708"/>
      <c r="G612" s="642"/>
      <c r="H612" s="644"/>
      <c r="I612" s="645"/>
      <c r="J612" s="88"/>
    </row>
    <row r="613" spans="1:10" customFormat="1" ht="15.75" x14ac:dyDescent="0.25">
      <c r="A613" s="903"/>
      <c r="B613" s="1031" t="s">
        <v>671</v>
      </c>
      <c r="C613" s="1044">
        <f t="shared" ref="C613:D613" si="99">SUM(C614,C618,C621,C627,C630,C637)</f>
        <v>43723000</v>
      </c>
      <c r="D613" s="1044">
        <f t="shared" si="99"/>
        <v>48632652</v>
      </c>
      <c r="E613" s="911">
        <v>20770727.359999999</v>
      </c>
      <c r="F613" s="1032">
        <f>SUM(E614,E618,E621,E627,E630,E637)</f>
        <v>20770727.359999999</v>
      </c>
      <c r="G613" s="788">
        <f t="shared" si="86"/>
        <v>47.505265786885623</v>
      </c>
      <c r="H613" s="788">
        <f t="shared" si="82"/>
        <v>42.709427731804553</v>
      </c>
      <c r="I613" s="826">
        <f t="shared" si="93"/>
        <v>99.844569369250365</v>
      </c>
      <c r="J613" s="88">
        <v>20803061.690000001</v>
      </c>
    </row>
    <row r="614" spans="1:10" customFormat="1" x14ac:dyDescent="0.2">
      <c r="A614" s="1045">
        <v>3311</v>
      </c>
      <c r="B614" s="1046" t="s">
        <v>1650</v>
      </c>
      <c r="C614" s="1041">
        <f>SUM(C615:C617)</f>
        <v>14219000</v>
      </c>
      <c r="D614" s="1041">
        <f>SUM(D615:D617)</f>
        <v>14217452</v>
      </c>
      <c r="E614" s="735">
        <v>7000000</v>
      </c>
      <c r="F614" s="708">
        <f>SUM(E615:E616)</f>
        <v>7000000</v>
      </c>
      <c r="G614" s="642">
        <f t="shared" si="86"/>
        <v>49.229903650045713</v>
      </c>
      <c r="H614" s="644">
        <f t="shared" si="82"/>
        <v>49.235263815204014</v>
      </c>
      <c r="I614" s="651">
        <f t="shared" si="93"/>
        <v>98.591549295774655</v>
      </c>
      <c r="J614" s="88">
        <v>7100000</v>
      </c>
    </row>
    <row r="615" spans="1:10" customFormat="1" x14ac:dyDescent="0.2">
      <c r="A615" s="1047"/>
      <c r="B615" s="1048" t="s">
        <v>1651</v>
      </c>
      <c r="C615" s="1037">
        <v>14219000</v>
      </c>
      <c r="D615" s="1037">
        <f>14219000-1548</f>
        <v>14217452</v>
      </c>
      <c r="E615" s="708">
        <v>7000000</v>
      </c>
      <c r="F615" s="708"/>
      <c r="G615" s="643">
        <f t="shared" si="86"/>
        <v>49.229903650045713</v>
      </c>
      <c r="H615" s="659">
        <f t="shared" si="82"/>
        <v>49.235263815204014</v>
      </c>
      <c r="I615" s="664">
        <f t="shared" si="93"/>
        <v>98.591549295774655</v>
      </c>
      <c r="J615" s="88">
        <v>7100000</v>
      </c>
    </row>
    <row r="616" spans="1:10" customFormat="1" x14ac:dyDescent="0.2">
      <c r="A616" s="1047"/>
      <c r="B616" s="1048" t="s">
        <v>1652</v>
      </c>
      <c r="C616" s="1037">
        <v>0</v>
      </c>
      <c r="D616" s="1037">
        <v>0</v>
      </c>
      <c r="E616" s="708">
        <v>0</v>
      </c>
      <c r="F616" s="708"/>
      <c r="G616" s="643">
        <v>0</v>
      </c>
      <c r="H616" s="659">
        <v>0</v>
      </c>
      <c r="I616" s="664">
        <v>0</v>
      </c>
      <c r="J616" s="88">
        <v>0</v>
      </c>
    </row>
    <row r="617" spans="1:10" customFormat="1" x14ac:dyDescent="0.2">
      <c r="A617" s="1047"/>
      <c r="B617" s="971" t="s">
        <v>1653</v>
      </c>
      <c r="C617" s="1037">
        <v>0</v>
      </c>
      <c r="D617" s="1037">
        <v>0</v>
      </c>
      <c r="E617" s="722">
        <v>0</v>
      </c>
      <c r="F617" s="722"/>
      <c r="G617" s="643">
        <v>0</v>
      </c>
      <c r="H617" s="659">
        <v>0</v>
      </c>
      <c r="I617" s="664">
        <v>0</v>
      </c>
      <c r="J617" s="88">
        <v>0</v>
      </c>
    </row>
    <row r="618" spans="1:10" customFormat="1" x14ac:dyDescent="0.2">
      <c r="A618" s="1049">
        <v>3319</v>
      </c>
      <c r="B618" s="1050" t="s">
        <v>676</v>
      </c>
      <c r="C618" s="1039">
        <f t="shared" ref="C618:D618" si="100">SUM(C619:C620)</f>
        <v>1120000</v>
      </c>
      <c r="D618" s="1039">
        <f t="shared" si="100"/>
        <v>1120000</v>
      </c>
      <c r="E618" s="735">
        <v>582539.65</v>
      </c>
      <c r="F618" s="708">
        <f>SUM(E619:E620)</f>
        <v>582539.65</v>
      </c>
      <c r="G618" s="642">
        <f t="shared" si="86"/>
        <v>52.012468750000011</v>
      </c>
      <c r="H618" s="644">
        <f t="shared" si="82"/>
        <v>52.012468750000011</v>
      </c>
      <c r="I618" s="651">
        <f t="shared" si="93"/>
        <v>122.74844369254699</v>
      </c>
      <c r="J618" s="88">
        <v>474580.07</v>
      </c>
    </row>
    <row r="619" spans="1:10" customFormat="1" x14ac:dyDescent="0.2">
      <c r="A619" s="1049"/>
      <c r="B619" s="1048" t="s">
        <v>1654</v>
      </c>
      <c r="C619" s="1037">
        <v>470000</v>
      </c>
      <c r="D619" s="1037">
        <v>470000</v>
      </c>
      <c r="E619" s="708">
        <v>246962</v>
      </c>
      <c r="F619" s="708"/>
      <c r="G619" s="643">
        <f t="shared" si="86"/>
        <v>52.545106382978723</v>
      </c>
      <c r="H619" s="659">
        <f t="shared" si="82"/>
        <v>52.545106382978723</v>
      </c>
      <c r="I619" s="664">
        <f t="shared" si="93"/>
        <v>105.29040791516874</v>
      </c>
      <c r="J619" s="88">
        <v>234553.18</v>
      </c>
    </row>
    <row r="620" spans="1:10" customFormat="1" x14ac:dyDescent="0.2">
      <c r="A620" s="1049"/>
      <c r="B620" s="1051" t="s">
        <v>678</v>
      </c>
      <c r="C620" s="1037">
        <v>650000</v>
      </c>
      <c r="D620" s="1037">
        <v>650000</v>
      </c>
      <c r="E620" s="722">
        <v>335577.65</v>
      </c>
      <c r="F620" s="722"/>
      <c r="G620" s="643">
        <f t="shared" si="86"/>
        <v>51.627330769230774</v>
      </c>
      <c r="H620" s="659">
        <f t="shared" si="82"/>
        <v>51.627330769230774</v>
      </c>
      <c r="I620" s="664">
        <f t="shared" si="93"/>
        <v>139.80835647206027</v>
      </c>
      <c r="J620" s="88">
        <v>240026.89</v>
      </c>
    </row>
    <row r="621" spans="1:10" customFormat="1" x14ac:dyDescent="0.2">
      <c r="A621" s="1049" t="s">
        <v>1655</v>
      </c>
      <c r="B621" s="1050" t="s">
        <v>679</v>
      </c>
      <c r="C621" s="1039">
        <f t="shared" ref="C621:D621" si="101">C622+C624+C625+C626+C623</f>
        <v>593000</v>
      </c>
      <c r="D621" s="1039">
        <f t="shared" si="101"/>
        <v>398000</v>
      </c>
      <c r="E621" s="735">
        <v>26828</v>
      </c>
      <c r="F621" s="708">
        <f>SUM(E622:E626)</f>
        <v>26828</v>
      </c>
      <c r="G621" s="642">
        <f t="shared" si="86"/>
        <v>4.5241146711635754</v>
      </c>
      <c r="H621" s="644">
        <f t="shared" ref="H621:H684" si="102">E621/D621*100</f>
        <v>6.7407035175879395</v>
      </c>
      <c r="I621" s="651">
        <f t="shared" si="93"/>
        <v>18.227103678711629</v>
      </c>
      <c r="J621" s="88">
        <v>147187.4</v>
      </c>
    </row>
    <row r="622" spans="1:10" customFormat="1" x14ac:dyDescent="0.2">
      <c r="A622" s="1047"/>
      <c r="B622" s="1048" t="s">
        <v>1656</v>
      </c>
      <c r="C622" s="1037">
        <v>120000</v>
      </c>
      <c r="D622" s="1037">
        <v>120000</v>
      </c>
      <c r="E622" s="708">
        <v>0</v>
      </c>
      <c r="F622" s="708"/>
      <c r="G622" s="643">
        <f t="shared" si="86"/>
        <v>0</v>
      </c>
      <c r="H622" s="659">
        <f t="shared" si="102"/>
        <v>0</v>
      </c>
      <c r="I622" s="664">
        <v>0</v>
      </c>
      <c r="J622" s="88">
        <v>0</v>
      </c>
    </row>
    <row r="623" spans="1:10" customFormat="1" x14ac:dyDescent="0.2">
      <c r="A623" s="1047"/>
      <c r="B623" s="1048" t="s">
        <v>1657</v>
      </c>
      <c r="C623" s="1037">
        <v>5000</v>
      </c>
      <c r="D623" s="1037">
        <v>5000</v>
      </c>
      <c r="E623" s="708">
        <v>0</v>
      </c>
      <c r="F623" s="708"/>
      <c r="G623" s="643">
        <f t="shared" si="86"/>
        <v>0</v>
      </c>
      <c r="H623" s="659">
        <f t="shared" si="102"/>
        <v>0</v>
      </c>
      <c r="I623" s="664">
        <v>0</v>
      </c>
      <c r="J623" s="88">
        <v>0</v>
      </c>
    </row>
    <row r="624" spans="1:10" customFormat="1" x14ac:dyDescent="0.2">
      <c r="A624" s="1047"/>
      <c r="B624" s="1048" t="s">
        <v>1658</v>
      </c>
      <c r="C624" s="1037">
        <v>100000</v>
      </c>
      <c r="D624" s="1037">
        <v>100000</v>
      </c>
      <c r="E624" s="708">
        <v>13068</v>
      </c>
      <c r="F624" s="708"/>
      <c r="G624" s="643">
        <f t="shared" si="86"/>
        <v>13.068</v>
      </c>
      <c r="H624" s="659">
        <f t="shared" si="102"/>
        <v>13.068</v>
      </c>
      <c r="I624" s="664">
        <f t="shared" si="93"/>
        <v>64.285714285714292</v>
      </c>
      <c r="J624" s="88">
        <v>20328</v>
      </c>
    </row>
    <row r="625" spans="1:10" customFormat="1" ht="25.5" x14ac:dyDescent="0.2">
      <c r="A625" s="1047"/>
      <c r="B625" s="1048" t="s">
        <v>1659</v>
      </c>
      <c r="C625" s="1037">
        <v>168000</v>
      </c>
      <c r="D625" s="1037">
        <f>168000-25000</f>
        <v>143000</v>
      </c>
      <c r="E625" s="722">
        <v>450</v>
      </c>
      <c r="F625" s="722"/>
      <c r="G625" s="643">
        <f t="shared" si="86"/>
        <v>0.26785714285714285</v>
      </c>
      <c r="H625" s="659">
        <f t="shared" si="102"/>
        <v>0.31468531468531469</v>
      </c>
      <c r="I625" s="664">
        <v>0</v>
      </c>
      <c r="J625" s="32">
        <v>0</v>
      </c>
    </row>
    <row r="626" spans="1:10" customFormat="1" x14ac:dyDescent="0.2">
      <c r="A626" s="1047"/>
      <c r="B626" s="1048" t="s">
        <v>1660</v>
      </c>
      <c r="C626" s="1037">
        <v>200000</v>
      </c>
      <c r="D626" s="1037">
        <f>200000-170000</f>
        <v>30000</v>
      </c>
      <c r="E626" s="708">
        <v>13310</v>
      </c>
      <c r="F626" s="708"/>
      <c r="G626" s="643">
        <f t="shared" si="86"/>
        <v>6.6549999999999994</v>
      </c>
      <c r="H626" s="659">
        <f t="shared" si="102"/>
        <v>44.366666666666667</v>
      </c>
      <c r="I626" s="664">
        <f t="shared" si="93"/>
        <v>10.491930436372867</v>
      </c>
      <c r="J626" s="88">
        <v>126859.4</v>
      </c>
    </row>
    <row r="627" spans="1:10" customFormat="1" x14ac:dyDescent="0.2">
      <c r="A627" s="1049" t="s">
        <v>1661</v>
      </c>
      <c r="B627" s="1050" t="s">
        <v>1662</v>
      </c>
      <c r="C627" s="1039">
        <f t="shared" ref="C627:D627" si="103">C628+C629</f>
        <v>555000</v>
      </c>
      <c r="D627" s="1039">
        <f t="shared" si="103"/>
        <v>750000</v>
      </c>
      <c r="E627" s="735">
        <v>7155.71</v>
      </c>
      <c r="F627" s="708">
        <f>SUM(E628:E629)</f>
        <v>7155.71</v>
      </c>
      <c r="G627" s="642">
        <f t="shared" si="86"/>
        <v>1.2893171171171172</v>
      </c>
      <c r="H627" s="644">
        <f t="shared" si="102"/>
        <v>0.95409466666666665</v>
      </c>
      <c r="I627" s="651">
        <f t="shared" si="93"/>
        <v>384.19506904623842</v>
      </c>
      <c r="J627" s="88">
        <v>1862.52</v>
      </c>
    </row>
    <row r="628" spans="1:10" customFormat="1" ht="25.5" x14ac:dyDescent="0.2">
      <c r="A628" s="1047"/>
      <c r="B628" s="1048" t="s">
        <v>1663</v>
      </c>
      <c r="C628" s="1037">
        <v>540000</v>
      </c>
      <c r="D628" s="1037">
        <f>540000+195000</f>
        <v>735000</v>
      </c>
      <c r="E628" s="708">
        <v>0</v>
      </c>
      <c r="F628" s="708"/>
      <c r="G628" s="643">
        <f t="shared" si="86"/>
        <v>0</v>
      </c>
      <c r="H628" s="659">
        <f t="shared" si="102"/>
        <v>0</v>
      </c>
      <c r="I628" s="664">
        <v>0</v>
      </c>
      <c r="J628" s="32">
        <v>0</v>
      </c>
    </row>
    <row r="629" spans="1:10" customFormat="1" x14ac:dyDescent="0.2">
      <c r="A629" s="1047"/>
      <c r="B629" s="1048" t="s">
        <v>1664</v>
      </c>
      <c r="C629" s="1037">
        <v>15000</v>
      </c>
      <c r="D629" s="1037">
        <v>15000</v>
      </c>
      <c r="E629" s="722">
        <v>7155.71</v>
      </c>
      <c r="F629" s="722"/>
      <c r="G629" s="643">
        <f t="shared" si="86"/>
        <v>47.70473333333333</v>
      </c>
      <c r="H629" s="659">
        <f t="shared" si="102"/>
        <v>47.70473333333333</v>
      </c>
      <c r="I629" s="664">
        <v>0</v>
      </c>
      <c r="J629" s="88">
        <v>0</v>
      </c>
    </row>
    <row r="630" spans="1:10" customFormat="1" x14ac:dyDescent="0.2">
      <c r="A630" s="1049">
        <v>3392</v>
      </c>
      <c r="B630" s="1050" t="s">
        <v>687</v>
      </c>
      <c r="C630" s="1039">
        <f t="shared" ref="C630:D630" si="104">C632+C631</f>
        <v>26946000</v>
      </c>
      <c r="D630" s="1039">
        <f t="shared" si="104"/>
        <v>31857200</v>
      </c>
      <c r="E630" s="735">
        <v>13074679</v>
      </c>
      <c r="F630" s="708"/>
      <c r="G630" s="642">
        <f t="shared" si="86"/>
        <v>48.521780598233505</v>
      </c>
      <c r="H630" s="644">
        <f t="shared" si="102"/>
        <v>41.041519656466988</v>
      </c>
      <c r="I630" s="651">
        <f t="shared" si="93"/>
        <v>100.76435590150668</v>
      </c>
      <c r="J630" s="88">
        <v>12975500</v>
      </c>
    </row>
    <row r="631" spans="1:10" customFormat="1" x14ac:dyDescent="0.2">
      <c r="A631" s="1049"/>
      <c r="B631" s="1048" t="s">
        <v>1665</v>
      </c>
      <c r="C631" s="1037">
        <v>26000</v>
      </c>
      <c r="D631" s="1037">
        <v>26000</v>
      </c>
      <c r="E631" s="722">
        <v>3179</v>
      </c>
      <c r="F631" s="722"/>
      <c r="G631" s="643">
        <f t="shared" si="86"/>
        <v>12.226923076923077</v>
      </c>
      <c r="H631" s="659">
        <f t="shared" si="102"/>
        <v>12.226923076923077</v>
      </c>
      <c r="I631" s="664">
        <v>0</v>
      </c>
      <c r="J631" s="88">
        <v>0</v>
      </c>
    </row>
    <row r="632" spans="1:10" customFormat="1" x14ac:dyDescent="0.2">
      <c r="A632" s="1047"/>
      <c r="B632" s="1048" t="s">
        <v>1666</v>
      </c>
      <c r="C632" s="1039">
        <f t="shared" ref="C632:D632" si="105">SUM(C633+C636+C635)</f>
        <v>26920000</v>
      </c>
      <c r="D632" s="1039">
        <f t="shared" si="105"/>
        <v>31831200</v>
      </c>
      <c r="E632" s="735">
        <v>13071500</v>
      </c>
      <c r="F632" s="708">
        <f>SUM(E633:E636)</f>
        <v>13071500</v>
      </c>
      <c r="G632" s="642">
        <f t="shared" ref="G632:G695" si="106">E632/C632*100</f>
        <v>48.556835066864785</v>
      </c>
      <c r="H632" s="644">
        <f t="shared" si="102"/>
        <v>41.065055668652143</v>
      </c>
      <c r="I632" s="651">
        <f t="shared" si="93"/>
        <v>100.73985588223961</v>
      </c>
      <c r="J632" s="88">
        <v>12975500</v>
      </c>
    </row>
    <row r="633" spans="1:10" customFormat="1" x14ac:dyDescent="0.2">
      <c r="A633" s="1047"/>
      <c r="B633" s="1048" t="s">
        <v>1667</v>
      </c>
      <c r="C633" s="1037">
        <v>26920000</v>
      </c>
      <c r="D633" s="1037">
        <f>26920000+4743000+18200+150000</f>
        <v>31831200</v>
      </c>
      <c r="E633" s="708">
        <v>13071500</v>
      </c>
      <c r="F633" s="708"/>
      <c r="G633" s="643">
        <f t="shared" si="106"/>
        <v>48.556835066864785</v>
      </c>
      <c r="H633" s="659">
        <f t="shared" si="102"/>
        <v>41.065055668652143</v>
      </c>
      <c r="I633" s="664">
        <f t="shared" si="93"/>
        <v>100.73985588223961</v>
      </c>
      <c r="J633" s="88">
        <v>12975500</v>
      </c>
    </row>
    <row r="634" spans="1:10" customFormat="1" x14ac:dyDescent="0.2">
      <c r="A634" s="1047"/>
      <c r="B634" s="1048" t="s">
        <v>691</v>
      </c>
      <c r="C634" s="1037"/>
      <c r="D634" s="1037"/>
      <c r="E634" s="708"/>
      <c r="F634" s="708"/>
      <c r="G634" s="643"/>
      <c r="H634" s="659"/>
      <c r="I634" s="664"/>
      <c r="J634" s="88"/>
    </row>
    <row r="635" spans="1:10" customFormat="1" ht="25.5" x14ac:dyDescent="0.2">
      <c r="A635" s="1047"/>
      <c r="B635" s="1048" t="s">
        <v>1668</v>
      </c>
      <c r="C635" s="1037">
        <v>0</v>
      </c>
      <c r="D635" s="1037">
        <v>0</v>
      </c>
      <c r="E635" s="708">
        <v>0</v>
      </c>
      <c r="F635" s="708"/>
      <c r="G635" s="643">
        <v>0</v>
      </c>
      <c r="H635" s="659">
        <v>0</v>
      </c>
      <c r="I635" s="664">
        <v>0</v>
      </c>
      <c r="J635" s="32">
        <v>0</v>
      </c>
    </row>
    <row r="636" spans="1:10" customFormat="1" ht="36.75" x14ac:dyDescent="0.2">
      <c r="A636" s="1047"/>
      <c r="B636" s="1048" t="s">
        <v>1669</v>
      </c>
      <c r="C636" s="1037">
        <v>0</v>
      </c>
      <c r="D636" s="1037">
        <v>0</v>
      </c>
      <c r="E636" s="708">
        <v>0</v>
      </c>
      <c r="F636" s="708"/>
      <c r="G636" s="643">
        <v>0</v>
      </c>
      <c r="H636" s="659">
        <v>0</v>
      </c>
      <c r="I636" s="664">
        <v>0</v>
      </c>
      <c r="J636" s="32">
        <v>0</v>
      </c>
    </row>
    <row r="637" spans="1:10" customFormat="1" x14ac:dyDescent="0.2">
      <c r="A637" s="1049">
        <v>3399</v>
      </c>
      <c r="B637" s="1050" t="s">
        <v>694</v>
      </c>
      <c r="C637" s="1039">
        <f t="shared" ref="C637:D640" si="107">C638</f>
        <v>290000</v>
      </c>
      <c r="D637" s="1039">
        <f t="shared" si="107"/>
        <v>290000</v>
      </c>
      <c r="E637" s="735">
        <v>79525</v>
      </c>
      <c r="F637" s="708"/>
      <c r="G637" s="642">
        <f t="shared" si="106"/>
        <v>27.422413793103452</v>
      </c>
      <c r="H637" s="644">
        <f t="shared" si="102"/>
        <v>27.422413793103452</v>
      </c>
      <c r="I637" s="651">
        <f t="shared" si="93"/>
        <v>77.941234122628202</v>
      </c>
      <c r="J637" s="88">
        <v>102032</v>
      </c>
    </row>
    <row r="638" spans="1:10" customFormat="1" x14ac:dyDescent="0.2">
      <c r="A638" s="1047"/>
      <c r="B638" s="1048" t="s">
        <v>695</v>
      </c>
      <c r="C638" s="1037">
        <v>290000</v>
      </c>
      <c r="D638" s="1037">
        <v>290000</v>
      </c>
      <c r="E638" s="722">
        <v>79525</v>
      </c>
      <c r="F638" s="722"/>
      <c r="G638" s="643">
        <f t="shared" si="106"/>
        <v>27.422413793103452</v>
      </c>
      <c r="H638" s="659">
        <f t="shared" si="102"/>
        <v>27.422413793103452</v>
      </c>
      <c r="I638" s="664">
        <f t="shared" si="93"/>
        <v>77.941234122628202</v>
      </c>
      <c r="J638" s="88">
        <v>102032</v>
      </c>
    </row>
    <row r="639" spans="1:10" customFormat="1" x14ac:dyDescent="0.2">
      <c r="A639" s="1052"/>
      <c r="B639" s="1053"/>
      <c r="C639" s="1054"/>
      <c r="D639" s="1054"/>
      <c r="E639" s="708"/>
      <c r="F639" s="708"/>
      <c r="G639" s="643"/>
      <c r="H639" s="659"/>
      <c r="I639" s="660"/>
      <c r="J639" s="88"/>
    </row>
    <row r="640" spans="1:10" customFormat="1" ht="20.25" x14ac:dyDescent="0.3">
      <c r="A640" s="903"/>
      <c r="B640" s="904" t="s">
        <v>696</v>
      </c>
      <c r="C640" s="1055">
        <f t="shared" si="107"/>
        <v>24990300</v>
      </c>
      <c r="D640" s="1055">
        <f t="shared" si="107"/>
        <v>25834200</v>
      </c>
      <c r="E640" s="1056">
        <v>21089889.739999998</v>
      </c>
      <c r="F640" s="1057"/>
      <c r="G640" s="810">
        <f t="shared" si="106"/>
        <v>84.392303173631362</v>
      </c>
      <c r="H640" s="810">
        <f t="shared" si="102"/>
        <v>81.635544123681001</v>
      </c>
      <c r="I640" s="826">
        <f t="shared" si="93"/>
        <v>111.16748151257723</v>
      </c>
      <c r="J640" s="88">
        <v>18971276</v>
      </c>
    </row>
    <row r="641" spans="1:10" customFormat="1" x14ac:dyDescent="0.2">
      <c r="A641" s="769"/>
      <c r="B641" s="1033" t="s">
        <v>697</v>
      </c>
      <c r="C641" s="1058">
        <f t="shared" ref="C641:D641" si="108">SUM(C642:C651)</f>
        <v>24990300</v>
      </c>
      <c r="D641" s="1058">
        <f t="shared" si="108"/>
        <v>25834200</v>
      </c>
      <c r="E641" s="646">
        <v>21089889.739999998</v>
      </c>
      <c r="F641" s="647">
        <f>SUM(E642:E651)</f>
        <v>21089889.740000002</v>
      </c>
      <c r="G641" s="642">
        <f t="shared" si="106"/>
        <v>84.392303173631362</v>
      </c>
      <c r="H641" s="644">
        <f t="shared" si="102"/>
        <v>81.635544123681001</v>
      </c>
      <c r="I641" s="645">
        <f t="shared" si="93"/>
        <v>111.16748151257723</v>
      </c>
      <c r="J641" s="88">
        <v>18971276</v>
      </c>
    </row>
    <row r="642" spans="1:10" customFormat="1" x14ac:dyDescent="0.2">
      <c r="A642" s="706"/>
      <c r="B642" s="971" t="s">
        <v>698</v>
      </c>
      <c r="C642" s="1037">
        <v>1070000</v>
      </c>
      <c r="D642" s="1037">
        <v>1070000</v>
      </c>
      <c r="E642" s="708">
        <v>1040000</v>
      </c>
      <c r="F642" s="708"/>
      <c r="G642" s="643">
        <f t="shared" si="106"/>
        <v>97.196261682242991</v>
      </c>
      <c r="H642" s="659">
        <f t="shared" si="102"/>
        <v>97.196261682242991</v>
      </c>
      <c r="I642" s="660">
        <f t="shared" si="93"/>
        <v>107.21649484536083</v>
      </c>
      <c r="J642" s="88">
        <v>970000</v>
      </c>
    </row>
    <row r="643" spans="1:10" customFormat="1" x14ac:dyDescent="0.2">
      <c r="A643" s="706"/>
      <c r="B643" s="971" t="s">
        <v>699</v>
      </c>
      <c r="C643" s="1037">
        <v>193100</v>
      </c>
      <c r="D643" s="1037">
        <v>193100</v>
      </c>
      <c r="E643" s="708">
        <v>192675</v>
      </c>
      <c r="F643" s="708"/>
      <c r="G643" s="643">
        <f t="shared" si="106"/>
        <v>99.779906784049714</v>
      </c>
      <c r="H643" s="659">
        <f t="shared" si="102"/>
        <v>99.779906784049714</v>
      </c>
      <c r="I643" s="660">
        <f t="shared" si="93"/>
        <v>147.64367816091954</v>
      </c>
      <c r="J643" s="88">
        <v>130500</v>
      </c>
    </row>
    <row r="644" spans="1:10" customFormat="1" x14ac:dyDescent="0.2">
      <c r="A644" s="706"/>
      <c r="B644" s="971" t="s">
        <v>700</v>
      </c>
      <c r="C644" s="1037">
        <f>5000000-10000</f>
        <v>4990000</v>
      </c>
      <c r="D644" s="1037">
        <f>5000000-10000</f>
        <v>4990000</v>
      </c>
      <c r="E644" s="708">
        <v>4990000</v>
      </c>
      <c r="F644" s="708"/>
      <c r="G644" s="643">
        <f t="shared" si="106"/>
        <v>100</v>
      </c>
      <c r="H644" s="659">
        <f t="shared" si="102"/>
        <v>100</v>
      </c>
      <c r="I644" s="660">
        <f t="shared" si="93"/>
        <v>134.86486486486487</v>
      </c>
      <c r="J644" s="88">
        <v>3700000</v>
      </c>
    </row>
    <row r="645" spans="1:10" customFormat="1" x14ac:dyDescent="0.2">
      <c r="A645" s="706"/>
      <c r="B645" s="971" t="s">
        <v>701</v>
      </c>
      <c r="C645" s="1037">
        <v>7250000</v>
      </c>
      <c r="D645" s="1037">
        <v>7250000</v>
      </c>
      <c r="E645" s="708">
        <v>7250000</v>
      </c>
      <c r="F645" s="708"/>
      <c r="G645" s="643">
        <f t="shared" si="106"/>
        <v>100</v>
      </c>
      <c r="H645" s="659">
        <f t="shared" si="102"/>
        <v>100</v>
      </c>
      <c r="I645" s="660">
        <f t="shared" si="93"/>
        <v>122.28031708551188</v>
      </c>
      <c r="J645" s="88">
        <v>5929000</v>
      </c>
    </row>
    <row r="646" spans="1:10" customFormat="1" x14ac:dyDescent="0.2">
      <c r="A646" s="706"/>
      <c r="B646" s="971" t="s">
        <v>702</v>
      </c>
      <c r="C646" s="1037">
        <v>50000</v>
      </c>
      <c r="D646" s="1037">
        <v>50000</v>
      </c>
      <c r="E646" s="708">
        <v>41000</v>
      </c>
      <c r="F646" s="708"/>
      <c r="G646" s="643">
        <f t="shared" si="106"/>
        <v>82</v>
      </c>
      <c r="H646" s="659">
        <f t="shared" si="102"/>
        <v>82</v>
      </c>
      <c r="I646" s="660">
        <f t="shared" si="93"/>
        <v>100</v>
      </c>
      <c r="J646" s="88">
        <v>41000</v>
      </c>
    </row>
    <row r="647" spans="1:10" customFormat="1" x14ac:dyDescent="0.2">
      <c r="A647" s="706"/>
      <c r="B647" s="971" t="s">
        <v>703</v>
      </c>
      <c r="C647" s="1037">
        <f>8500000-15000</f>
        <v>8485000</v>
      </c>
      <c r="D647" s="1037">
        <f>8500000-15000</f>
        <v>8485000</v>
      </c>
      <c r="E647" s="708">
        <v>4292114.74</v>
      </c>
      <c r="F647" s="708"/>
      <c r="G647" s="643">
        <f t="shared" si="106"/>
        <v>50.584734708308787</v>
      </c>
      <c r="H647" s="659">
        <f t="shared" si="102"/>
        <v>50.584734708308787</v>
      </c>
      <c r="I647" s="660">
        <f t="shared" si="93"/>
        <v>70.362536721311471</v>
      </c>
      <c r="J647" s="88">
        <v>6100000</v>
      </c>
    </row>
    <row r="648" spans="1:10" customFormat="1" x14ac:dyDescent="0.2">
      <c r="A648" s="706"/>
      <c r="B648" s="971" t="s">
        <v>706</v>
      </c>
      <c r="C648" s="1037">
        <v>963000</v>
      </c>
      <c r="D648" s="1037">
        <f>963000-30000+30000</f>
        <v>963000</v>
      </c>
      <c r="E648" s="708">
        <v>963000</v>
      </c>
      <c r="F648" s="708"/>
      <c r="G648" s="643">
        <f t="shared" si="106"/>
        <v>100</v>
      </c>
      <c r="H648" s="659">
        <f t="shared" si="102"/>
        <v>100</v>
      </c>
      <c r="I648" s="660">
        <f t="shared" ref="I648:I711" si="109">E648/J648*100</f>
        <v>112.43432574430823</v>
      </c>
      <c r="J648" s="88">
        <v>856500</v>
      </c>
    </row>
    <row r="649" spans="1:10" customFormat="1" x14ac:dyDescent="0.2">
      <c r="A649" s="706"/>
      <c r="B649" s="971" t="s">
        <v>707</v>
      </c>
      <c r="C649" s="1037">
        <v>143000</v>
      </c>
      <c r="D649" s="1037">
        <v>143000</v>
      </c>
      <c r="E649" s="708">
        <v>143000</v>
      </c>
      <c r="F649" s="708"/>
      <c r="G649" s="643">
        <f t="shared" si="106"/>
        <v>100</v>
      </c>
      <c r="H649" s="659">
        <f t="shared" si="102"/>
        <v>100</v>
      </c>
      <c r="I649" s="660">
        <f t="shared" si="109"/>
        <v>280.39215686274508</v>
      </c>
      <c r="J649" s="88">
        <v>51000</v>
      </c>
    </row>
    <row r="650" spans="1:10" customFormat="1" x14ac:dyDescent="0.2">
      <c r="A650" s="706"/>
      <c r="B650" s="971" t="s">
        <v>708</v>
      </c>
      <c r="C650" s="1037">
        <v>966500</v>
      </c>
      <c r="D650" s="1037">
        <v>966500</v>
      </c>
      <c r="E650" s="708">
        <v>966500</v>
      </c>
      <c r="F650" s="708"/>
      <c r="G650" s="643">
        <f t="shared" si="106"/>
        <v>100</v>
      </c>
      <c r="H650" s="659">
        <f t="shared" si="102"/>
        <v>100</v>
      </c>
      <c r="I650" s="660">
        <f t="shared" si="109"/>
        <v>494.62640736949845</v>
      </c>
      <c r="J650" s="88">
        <v>195400</v>
      </c>
    </row>
    <row r="651" spans="1:10" customFormat="1" ht="36.75" x14ac:dyDescent="0.2">
      <c r="A651" s="769"/>
      <c r="B651" s="971" t="s">
        <v>1670</v>
      </c>
      <c r="C651" s="1037">
        <f>909700-30000</f>
        <v>879700</v>
      </c>
      <c r="D651" s="1037">
        <f>(909700-30000)+30000+10000+15000+70000+80000+10000+150000+36900+5000+40000+250000+147000</f>
        <v>1723600</v>
      </c>
      <c r="E651" s="708">
        <v>1211600</v>
      </c>
      <c r="F651" s="708"/>
      <c r="G651" s="643">
        <f t="shared" si="106"/>
        <v>137.72877117199045</v>
      </c>
      <c r="H651" s="659">
        <f t="shared" si="102"/>
        <v>70.294731956370384</v>
      </c>
      <c r="I651" s="664">
        <f t="shared" si="109"/>
        <v>121.41789160176215</v>
      </c>
      <c r="J651" s="32">
        <v>997876</v>
      </c>
    </row>
    <row r="652" spans="1:10" x14ac:dyDescent="0.2">
      <c r="A652" s="683"/>
      <c r="B652" s="1059"/>
      <c r="C652" s="1054"/>
      <c r="D652" s="1054"/>
      <c r="E652" s="837"/>
      <c r="F652" s="837"/>
      <c r="G652" s="837"/>
      <c r="H652" s="837"/>
      <c r="I652" s="1060"/>
      <c r="J652" s="29"/>
    </row>
    <row r="653" spans="1:10" ht="21" customHeight="1" x14ac:dyDescent="0.3">
      <c r="A653" s="909"/>
      <c r="B653" s="624" t="s">
        <v>710</v>
      </c>
      <c r="C653" s="1061">
        <f>C654</f>
        <v>27924400</v>
      </c>
      <c r="D653" s="1061">
        <f>D654</f>
        <v>27924400</v>
      </c>
      <c r="E653" s="1062">
        <v>12791948.49</v>
      </c>
      <c r="F653" s="1063"/>
      <c r="G653" s="810">
        <f t="shared" si="106"/>
        <v>45.809215202475258</v>
      </c>
      <c r="H653" s="810">
        <f t="shared" si="102"/>
        <v>45.809215202475258</v>
      </c>
      <c r="I653" s="997">
        <f t="shared" si="109"/>
        <v>96.257871315575358</v>
      </c>
      <c r="J653" s="29">
        <v>13289249.300000001</v>
      </c>
    </row>
    <row r="654" spans="1:10" x14ac:dyDescent="0.2">
      <c r="A654" s="683">
        <v>5311</v>
      </c>
      <c r="B654" s="640" t="s">
        <v>711</v>
      </c>
      <c r="C654" s="1064">
        <f t="shared" ref="C654:D654" si="110">SUM(C655)</f>
        <v>27924400</v>
      </c>
      <c r="D654" s="1064">
        <f t="shared" si="110"/>
        <v>27924400</v>
      </c>
      <c r="E654" s="652">
        <v>12791948.49</v>
      </c>
      <c r="F654" s="653"/>
      <c r="G654" s="642">
        <f t="shared" si="106"/>
        <v>45.809215202475258</v>
      </c>
      <c r="H654" s="644">
        <f t="shared" si="102"/>
        <v>45.809215202475258</v>
      </c>
      <c r="I654" s="645">
        <f t="shared" si="109"/>
        <v>96.257871315575358</v>
      </c>
      <c r="J654" s="29">
        <v>13289249.300000001</v>
      </c>
    </row>
    <row r="655" spans="1:10" ht="74.25" customHeight="1" x14ac:dyDescent="0.2">
      <c r="A655" s="683"/>
      <c r="B655" s="666" t="s">
        <v>1671</v>
      </c>
      <c r="C655" s="1065">
        <f>(18400+4538.4+1647+0+5+350+2+163+143+35+264+1+245+30+3+77+3+1490-750+275+200+17+50+10+150+6+170+150+250)*1000</f>
        <v>27924400</v>
      </c>
      <c r="D655" s="1065">
        <f>(18400+4538.4+1647+0+5+350+2+163+143+35+264+1+245+30+3+77+3+1490-750+275+200+17+50+10+150+6+170+150+250)*1000</f>
        <v>27924400</v>
      </c>
      <c r="E655" s="1066" t="s">
        <v>1672</v>
      </c>
      <c r="F655" s="1066"/>
      <c r="G655" s="643">
        <f t="shared" si="106"/>
        <v>45.809215202475258</v>
      </c>
      <c r="H655" s="659">
        <f t="shared" si="102"/>
        <v>45.809215202475258</v>
      </c>
      <c r="I655" s="664">
        <f t="shared" si="109"/>
        <v>96.257871315575358</v>
      </c>
      <c r="J655" s="654">
        <v>13289249.300000001</v>
      </c>
    </row>
    <row r="656" spans="1:10" x14ac:dyDescent="0.2">
      <c r="A656" s="1020"/>
      <c r="B656" s="1067"/>
      <c r="C656" s="1068"/>
      <c r="D656" s="1068"/>
      <c r="E656" s="671"/>
      <c r="F656" s="671"/>
      <c r="G656" s="671"/>
      <c r="H656" s="671"/>
      <c r="I656" s="1060"/>
      <c r="J656" s="29"/>
    </row>
    <row r="657" spans="1:10" ht="20.25" x14ac:dyDescent="0.3">
      <c r="A657" s="909"/>
      <c r="B657" s="624" t="s">
        <v>41</v>
      </c>
      <c r="C657" s="1069">
        <f>SUM(C658:C664)+C672</f>
        <v>35630624</v>
      </c>
      <c r="D657" s="1069">
        <f>SUM(D658:D664)+D672</f>
        <v>35630624</v>
      </c>
      <c r="E657" s="1019">
        <v>16644897.779999999</v>
      </c>
      <c r="F657" s="963">
        <f>SUM(E658:E664,E672:E672)</f>
        <v>16644897.780000001</v>
      </c>
      <c r="G657" s="810">
        <f t="shared" si="106"/>
        <v>46.71514531993602</v>
      </c>
      <c r="H657" s="810">
        <f t="shared" si="102"/>
        <v>46.71514531993602</v>
      </c>
      <c r="I657" s="997">
        <f t="shared" si="109"/>
        <v>99.786153213539365</v>
      </c>
      <c r="J657" s="29">
        <v>16680568.640000001</v>
      </c>
    </row>
    <row r="658" spans="1:10" ht="36.75" x14ac:dyDescent="0.2">
      <c r="A658" s="1070">
        <v>3429</v>
      </c>
      <c r="B658" s="666" t="s">
        <v>1673</v>
      </c>
      <c r="C658" s="1071">
        <v>982000</v>
      </c>
      <c r="D658" s="1071">
        <v>982000</v>
      </c>
      <c r="E658" s="679">
        <v>500817.21</v>
      </c>
      <c r="F658" s="860"/>
      <c r="G658" s="642">
        <f t="shared" si="106"/>
        <v>50.999715885947047</v>
      </c>
      <c r="H658" s="644">
        <f t="shared" si="102"/>
        <v>50.999715885947047</v>
      </c>
      <c r="I658" s="651">
        <f t="shared" si="109"/>
        <v>86.117780175893657</v>
      </c>
      <c r="J658" s="654">
        <v>581549.14</v>
      </c>
    </row>
    <row r="659" spans="1:10" s="98" customFormat="1" ht="36.75" x14ac:dyDescent="0.2">
      <c r="A659" s="954">
        <v>5212</v>
      </c>
      <c r="B659" s="999" t="s">
        <v>1674</v>
      </c>
      <c r="C659" s="1064">
        <v>110000</v>
      </c>
      <c r="D659" s="1064">
        <v>110000</v>
      </c>
      <c r="E659" s="652">
        <v>64154.2</v>
      </c>
      <c r="F659" s="653"/>
      <c r="G659" s="642">
        <f t="shared" si="106"/>
        <v>58.321999999999996</v>
      </c>
      <c r="H659" s="644">
        <f t="shared" si="102"/>
        <v>58.321999999999996</v>
      </c>
      <c r="I659" s="651">
        <f t="shared" si="109"/>
        <v>210.98288897731794</v>
      </c>
      <c r="J659" s="654">
        <v>30407.3</v>
      </c>
    </row>
    <row r="660" spans="1:10" s="244" customFormat="1" ht="24.75" x14ac:dyDescent="0.25">
      <c r="A660" s="683">
        <v>5213</v>
      </c>
      <c r="B660" s="648" t="s">
        <v>1675</v>
      </c>
      <c r="C660" s="1064">
        <v>200000</v>
      </c>
      <c r="D660" s="1064">
        <v>200000</v>
      </c>
      <c r="E660" s="652">
        <v>0</v>
      </c>
      <c r="F660" s="653"/>
      <c r="G660" s="642">
        <f t="shared" si="106"/>
        <v>0</v>
      </c>
      <c r="H660" s="644">
        <f t="shared" si="102"/>
        <v>0</v>
      </c>
      <c r="I660" s="651">
        <f t="shared" si="109"/>
        <v>0</v>
      </c>
      <c r="J660" s="654">
        <v>5760</v>
      </c>
    </row>
    <row r="661" spans="1:10" s="98" customFormat="1" ht="24.75" x14ac:dyDescent="0.2">
      <c r="A661" s="683">
        <v>5273</v>
      </c>
      <c r="B661" s="648" t="s">
        <v>1676</v>
      </c>
      <c r="C661" s="1064">
        <v>5000</v>
      </c>
      <c r="D661" s="1064">
        <v>5000</v>
      </c>
      <c r="E661" s="652">
        <v>0</v>
      </c>
      <c r="F661" s="653"/>
      <c r="G661" s="642">
        <f t="shared" si="106"/>
        <v>0</v>
      </c>
      <c r="H661" s="644">
        <f t="shared" si="102"/>
        <v>0</v>
      </c>
      <c r="I661" s="651">
        <v>0</v>
      </c>
      <c r="J661" s="654">
        <v>0</v>
      </c>
    </row>
    <row r="662" spans="1:10" s="244" customFormat="1" ht="22.5" customHeight="1" x14ac:dyDescent="0.25">
      <c r="A662" s="683">
        <v>5511</v>
      </c>
      <c r="B662" s="648" t="s">
        <v>1677</v>
      </c>
      <c r="C662" s="1064">
        <v>2300000</v>
      </c>
      <c r="D662" s="1064">
        <v>2300000</v>
      </c>
      <c r="E662" s="652">
        <v>2246586</v>
      </c>
      <c r="F662" s="653"/>
      <c r="G662" s="642">
        <f t="shared" si="106"/>
        <v>97.677652173913046</v>
      </c>
      <c r="H662" s="644">
        <f t="shared" si="102"/>
        <v>97.677652173913046</v>
      </c>
      <c r="I662" s="651">
        <f t="shared" si="109"/>
        <v>110.7000171476213</v>
      </c>
      <c r="J662" s="29">
        <v>2029436</v>
      </c>
    </row>
    <row r="663" spans="1:10" s="244" customFormat="1" ht="36.75" x14ac:dyDescent="0.25">
      <c r="A663" s="683">
        <v>5512</v>
      </c>
      <c r="B663" s="648" t="s">
        <v>1678</v>
      </c>
      <c r="C663" s="1064">
        <v>125000</v>
      </c>
      <c r="D663" s="1064">
        <v>125000</v>
      </c>
      <c r="E663" s="652">
        <v>21463.8</v>
      </c>
      <c r="F663" s="653"/>
      <c r="G663" s="642">
        <f t="shared" si="106"/>
        <v>17.171039999999998</v>
      </c>
      <c r="H663" s="644">
        <f t="shared" si="102"/>
        <v>17.171039999999998</v>
      </c>
      <c r="I663" s="651">
        <f t="shared" si="109"/>
        <v>83.95775474281244</v>
      </c>
      <c r="J663" s="654">
        <v>25565</v>
      </c>
    </row>
    <row r="664" spans="1:10" s="244" customFormat="1" ht="12.75" customHeight="1" x14ac:dyDescent="0.25">
      <c r="A664" s="683">
        <v>6171</v>
      </c>
      <c r="B664" s="640" t="s">
        <v>719</v>
      </c>
      <c r="C664" s="1072">
        <f t="shared" ref="C664:D664" si="111">SUM(C665+C666+C667+C668+C669+C670+C671)</f>
        <v>30358624</v>
      </c>
      <c r="D664" s="1072">
        <f t="shared" si="111"/>
        <v>30358624</v>
      </c>
      <c r="E664" s="652">
        <v>13158760.57</v>
      </c>
      <c r="F664" s="653">
        <f>SUM(E665:E671)</f>
        <v>13158760.569999998</v>
      </c>
      <c r="G664" s="642">
        <f t="shared" si="106"/>
        <v>43.34439060874432</v>
      </c>
      <c r="H664" s="644">
        <f t="shared" si="102"/>
        <v>43.34439060874432</v>
      </c>
      <c r="I664" s="651">
        <f t="shared" si="109"/>
        <v>110.07630487088691</v>
      </c>
      <c r="J664" s="88">
        <v>11954217.199999999</v>
      </c>
    </row>
    <row r="665" spans="1:10" s="244" customFormat="1" ht="132" x14ac:dyDescent="0.25">
      <c r="A665" s="683"/>
      <c r="B665" s="1073" t="s">
        <v>1679</v>
      </c>
      <c r="C665" s="1074">
        <v>21262500</v>
      </c>
      <c r="D665" s="1074">
        <v>21262500</v>
      </c>
      <c r="E665" s="653">
        <v>8734137.7799999993</v>
      </c>
      <c r="F665" s="653"/>
      <c r="G665" s="643">
        <f t="shared" si="106"/>
        <v>41.077661516754851</v>
      </c>
      <c r="H665" s="659">
        <f t="shared" si="102"/>
        <v>41.077661516754851</v>
      </c>
      <c r="I665" s="664">
        <f t="shared" si="109"/>
        <v>100.62182349768432</v>
      </c>
      <c r="J665" s="654">
        <v>8680162.4900000002</v>
      </c>
    </row>
    <row r="666" spans="1:10" s="244" customFormat="1" ht="15.75" x14ac:dyDescent="0.25">
      <c r="A666" s="683"/>
      <c r="B666" s="1073" t="s">
        <v>1680</v>
      </c>
      <c r="C666" s="1074">
        <v>1600000</v>
      </c>
      <c r="D666" s="1074">
        <v>1600000</v>
      </c>
      <c r="E666" s="708">
        <v>1385498</v>
      </c>
      <c r="F666" s="708"/>
      <c r="G666" s="643">
        <f t="shared" si="106"/>
        <v>86.593625000000003</v>
      </c>
      <c r="H666" s="659">
        <f t="shared" si="102"/>
        <v>86.593625000000003</v>
      </c>
      <c r="I666" s="664">
        <v>0</v>
      </c>
      <c r="J666" s="29">
        <v>0</v>
      </c>
    </row>
    <row r="667" spans="1:10" s="98" customFormat="1" ht="48" x14ac:dyDescent="0.2">
      <c r="A667" s="684"/>
      <c r="B667" s="1075" t="s">
        <v>1681</v>
      </c>
      <c r="C667" s="1074">
        <v>4682300</v>
      </c>
      <c r="D667" s="1074">
        <v>4682300</v>
      </c>
      <c r="E667" s="653">
        <v>1515437.25</v>
      </c>
      <c r="F667" s="653"/>
      <c r="G667" s="643">
        <f t="shared" si="106"/>
        <v>32.365231830510652</v>
      </c>
      <c r="H667" s="659">
        <f t="shared" si="102"/>
        <v>32.365231830510652</v>
      </c>
      <c r="I667" s="664">
        <f t="shared" si="109"/>
        <v>97.06615129398412</v>
      </c>
      <c r="J667" s="654">
        <v>1561241.72</v>
      </c>
    </row>
    <row r="668" spans="1:10" ht="24" x14ac:dyDescent="0.2">
      <c r="A668" s="684"/>
      <c r="B668" s="1075" t="s">
        <v>1682</v>
      </c>
      <c r="C668" s="1076">
        <v>2192810</v>
      </c>
      <c r="D668" s="1076">
        <v>2192810</v>
      </c>
      <c r="E668" s="653">
        <v>1222102</v>
      </c>
      <c r="F668" s="653"/>
      <c r="G668" s="643">
        <f t="shared" si="106"/>
        <v>55.732233982880416</v>
      </c>
      <c r="H668" s="659">
        <f t="shared" si="102"/>
        <v>55.732233982880416</v>
      </c>
      <c r="I668" s="664">
        <f t="shared" si="109"/>
        <v>105.0990273561459</v>
      </c>
      <c r="J668" s="654">
        <v>1162810</v>
      </c>
    </row>
    <row r="669" spans="1:10" x14ac:dyDescent="0.2">
      <c r="A669" s="684"/>
      <c r="B669" s="658" t="s">
        <v>1683</v>
      </c>
      <c r="C669" s="1076">
        <v>210000</v>
      </c>
      <c r="D669" s="1076">
        <v>210000</v>
      </c>
      <c r="E669" s="653">
        <v>85076.45</v>
      </c>
      <c r="F669" s="653"/>
      <c r="G669" s="643">
        <f t="shared" si="106"/>
        <v>40.512595238095237</v>
      </c>
      <c r="H669" s="659">
        <f t="shared" si="102"/>
        <v>40.512595238095237</v>
      </c>
      <c r="I669" s="664">
        <f t="shared" si="109"/>
        <v>105.47705127516885</v>
      </c>
      <c r="J669" s="29">
        <v>80658.73</v>
      </c>
    </row>
    <row r="670" spans="1:10" x14ac:dyDescent="0.2">
      <c r="A670" s="684"/>
      <c r="B670" s="658" t="s">
        <v>1684</v>
      </c>
      <c r="C670" s="1076">
        <v>50000</v>
      </c>
      <c r="D670" s="1076">
        <v>50000</v>
      </c>
      <c r="E670" s="653">
        <v>12906.92</v>
      </c>
      <c r="F670" s="653"/>
      <c r="G670" s="643">
        <f t="shared" si="106"/>
        <v>25.813839999999999</v>
      </c>
      <c r="H670" s="659">
        <f t="shared" si="102"/>
        <v>25.813839999999999</v>
      </c>
      <c r="I670" s="664">
        <f t="shared" si="109"/>
        <v>82.691769276553046</v>
      </c>
      <c r="J670" s="29">
        <v>15608.47</v>
      </c>
    </row>
    <row r="671" spans="1:10" ht="24.75" x14ac:dyDescent="0.2">
      <c r="A671" s="684"/>
      <c r="B671" s="666" t="s">
        <v>1685</v>
      </c>
      <c r="C671" s="1076">
        <v>361014</v>
      </c>
      <c r="D671" s="1076">
        <v>361014</v>
      </c>
      <c r="E671" s="653">
        <v>203602.17</v>
      </c>
      <c r="F671" s="653"/>
      <c r="G671" s="643">
        <f t="shared" si="106"/>
        <v>56.397305921654009</v>
      </c>
      <c r="H671" s="659">
        <f t="shared" si="102"/>
        <v>56.397305921654009</v>
      </c>
      <c r="I671" s="664">
        <f t="shared" si="109"/>
        <v>248.22331423602839</v>
      </c>
      <c r="J671" s="29">
        <v>82023.789999999994</v>
      </c>
    </row>
    <row r="672" spans="1:10" ht="12.75" customHeight="1" x14ac:dyDescent="0.2">
      <c r="A672" s="683">
        <v>6320</v>
      </c>
      <c r="B672" s="640" t="s">
        <v>1686</v>
      </c>
      <c r="C672" s="1077">
        <v>1550000</v>
      </c>
      <c r="D672" s="1077">
        <v>1550000</v>
      </c>
      <c r="E672" s="652">
        <v>653116</v>
      </c>
      <c r="F672" s="653"/>
      <c r="G672" s="642">
        <f t="shared" si="106"/>
        <v>42.136516129032259</v>
      </c>
      <c r="H672" s="644">
        <f t="shared" si="102"/>
        <v>42.136516129032259</v>
      </c>
      <c r="I672" s="651">
        <f t="shared" si="109"/>
        <v>103.30289101819896</v>
      </c>
      <c r="J672" s="29">
        <v>632234</v>
      </c>
    </row>
    <row r="673" spans="1:10" ht="12.75" customHeight="1" x14ac:dyDescent="0.2">
      <c r="A673" s="1006"/>
      <c r="B673" s="1078"/>
      <c r="C673" s="1079"/>
      <c r="D673" s="1079"/>
      <c r="E673" s="671"/>
      <c r="F673" s="671"/>
      <c r="G673" s="671"/>
      <c r="H673" s="671"/>
      <c r="I673" s="1080"/>
      <c r="J673" s="29"/>
    </row>
    <row r="674" spans="1:10" ht="20.25" x14ac:dyDescent="0.3">
      <c r="A674" s="909"/>
      <c r="B674" s="624" t="s">
        <v>729</v>
      </c>
      <c r="C674" s="887">
        <f t="shared" ref="C674:D674" si="112">C675+C676+C677+C681</f>
        <v>171743160</v>
      </c>
      <c r="D674" s="887">
        <f t="shared" si="112"/>
        <v>172842003.99000001</v>
      </c>
      <c r="E674" s="1081">
        <v>75877777.680000007</v>
      </c>
      <c r="F674" s="1082">
        <f>SUM(E675:E677,E681)</f>
        <v>75877777.679999992</v>
      </c>
      <c r="G674" s="810">
        <f t="shared" si="106"/>
        <v>44.180960499387581</v>
      </c>
      <c r="H674" s="810">
        <f t="shared" si="102"/>
        <v>43.900079800272394</v>
      </c>
      <c r="I674" s="997">
        <f t="shared" si="109"/>
        <v>100.98555029636901</v>
      </c>
      <c r="J674" s="29">
        <v>75137262.170000002</v>
      </c>
    </row>
    <row r="675" spans="1:10" s="98" customFormat="1" x14ac:dyDescent="0.2">
      <c r="A675" s="1083">
        <v>3341</v>
      </c>
      <c r="B675" s="1084" t="s">
        <v>1687</v>
      </c>
      <c r="C675" s="663">
        <v>3109200</v>
      </c>
      <c r="D675" s="663">
        <v>3109200</v>
      </c>
      <c r="E675" s="652">
        <v>1556181</v>
      </c>
      <c r="F675" s="653"/>
      <c r="G675" s="642">
        <f t="shared" si="106"/>
        <v>50.050849093014286</v>
      </c>
      <c r="H675" s="644">
        <f t="shared" si="102"/>
        <v>50.050849093014286</v>
      </c>
      <c r="I675" s="645">
        <f t="shared" si="109"/>
        <v>108.70594201673569</v>
      </c>
      <c r="J675" s="29">
        <v>1431551</v>
      </c>
    </row>
    <row r="676" spans="1:10" s="98" customFormat="1" ht="36.75" x14ac:dyDescent="0.2">
      <c r="A676" s="683">
        <v>6112</v>
      </c>
      <c r="B676" s="648" t="s">
        <v>1688</v>
      </c>
      <c r="C676" s="663">
        <f>30000+8520000+1046560+766800+12000+10000+500+20000+200000+7000+90000+30000</f>
        <v>10732860</v>
      </c>
      <c r="D676" s="663">
        <f>30000+8520000+1046560+766800+12000+10000+500+20000+200000+7000+90000+30000+(320000+28800)</f>
        <v>11081660</v>
      </c>
      <c r="E676" s="652">
        <v>5064501.5999999996</v>
      </c>
      <c r="F676" s="653"/>
      <c r="G676" s="642">
        <f t="shared" si="106"/>
        <v>47.186878427557986</v>
      </c>
      <c r="H676" s="644">
        <f t="shared" si="102"/>
        <v>45.701651196661871</v>
      </c>
      <c r="I676" s="651">
        <f t="shared" si="109"/>
        <v>112.37457339085215</v>
      </c>
      <c r="J676" s="654">
        <v>4506803.8499999996</v>
      </c>
    </row>
    <row r="677" spans="1:10" x14ac:dyDescent="0.2">
      <c r="A677" s="683">
        <v>6171</v>
      </c>
      <c r="B677" s="640" t="s">
        <v>719</v>
      </c>
      <c r="C677" s="663">
        <f t="shared" ref="C677:D677" si="113">SUM(C678:C680)</f>
        <v>151901100</v>
      </c>
      <c r="D677" s="663">
        <f t="shared" si="113"/>
        <v>152651143.99000001</v>
      </c>
      <c r="E677" s="652">
        <v>66256927.049999997</v>
      </c>
      <c r="F677" s="653">
        <f>SUM(E678:E680)</f>
        <v>66256927.050000004</v>
      </c>
      <c r="G677" s="642">
        <f t="shared" si="106"/>
        <v>43.618464283668779</v>
      </c>
      <c r="H677" s="644">
        <f t="shared" si="102"/>
        <v>43.40414707559637</v>
      </c>
      <c r="I677" s="645">
        <f t="shared" si="109"/>
        <v>100.09241859200952</v>
      </c>
      <c r="J677" s="29">
        <v>66195749.869999997</v>
      </c>
    </row>
    <row r="678" spans="1:10" ht="48" x14ac:dyDescent="0.2">
      <c r="A678" s="678"/>
      <c r="B678" s="1085" t="s">
        <v>1689</v>
      </c>
      <c r="C678" s="687">
        <f>93200000+10000+1400000+10000+23460800+8514000+520000+1000+900000+50000+20000+50000+2600000+350000+15000+204000+40000+2000000</f>
        <v>133344800</v>
      </c>
      <c r="D678" s="687">
        <f>(93200000+10000+1400000+10000+23460800+8514000+520000+1000+900000+50000+20000+50000+2600000+350000+15000+204000+40000+2000000)+(563940.99+135346+50757)</f>
        <v>134094843.98999999</v>
      </c>
      <c r="E678" s="653">
        <v>58088661.560000002</v>
      </c>
      <c r="F678" s="653"/>
      <c r="G678" s="643">
        <f t="shared" si="106"/>
        <v>43.562749773519478</v>
      </c>
      <c r="H678" s="659">
        <f t="shared" si="102"/>
        <v>43.319086574523261</v>
      </c>
      <c r="I678" s="664">
        <f t="shared" si="109"/>
        <v>100.04768368003982</v>
      </c>
      <c r="J678" s="654">
        <v>58060975.950000003</v>
      </c>
    </row>
    <row r="679" spans="1:10" ht="23.25" customHeight="1" x14ac:dyDescent="0.25">
      <c r="A679" s="1086"/>
      <c r="B679" s="666" t="s">
        <v>1690</v>
      </c>
      <c r="C679" s="687">
        <f>6900000+30000+1718600+623700+180000+10000</f>
        <v>9462300</v>
      </c>
      <c r="D679" s="687">
        <f>6900000+30000+1718600+623700+180000+10000</f>
        <v>9462300</v>
      </c>
      <c r="E679" s="653">
        <v>4093913</v>
      </c>
      <c r="F679" s="653"/>
      <c r="G679" s="643">
        <f t="shared" si="106"/>
        <v>43.265516840514465</v>
      </c>
      <c r="H679" s="659">
        <f t="shared" si="102"/>
        <v>43.265516840514465</v>
      </c>
      <c r="I679" s="660">
        <f t="shared" si="109"/>
        <v>100.89274976291918</v>
      </c>
      <c r="J679" s="654">
        <v>4057688</v>
      </c>
    </row>
    <row r="680" spans="1:10" ht="36.75" x14ac:dyDescent="0.25">
      <c r="A680" s="1086"/>
      <c r="B680" s="648" t="s">
        <v>1691</v>
      </c>
      <c r="C680" s="687">
        <f>4067000+60000+21000+3140000+206000+100000+285000+1150000+30000+26000+9000</f>
        <v>9094000</v>
      </c>
      <c r="D680" s="687">
        <f>4067000+60000+21000+3140000+206000+100000+285000+1150000+30000+26000+9000</f>
        <v>9094000</v>
      </c>
      <c r="E680" s="653">
        <v>4074352.49</v>
      </c>
      <c r="F680" s="653"/>
      <c r="G680" s="643">
        <f t="shared" si="106"/>
        <v>44.802644490873107</v>
      </c>
      <c r="H680" s="659">
        <f t="shared" si="102"/>
        <v>44.802644490873107</v>
      </c>
      <c r="I680" s="664">
        <f t="shared" si="109"/>
        <v>99.932956281676795</v>
      </c>
      <c r="J680" s="654">
        <v>4077085.92</v>
      </c>
    </row>
    <row r="681" spans="1:10" x14ac:dyDescent="0.2">
      <c r="A681" s="683">
        <v>6330</v>
      </c>
      <c r="B681" s="640" t="s">
        <v>734</v>
      </c>
      <c r="C681" s="835">
        <v>6000000</v>
      </c>
      <c r="D681" s="835">
        <v>6000000</v>
      </c>
      <c r="E681" s="652">
        <v>3000168.03</v>
      </c>
      <c r="F681" s="653"/>
      <c r="G681" s="642">
        <f t="shared" si="106"/>
        <v>50.002800499999999</v>
      </c>
      <c r="H681" s="644">
        <f t="shared" si="102"/>
        <v>50.002800499999999</v>
      </c>
      <c r="I681" s="645">
        <f t="shared" si="109"/>
        <v>99.900457433558785</v>
      </c>
      <c r="J681" s="29">
        <v>3003157.45</v>
      </c>
    </row>
    <row r="682" spans="1:10" x14ac:dyDescent="0.2">
      <c r="A682" s="953"/>
      <c r="B682" s="960"/>
      <c r="C682" s="1087"/>
      <c r="D682" s="1087"/>
      <c r="E682" s="950"/>
      <c r="F682" s="837"/>
      <c r="G682" s="643"/>
      <c r="H682" s="659"/>
      <c r="I682" s="660"/>
      <c r="J682" s="29"/>
    </row>
    <row r="683" spans="1:10" ht="20.25" x14ac:dyDescent="0.3">
      <c r="A683" s="909"/>
      <c r="B683" s="624" t="s">
        <v>43</v>
      </c>
      <c r="C683" s="631">
        <f>C684+C699</f>
        <v>17006123</v>
      </c>
      <c r="D683" s="631">
        <f>D684+D699</f>
        <v>17065123</v>
      </c>
      <c r="E683" s="810">
        <v>11539056.880000001</v>
      </c>
      <c r="F683" s="811">
        <f>SUM(E684,E699)</f>
        <v>11539056.880000001</v>
      </c>
      <c r="G683" s="810">
        <f t="shared" si="106"/>
        <v>67.852366350637368</v>
      </c>
      <c r="H683" s="810">
        <f t="shared" si="102"/>
        <v>67.617777381387768</v>
      </c>
      <c r="I683" s="997">
        <f t="shared" si="109"/>
        <v>91.451387042864724</v>
      </c>
      <c r="J683" s="29">
        <v>12617694.77</v>
      </c>
    </row>
    <row r="684" spans="1:10" ht="15.75" x14ac:dyDescent="0.25">
      <c r="A684" s="909"/>
      <c r="B684" s="674" t="s">
        <v>735</v>
      </c>
      <c r="C684" s="788">
        <f>C685+C686+C687+C690+C692+C697+C698</f>
        <v>1297000</v>
      </c>
      <c r="D684" s="788">
        <f>D685+D686+D687+D690+D692+D697+D698</f>
        <v>1242255</v>
      </c>
      <c r="E684" s="788">
        <v>370856.88</v>
      </c>
      <c r="F684" s="1088">
        <f>SUM(E685:E687,E690,E692,E697:E698)</f>
        <v>370856.88</v>
      </c>
      <c r="G684" s="788">
        <f t="shared" si="106"/>
        <v>28.593437162683117</v>
      </c>
      <c r="H684" s="788">
        <f t="shared" si="102"/>
        <v>29.853522827438812</v>
      </c>
      <c r="I684" s="826">
        <f t="shared" si="109"/>
        <v>94.684425358410991</v>
      </c>
      <c r="J684" s="29">
        <v>391676.75</v>
      </c>
    </row>
    <row r="685" spans="1:10" x14ac:dyDescent="0.2">
      <c r="A685" s="683">
        <v>3613</v>
      </c>
      <c r="B685" s="640" t="s">
        <v>1692</v>
      </c>
      <c r="C685" s="652">
        <v>7000</v>
      </c>
      <c r="D685" s="652">
        <v>7000</v>
      </c>
      <c r="E685" s="652">
        <v>109.7</v>
      </c>
      <c r="F685" s="653"/>
      <c r="G685" s="642">
        <f t="shared" si="106"/>
        <v>1.5671428571428572</v>
      </c>
      <c r="H685" s="644">
        <f t="shared" ref="H685:H748" si="114">E685/D685*100</f>
        <v>1.5671428571428572</v>
      </c>
      <c r="I685" s="645">
        <v>0</v>
      </c>
      <c r="J685" s="29">
        <v>0</v>
      </c>
    </row>
    <row r="686" spans="1:10" s="244" customFormat="1" ht="15.75" x14ac:dyDescent="0.25">
      <c r="A686" s="683">
        <v>3632</v>
      </c>
      <c r="B686" s="640" t="s">
        <v>1693</v>
      </c>
      <c r="C686" s="652">
        <v>270000</v>
      </c>
      <c r="D686" s="652">
        <v>270000</v>
      </c>
      <c r="E686" s="652">
        <v>166665.88</v>
      </c>
      <c r="F686" s="653"/>
      <c r="G686" s="642">
        <f t="shared" si="106"/>
        <v>61.728103703703709</v>
      </c>
      <c r="H686" s="644">
        <f t="shared" si="114"/>
        <v>61.728103703703709</v>
      </c>
      <c r="I686" s="645">
        <f t="shared" si="109"/>
        <v>173.35792947246068</v>
      </c>
      <c r="J686" s="29">
        <v>96139.75</v>
      </c>
    </row>
    <row r="687" spans="1:10" s="244" customFormat="1" ht="12.75" customHeight="1" x14ac:dyDescent="0.25">
      <c r="A687" s="683">
        <v>4329</v>
      </c>
      <c r="B687" s="640" t="s">
        <v>739</v>
      </c>
      <c r="C687" s="649">
        <f t="shared" ref="C687:D687" si="115">SUM(C688:C689)</f>
        <v>258000</v>
      </c>
      <c r="D687" s="649">
        <f t="shared" si="115"/>
        <v>258000</v>
      </c>
      <c r="E687" s="649">
        <v>4387.34</v>
      </c>
      <c r="F687" s="650">
        <f>SUM(E688:E689)</f>
        <v>4387.34</v>
      </c>
      <c r="G687" s="642">
        <f t="shared" si="106"/>
        <v>1.7005193798449614</v>
      </c>
      <c r="H687" s="644">
        <f t="shared" si="114"/>
        <v>1.7005193798449614</v>
      </c>
      <c r="I687" s="645">
        <f t="shared" si="109"/>
        <v>79.128160732965398</v>
      </c>
      <c r="J687" s="29">
        <v>5544.6</v>
      </c>
    </row>
    <row r="688" spans="1:10" s="98" customFormat="1" x14ac:dyDescent="0.2">
      <c r="A688" s="683"/>
      <c r="B688" s="869" t="s">
        <v>1694</v>
      </c>
      <c r="C688" s="653">
        <v>8000</v>
      </c>
      <c r="D688" s="653">
        <v>8000</v>
      </c>
      <c r="E688" s="653">
        <v>4387.34</v>
      </c>
      <c r="F688" s="653"/>
      <c r="G688" s="643">
        <f t="shared" si="106"/>
        <v>54.841749999999998</v>
      </c>
      <c r="H688" s="659">
        <f t="shared" si="114"/>
        <v>54.841749999999998</v>
      </c>
      <c r="I688" s="660">
        <f t="shared" si="109"/>
        <v>79.128160732965398</v>
      </c>
      <c r="J688" s="29">
        <v>5544.6</v>
      </c>
    </row>
    <row r="689" spans="1:10" s="98" customFormat="1" x14ac:dyDescent="0.2">
      <c r="A689" s="683"/>
      <c r="B689" s="869" t="s">
        <v>1695</v>
      </c>
      <c r="C689" s="653">
        <v>250000</v>
      </c>
      <c r="D689" s="653">
        <v>250000</v>
      </c>
      <c r="E689" s="653">
        <v>0</v>
      </c>
      <c r="F689" s="653"/>
      <c r="G689" s="643">
        <f t="shared" si="106"/>
        <v>0</v>
      </c>
      <c r="H689" s="659">
        <f t="shared" si="114"/>
        <v>0</v>
      </c>
      <c r="I689" s="660">
        <v>0</v>
      </c>
      <c r="J689" s="29">
        <v>0</v>
      </c>
    </row>
    <row r="690" spans="1:10" x14ac:dyDescent="0.2">
      <c r="A690" s="683">
        <v>4349</v>
      </c>
      <c r="B690" s="640" t="s">
        <v>747</v>
      </c>
      <c r="C690" s="649">
        <f t="shared" ref="C690:D690" si="116">SUM(C691:C691)</f>
        <v>300000</v>
      </c>
      <c r="D690" s="649">
        <f t="shared" si="116"/>
        <v>300000</v>
      </c>
      <c r="E690" s="649">
        <v>9320</v>
      </c>
      <c r="F690" s="650"/>
      <c r="G690" s="642">
        <f t="shared" si="106"/>
        <v>3.1066666666666665</v>
      </c>
      <c r="H690" s="644">
        <f t="shared" si="114"/>
        <v>3.1066666666666665</v>
      </c>
      <c r="I690" s="645">
        <f t="shared" si="109"/>
        <v>265.15690346809293</v>
      </c>
      <c r="J690" s="29">
        <v>3514.9</v>
      </c>
    </row>
    <row r="691" spans="1:10" x14ac:dyDescent="0.2">
      <c r="A691" s="684"/>
      <c r="B691" s="658" t="s">
        <v>1696</v>
      </c>
      <c r="C691" s="653">
        <v>300000</v>
      </c>
      <c r="D691" s="653">
        <v>300000</v>
      </c>
      <c r="E691" s="653">
        <v>9320</v>
      </c>
      <c r="F691" s="653"/>
      <c r="G691" s="643">
        <f t="shared" si="106"/>
        <v>3.1066666666666665</v>
      </c>
      <c r="H691" s="659">
        <f t="shared" si="114"/>
        <v>3.1066666666666665</v>
      </c>
      <c r="I691" s="660">
        <f t="shared" si="109"/>
        <v>265.15690346809293</v>
      </c>
      <c r="J691" s="29">
        <v>3514.9</v>
      </c>
    </row>
    <row r="692" spans="1:10" s="98" customFormat="1" x14ac:dyDescent="0.2">
      <c r="A692" s="683">
        <v>4379</v>
      </c>
      <c r="B692" s="640" t="s">
        <v>754</v>
      </c>
      <c r="C692" s="649">
        <f>SUM(C693:C696)</f>
        <v>359000</v>
      </c>
      <c r="D692" s="649">
        <f>SUM(D693:D696)</f>
        <v>359000</v>
      </c>
      <c r="E692" s="649">
        <v>165373.96</v>
      </c>
      <c r="F692" s="650">
        <f>SUM(E693:E696)</f>
        <v>165373.96000000002</v>
      </c>
      <c r="G692" s="642">
        <f t="shared" si="106"/>
        <v>46.065169916434542</v>
      </c>
      <c r="H692" s="644">
        <f t="shared" si="114"/>
        <v>46.065169916434542</v>
      </c>
      <c r="I692" s="645">
        <f t="shared" si="109"/>
        <v>63.474879526511842</v>
      </c>
      <c r="J692" s="29">
        <v>260534.5</v>
      </c>
    </row>
    <row r="693" spans="1:10" x14ac:dyDescent="0.2">
      <c r="A693" s="684"/>
      <c r="B693" s="658" t="s">
        <v>1697</v>
      </c>
      <c r="C693" s="653">
        <v>229000</v>
      </c>
      <c r="D693" s="653">
        <v>229000</v>
      </c>
      <c r="E693" s="653">
        <v>119272.19</v>
      </c>
      <c r="F693" s="653"/>
      <c r="G693" s="643">
        <f t="shared" si="106"/>
        <v>52.083925764192138</v>
      </c>
      <c r="H693" s="659">
        <f t="shared" si="114"/>
        <v>52.083925764192138</v>
      </c>
      <c r="I693" s="660">
        <f t="shared" si="109"/>
        <v>108.54441939767008</v>
      </c>
      <c r="J693" s="29">
        <v>109883.3</v>
      </c>
    </row>
    <row r="694" spans="1:10" s="419" customFormat="1" x14ac:dyDescent="0.2">
      <c r="A694" s="684"/>
      <c r="B694" s="658" t="s">
        <v>1698</v>
      </c>
      <c r="C694" s="653">
        <v>65000</v>
      </c>
      <c r="D694" s="653">
        <v>65000</v>
      </c>
      <c r="E694" s="653">
        <v>30624.04</v>
      </c>
      <c r="F694" s="653"/>
      <c r="G694" s="643">
        <f t="shared" si="106"/>
        <v>47.113907692307691</v>
      </c>
      <c r="H694" s="659">
        <f t="shared" si="114"/>
        <v>47.113907692307691</v>
      </c>
      <c r="I694" s="660">
        <f t="shared" si="109"/>
        <v>97.629995425193954</v>
      </c>
      <c r="J694" s="29">
        <v>31367.45</v>
      </c>
    </row>
    <row r="695" spans="1:10" x14ac:dyDescent="0.2">
      <c r="A695" s="684"/>
      <c r="B695" s="658" t="s">
        <v>1699</v>
      </c>
      <c r="C695" s="653">
        <v>55000</v>
      </c>
      <c r="D695" s="653">
        <v>55000</v>
      </c>
      <c r="E695" s="653">
        <v>15477.73</v>
      </c>
      <c r="F695" s="653"/>
      <c r="G695" s="643">
        <f t="shared" si="106"/>
        <v>28.141327272727274</v>
      </c>
      <c r="H695" s="659">
        <f t="shared" si="114"/>
        <v>28.141327272727274</v>
      </c>
      <c r="I695" s="660">
        <f t="shared" si="109"/>
        <v>62.903921301668134</v>
      </c>
      <c r="J695" s="29">
        <v>24605.35</v>
      </c>
    </row>
    <row r="696" spans="1:10" s="98" customFormat="1" x14ac:dyDescent="0.2">
      <c r="A696" s="684"/>
      <c r="B696" s="658" t="s">
        <v>1700</v>
      </c>
      <c r="C696" s="653">
        <v>10000</v>
      </c>
      <c r="D696" s="653">
        <v>10000</v>
      </c>
      <c r="E696" s="653">
        <v>0</v>
      </c>
      <c r="F696" s="653"/>
      <c r="G696" s="643">
        <f t="shared" ref="G696:G759" si="117">E696/C696*100</f>
        <v>0</v>
      </c>
      <c r="H696" s="659">
        <f t="shared" si="114"/>
        <v>0</v>
      </c>
      <c r="I696" s="660">
        <v>0</v>
      </c>
      <c r="J696" s="29">
        <v>0</v>
      </c>
    </row>
    <row r="697" spans="1:10" x14ac:dyDescent="0.2">
      <c r="A697" s="683">
        <v>4399</v>
      </c>
      <c r="B697" s="640" t="s">
        <v>1701</v>
      </c>
      <c r="C697" s="652">
        <v>3000</v>
      </c>
      <c r="D697" s="652">
        <v>3000</v>
      </c>
      <c r="E697" s="652">
        <v>25000</v>
      </c>
      <c r="F697" s="653"/>
      <c r="G697" s="642">
        <f t="shared" si="117"/>
        <v>833.33333333333337</v>
      </c>
      <c r="H697" s="644">
        <f t="shared" si="114"/>
        <v>833.33333333333337</v>
      </c>
      <c r="I697" s="645">
        <f t="shared" si="109"/>
        <v>96.365108121651303</v>
      </c>
      <c r="J697" s="29">
        <v>25943</v>
      </c>
    </row>
    <row r="698" spans="1:10" x14ac:dyDescent="0.2">
      <c r="A698" s="953">
        <v>6409</v>
      </c>
      <c r="B698" s="960" t="s">
        <v>1702</v>
      </c>
      <c r="C698" s="950">
        <v>100000</v>
      </c>
      <c r="D698" s="950">
        <f>100000-50000-4745</f>
        <v>45255</v>
      </c>
      <c r="E698" s="950">
        <v>0</v>
      </c>
      <c r="F698" s="837"/>
      <c r="G698" s="642">
        <f t="shared" si="117"/>
        <v>0</v>
      </c>
      <c r="H698" s="644">
        <f t="shared" si="114"/>
        <v>0</v>
      </c>
      <c r="I698" s="645">
        <v>0</v>
      </c>
      <c r="J698" s="29">
        <v>0</v>
      </c>
    </row>
    <row r="699" spans="1:10" ht="15.75" x14ac:dyDescent="0.25">
      <c r="A699" s="909"/>
      <c r="B699" s="674" t="s">
        <v>761</v>
      </c>
      <c r="C699" s="853">
        <f t="shared" ref="C699:D699" si="118">C700</f>
        <v>15709123</v>
      </c>
      <c r="D699" s="853">
        <f t="shared" si="118"/>
        <v>15822868</v>
      </c>
      <c r="E699" s="853">
        <v>11168200</v>
      </c>
      <c r="F699" s="1089"/>
      <c r="G699" s="788">
        <f t="shared" si="117"/>
        <v>71.093720508776968</v>
      </c>
      <c r="H699" s="788">
        <f t="shared" si="114"/>
        <v>70.582652904644078</v>
      </c>
      <c r="I699" s="826">
        <f t="shared" si="109"/>
        <v>91.347812359923225</v>
      </c>
      <c r="J699" s="29">
        <v>12226018.02</v>
      </c>
    </row>
    <row r="700" spans="1:10" x14ac:dyDescent="0.2">
      <c r="A700" s="1090"/>
      <c r="B700" s="635" t="s">
        <v>762</v>
      </c>
      <c r="C700" s="1091">
        <f>SUM(C701:C712)</f>
        <v>15709123</v>
      </c>
      <c r="D700" s="1091">
        <f>SUM(D701:D712)</f>
        <v>15822868</v>
      </c>
      <c r="E700" s="649">
        <v>11168200</v>
      </c>
      <c r="F700" s="650">
        <f>SUM(E701:E712)</f>
        <v>11168200</v>
      </c>
      <c r="G700" s="642">
        <f t="shared" si="117"/>
        <v>71.093720508776968</v>
      </c>
      <c r="H700" s="644">
        <f t="shared" si="114"/>
        <v>70.582652904644078</v>
      </c>
      <c r="I700" s="645">
        <f t="shared" si="109"/>
        <v>91.347812359923225</v>
      </c>
      <c r="J700" s="29">
        <v>12226018.02</v>
      </c>
    </row>
    <row r="701" spans="1:10" s="98" customFormat="1" x14ac:dyDescent="0.2">
      <c r="A701" s="1090"/>
      <c r="B701" s="658" t="s">
        <v>763</v>
      </c>
      <c r="C701" s="653">
        <v>129000</v>
      </c>
      <c r="D701" s="653">
        <v>129000</v>
      </c>
      <c r="E701" s="653">
        <v>129000</v>
      </c>
      <c r="F701" s="653"/>
      <c r="G701" s="643">
        <f t="shared" si="117"/>
        <v>100</v>
      </c>
      <c r="H701" s="659">
        <f t="shared" si="114"/>
        <v>100</v>
      </c>
      <c r="I701" s="660">
        <f t="shared" si="109"/>
        <v>58.186738836265228</v>
      </c>
      <c r="J701" s="29">
        <v>221700</v>
      </c>
    </row>
    <row r="702" spans="1:10" x14ac:dyDescent="0.2">
      <c r="A702" s="1090"/>
      <c r="B702" s="658" t="s">
        <v>764</v>
      </c>
      <c r="C702" s="653">
        <v>200000</v>
      </c>
      <c r="D702" s="653">
        <v>200000</v>
      </c>
      <c r="E702" s="653">
        <v>0</v>
      </c>
      <c r="F702" s="653"/>
      <c r="G702" s="643">
        <f t="shared" si="117"/>
        <v>0</v>
      </c>
      <c r="H702" s="659">
        <f t="shared" si="114"/>
        <v>0</v>
      </c>
      <c r="I702" s="660">
        <f t="shared" si="109"/>
        <v>0</v>
      </c>
      <c r="J702" s="29">
        <v>149500</v>
      </c>
    </row>
    <row r="703" spans="1:10" x14ac:dyDescent="0.2">
      <c r="A703" s="1090"/>
      <c r="B703" s="658" t="s">
        <v>1703</v>
      </c>
      <c r="C703" s="653">
        <v>9749028</v>
      </c>
      <c r="D703" s="653">
        <f>9749028-360000</f>
        <v>9389028</v>
      </c>
      <c r="E703" s="653">
        <v>8771200</v>
      </c>
      <c r="F703" s="653"/>
      <c r="G703" s="643">
        <f t="shared" si="117"/>
        <v>89.969994957446005</v>
      </c>
      <c r="H703" s="659">
        <f t="shared" si="114"/>
        <v>93.419680929697947</v>
      </c>
      <c r="I703" s="660">
        <f t="shared" si="109"/>
        <v>112.71283362674924</v>
      </c>
      <c r="J703" s="29">
        <v>7781900</v>
      </c>
    </row>
    <row r="704" spans="1:10" x14ac:dyDescent="0.2">
      <c r="A704" s="1090"/>
      <c r="B704" s="658" t="s">
        <v>1704</v>
      </c>
      <c r="C704" s="653">
        <v>1853095</v>
      </c>
      <c r="D704" s="653">
        <v>1853095</v>
      </c>
      <c r="E704" s="653">
        <v>0</v>
      </c>
      <c r="F704" s="653"/>
      <c r="G704" s="643">
        <f t="shared" si="117"/>
        <v>0</v>
      </c>
      <c r="H704" s="659">
        <f t="shared" si="114"/>
        <v>0</v>
      </c>
      <c r="I704" s="660">
        <f t="shared" si="109"/>
        <v>0</v>
      </c>
      <c r="J704" s="29">
        <v>1096000</v>
      </c>
    </row>
    <row r="705" spans="1:10" x14ac:dyDescent="0.2">
      <c r="A705" s="1090"/>
      <c r="B705" s="658" t="s">
        <v>767</v>
      </c>
      <c r="C705" s="653">
        <v>135000</v>
      </c>
      <c r="D705" s="653">
        <v>135000</v>
      </c>
      <c r="E705" s="653">
        <v>135000</v>
      </c>
      <c r="F705" s="653"/>
      <c r="G705" s="643">
        <f t="shared" si="117"/>
        <v>100</v>
      </c>
      <c r="H705" s="659">
        <f t="shared" si="114"/>
        <v>100</v>
      </c>
      <c r="I705" s="660">
        <f t="shared" si="109"/>
        <v>100</v>
      </c>
      <c r="J705" s="29">
        <v>135000</v>
      </c>
    </row>
    <row r="706" spans="1:10" x14ac:dyDescent="0.2">
      <c r="A706" s="1090"/>
      <c r="B706" s="658" t="s">
        <v>768</v>
      </c>
      <c r="C706" s="653">
        <v>235000</v>
      </c>
      <c r="D706" s="653">
        <v>235000</v>
      </c>
      <c r="E706" s="653">
        <v>235000</v>
      </c>
      <c r="F706" s="653"/>
      <c r="G706" s="643">
        <f t="shared" si="117"/>
        <v>100</v>
      </c>
      <c r="H706" s="659">
        <f t="shared" si="114"/>
        <v>100</v>
      </c>
      <c r="I706" s="660">
        <f t="shared" si="109"/>
        <v>111.90476190476191</v>
      </c>
      <c r="J706" s="29">
        <v>210000</v>
      </c>
    </row>
    <row r="707" spans="1:10" x14ac:dyDescent="0.2">
      <c r="A707" s="1090"/>
      <c r="B707" s="658" t="s">
        <v>1705</v>
      </c>
      <c r="C707" s="653">
        <v>1000000</v>
      </c>
      <c r="D707" s="653">
        <v>1000000</v>
      </c>
      <c r="E707" s="653">
        <v>0</v>
      </c>
      <c r="F707" s="653"/>
      <c r="G707" s="643">
        <f t="shared" si="117"/>
        <v>0</v>
      </c>
      <c r="H707" s="659">
        <f t="shared" si="114"/>
        <v>0</v>
      </c>
      <c r="I707" s="660">
        <v>0</v>
      </c>
      <c r="J707" s="29">
        <v>0</v>
      </c>
    </row>
    <row r="708" spans="1:10" x14ac:dyDescent="0.2">
      <c r="A708" s="683"/>
      <c r="B708" s="658" t="s">
        <v>769</v>
      </c>
      <c r="C708" s="653">
        <v>50000</v>
      </c>
      <c r="D708" s="653">
        <v>50000</v>
      </c>
      <c r="E708" s="653">
        <v>0</v>
      </c>
      <c r="F708" s="653"/>
      <c r="G708" s="643">
        <f t="shared" si="117"/>
        <v>0</v>
      </c>
      <c r="H708" s="659">
        <f t="shared" si="114"/>
        <v>0</v>
      </c>
      <c r="I708" s="660">
        <f t="shared" si="109"/>
        <v>0</v>
      </c>
      <c r="J708" s="29">
        <v>27444.89</v>
      </c>
    </row>
    <row r="709" spans="1:10" ht="24.75" customHeight="1" x14ac:dyDescent="0.2">
      <c r="A709" s="683"/>
      <c r="B709" s="1092" t="s">
        <v>1706</v>
      </c>
      <c r="C709" s="653">
        <v>2310000</v>
      </c>
      <c r="D709" s="653">
        <v>2310000</v>
      </c>
      <c r="E709" s="653">
        <v>1666000</v>
      </c>
      <c r="F709" s="653"/>
      <c r="G709" s="643">
        <f t="shared" si="117"/>
        <v>72.121212121212125</v>
      </c>
      <c r="H709" s="659">
        <f t="shared" si="114"/>
        <v>72.121212121212125</v>
      </c>
      <c r="I709" s="664">
        <v>0</v>
      </c>
      <c r="J709" s="654">
        <v>0</v>
      </c>
    </row>
    <row r="710" spans="1:10" x14ac:dyDescent="0.2">
      <c r="A710" s="683"/>
      <c r="B710" s="658" t="s">
        <v>770</v>
      </c>
      <c r="C710" s="653">
        <v>0</v>
      </c>
      <c r="D710" s="653">
        <f>50000+59000+75000+4745</f>
        <v>188745</v>
      </c>
      <c r="E710" s="653">
        <v>184000</v>
      </c>
      <c r="F710" s="653"/>
      <c r="G710" s="643">
        <v>0</v>
      </c>
      <c r="H710" s="659">
        <f t="shared" si="114"/>
        <v>97.486026119897218</v>
      </c>
      <c r="I710" s="660">
        <f t="shared" si="109"/>
        <v>876.19047619047626</v>
      </c>
      <c r="J710" s="29">
        <v>21000</v>
      </c>
    </row>
    <row r="711" spans="1:10" x14ac:dyDescent="0.2">
      <c r="A711" s="683"/>
      <c r="B711" s="658" t="s">
        <v>1707</v>
      </c>
      <c r="C711" s="653">
        <v>48000</v>
      </c>
      <c r="D711" s="653">
        <v>48000</v>
      </c>
      <c r="E711" s="722">
        <v>48000</v>
      </c>
      <c r="F711" s="722"/>
      <c r="G711" s="643">
        <f t="shared" si="117"/>
        <v>100</v>
      </c>
      <c r="H711" s="659">
        <f t="shared" si="114"/>
        <v>100</v>
      </c>
      <c r="I711" s="660">
        <f t="shared" si="109"/>
        <v>111.62790697674419</v>
      </c>
      <c r="J711" s="29">
        <v>43000</v>
      </c>
    </row>
    <row r="712" spans="1:10" x14ac:dyDescent="0.2">
      <c r="A712" s="683"/>
      <c r="B712" s="658" t="s">
        <v>1708</v>
      </c>
      <c r="C712" s="653">
        <v>0</v>
      </c>
      <c r="D712" s="653">
        <v>285000</v>
      </c>
      <c r="E712" s="722">
        <v>0</v>
      </c>
      <c r="F712" s="722"/>
      <c r="G712" s="643">
        <v>0</v>
      </c>
      <c r="H712" s="659">
        <f t="shared" si="114"/>
        <v>0</v>
      </c>
      <c r="I712" s="660">
        <f t="shared" ref="I712:I775" si="119">E712/J712*100</f>
        <v>0</v>
      </c>
      <c r="J712" s="29">
        <v>265673.13</v>
      </c>
    </row>
    <row r="713" spans="1:10" x14ac:dyDescent="0.2">
      <c r="A713" s="1093"/>
      <c r="B713" s="877"/>
      <c r="C713" s="671"/>
      <c r="D713" s="671"/>
      <c r="E713" s="671"/>
      <c r="F713" s="671"/>
      <c r="G713" s="671"/>
      <c r="H713" s="671"/>
      <c r="I713" s="1094"/>
      <c r="J713" s="29"/>
    </row>
    <row r="714" spans="1:10" ht="20.25" x14ac:dyDescent="0.3">
      <c r="A714" s="1093"/>
      <c r="B714" s="1095" t="s">
        <v>771</v>
      </c>
      <c r="C714" s="1096">
        <f t="shared" ref="C714:D714" si="120">C715</f>
        <v>19471500</v>
      </c>
      <c r="D714" s="1096">
        <f t="shared" si="120"/>
        <v>24044500</v>
      </c>
      <c r="E714" s="1097">
        <v>6442331.1100000003</v>
      </c>
      <c r="F714" s="1098"/>
      <c r="G714" s="1081">
        <f t="shared" si="117"/>
        <v>33.085951827029248</v>
      </c>
      <c r="H714" s="1081">
        <f t="shared" si="114"/>
        <v>26.793366923828739</v>
      </c>
      <c r="I714" s="888">
        <f t="shared" si="119"/>
        <v>96.116022691131391</v>
      </c>
      <c r="J714" s="29">
        <v>6702660.9400000004</v>
      </c>
    </row>
    <row r="715" spans="1:10" x14ac:dyDescent="0.2">
      <c r="A715" s="953">
        <v>4351</v>
      </c>
      <c r="B715" s="635" t="s">
        <v>772</v>
      </c>
      <c r="C715" s="1099">
        <f t="shared" ref="C715:D715" si="121">SUM(C716:C719)</f>
        <v>19471500</v>
      </c>
      <c r="D715" s="1099">
        <f t="shared" si="121"/>
        <v>24044500</v>
      </c>
      <c r="E715" s="1099">
        <v>6442331.1100000003</v>
      </c>
      <c r="F715" s="1100">
        <f>SUM(E716:E719)</f>
        <v>6442331.1100000003</v>
      </c>
      <c r="G715" s="642">
        <f t="shared" si="117"/>
        <v>33.085951827029248</v>
      </c>
      <c r="H715" s="644">
        <f t="shared" si="114"/>
        <v>26.793366923828739</v>
      </c>
      <c r="I715" s="651">
        <f t="shared" si="119"/>
        <v>96.116022691131391</v>
      </c>
      <c r="J715" s="29">
        <v>6702660.9400000004</v>
      </c>
    </row>
    <row r="716" spans="1:10" ht="60.75" x14ac:dyDescent="0.2">
      <c r="A716" s="684"/>
      <c r="B716" s="1085" t="s">
        <v>1709</v>
      </c>
      <c r="C716" s="1101">
        <v>8205000</v>
      </c>
      <c r="D716" s="1101">
        <f>8205000+2980000+(419000+181000+2000+161000+2217000-2980000)</f>
        <v>11185000</v>
      </c>
      <c r="E716" s="650">
        <v>3085953.65</v>
      </c>
      <c r="F716" s="650"/>
      <c r="G716" s="643">
        <f t="shared" si="117"/>
        <v>37.6106477757465</v>
      </c>
      <c r="H716" s="659">
        <f t="shared" si="114"/>
        <v>27.590108627626286</v>
      </c>
      <c r="I716" s="664">
        <f t="shared" si="119"/>
        <v>101.07591324843084</v>
      </c>
      <c r="J716" s="654">
        <v>3053104.89</v>
      </c>
    </row>
    <row r="717" spans="1:10" ht="48.75" x14ac:dyDescent="0.2">
      <c r="A717" s="684"/>
      <c r="B717" s="1085" t="s">
        <v>1710</v>
      </c>
      <c r="C717" s="1101">
        <v>2224000</v>
      </c>
      <c r="D717" s="1101">
        <f>2224000+559000+(492000+36000+31000-559000)</f>
        <v>2783000</v>
      </c>
      <c r="E717" s="833">
        <v>785212.05</v>
      </c>
      <c r="F717" s="833"/>
      <c r="G717" s="643">
        <f t="shared" si="117"/>
        <v>35.30629721223022</v>
      </c>
      <c r="H717" s="659">
        <f t="shared" si="114"/>
        <v>28.214590370104204</v>
      </c>
      <c r="I717" s="664">
        <f t="shared" si="119"/>
        <v>102.74363292351659</v>
      </c>
      <c r="J717" s="654">
        <v>764244</v>
      </c>
    </row>
    <row r="718" spans="1:10" ht="36.75" x14ac:dyDescent="0.2">
      <c r="A718" s="683"/>
      <c r="B718" s="1085" t="s">
        <v>1711</v>
      </c>
      <c r="C718" s="1101">
        <v>6642500</v>
      </c>
      <c r="D718" s="1101">
        <f>6642500+1034000+(978000+56000-1034000)</f>
        <v>7676500</v>
      </c>
      <c r="E718" s="653">
        <v>2571165.41</v>
      </c>
      <c r="F718" s="653"/>
      <c r="G718" s="643">
        <f t="shared" si="117"/>
        <v>38.707796913812572</v>
      </c>
      <c r="H718" s="659">
        <f t="shared" si="114"/>
        <v>33.493980459844984</v>
      </c>
      <c r="I718" s="664">
        <f t="shared" si="119"/>
        <v>109.53317650208263</v>
      </c>
      <c r="J718" s="654">
        <v>2347385.0499999998</v>
      </c>
    </row>
    <row r="719" spans="1:10" x14ac:dyDescent="0.2">
      <c r="A719" s="953"/>
      <c r="B719" s="1102" t="s">
        <v>1712</v>
      </c>
      <c r="C719" s="1103">
        <v>2400000</v>
      </c>
      <c r="D719" s="1103">
        <v>2400000</v>
      </c>
      <c r="E719" s="653">
        <v>0</v>
      </c>
      <c r="F719" s="653"/>
      <c r="G719" s="643">
        <f t="shared" si="117"/>
        <v>0</v>
      </c>
      <c r="H719" s="659">
        <f t="shared" si="114"/>
        <v>0</v>
      </c>
      <c r="I719" s="664">
        <v>0</v>
      </c>
      <c r="J719" s="29">
        <v>0</v>
      </c>
    </row>
    <row r="720" spans="1:10" x14ac:dyDescent="0.2">
      <c r="A720" s="1020"/>
      <c r="B720" s="1104"/>
      <c r="C720" s="1105"/>
      <c r="D720" s="1105"/>
      <c r="E720" s="1020"/>
      <c r="F720" s="1106"/>
      <c r="G720" s="1020"/>
      <c r="H720" s="1020"/>
      <c r="I720" s="1107"/>
      <c r="J720" s="29"/>
    </row>
    <row r="721" spans="1:10" ht="20.25" x14ac:dyDescent="0.3">
      <c r="A721" s="909"/>
      <c r="B721" s="624" t="s">
        <v>50</v>
      </c>
      <c r="C721" s="1004">
        <f>SUM(C722,C723,C724,C725,C726,C727,C728,C729,C733,C734,C735,C736,C741,C742)</f>
        <v>67229000</v>
      </c>
      <c r="D721" s="1004">
        <f>SUM(D722,D723,D724,D725,D726,D727,D728,D729,D733,D734,D735,D736,D741,D742)</f>
        <v>70566434</v>
      </c>
      <c r="E721" s="1108">
        <v>32162110.5</v>
      </c>
      <c r="F721" s="1109">
        <f>SUM(E722:E729,E733:E736,E741)</f>
        <v>32162110.5</v>
      </c>
      <c r="G721" s="810">
        <f t="shared" si="117"/>
        <v>47.839638400095197</v>
      </c>
      <c r="H721" s="810">
        <f t="shared" si="114"/>
        <v>45.577066427928045</v>
      </c>
      <c r="I721" s="997">
        <f t="shared" si="119"/>
        <v>86.387014401900302</v>
      </c>
      <c r="J721" s="29">
        <v>37230260.5</v>
      </c>
    </row>
    <row r="722" spans="1:10" x14ac:dyDescent="0.2">
      <c r="A722" s="678">
        <v>1014</v>
      </c>
      <c r="B722" s="635" t="s">
        <v>776</v>
      </c>
      <c r="C722" s="652">
        <v>500000</v>
      </c>
      <c r="D722" s="652">
        <v>500000</v>
      </c>
      <c r="E722" s="652">
        <v>110830</v>
      </c>
      <c r="F722" s="653"/>
      <c r="G722" s="642">
        <f t="shared" si="117"/>
        <v>22.166</v>
      </c>
      <c r="H722" s="644">
        <f t="shared" si="114"/>
        <v>22.166</v>
      </c>
      <c r="I722" s="651">
        <f t="shared" si="119"/>
        <v>98.446424288721701</v>
      </c>
      <c r="J722" s="29">
        <v>112579</v>
      </c>
    </row>
    <row r="723" spans="1:10" x14ac:dyDescent="0.2">
      <c r="A723" s="683">
        <v>1031</v>
      </c>
      <c r="B723" s="640" t="s">
        <v>1713</v>
      </c>
      <c r="C723" s="652">
        <v>650000</v>
      </c>
      <c r="D723" s="652">
        <f>650000+50000</f>
        <v>700000</v>
      </c>
      <c r="E723" s="652">
        <v>8893.5</v>
      </c>
      <c r="F723" s="653"/>
      <c r="G723" s="642">
        <f t="shared" si="117"/>
        <v>1.3682307692307691</v>
      </c>
      <c r="H723" s="644">
        <f t="shared" si="114"/>
        <v>1.2705</v>
      </c>
      <c r="I723" s="651">
        <f t="shared" si="119"/>
        <v>6.2107116706699168</v>
      </c>
      <c r="J723" s="29">
        <v>143196.15</v>
      </c>
    </row>
    <row r="724" spans="1:10" x14ac:dyDescent="0.2">
      <c r="A724" s="683">
        <v>1036</v>
      </c>
      <c r="B724" s="640" t="s">
        <v>778</v>
      </c>
      <c r="C724" s="652">
        <v>155000</v>
      </c>
      <c r="D724" s="652">
        <v>155000</v>
      </c>
      <c r="E724" s="652">
        <v>49708</v>
      </c>
      <c r="F724" s="653"/>
      <c r="G724" s="642">
        <f t="shared" si="117"/>
        <v>32.069677419354839</v>
      </c>
      <c r="H724" s="644">
        <f t="shared" si="114"/>
        <v>32.069677419354839</v>
      </c>
      <c r="I724" s="651">
        <f t="shared" si="119"/>
        <v>100</v>
      </c>
      <c r="J724" s="29">
        <v>49708</v>
      </c>
    </row>
    <row r="725" spans="1:10" s="244" customFormat="1" ht="12.75" customHeight="1" x14ac:dyDescent="0.25">
      <c r="A725" s="683">
        <v>1037</v>
      </c>
      <c r="B725" s="640" t="s">
        <v>1714</v>
      </c>
      <c r="C725" s="652">
        <v>25000</v>
      </c>
      <c r="D725" s="652">
        <v>25000</v>
      </c>
      <c r="E725" s="652">
        <v>11668</v>
      </c>
      <c r="F725" s="653"/>
      <c r="G725" s="642">
        <f t="shared" si="117"/>
        <v>46.672000000000004</v>
      </c>
      <c r="H725" s="644">
        <f t="shared" si="114"/>
        <v>46.672000000000004</v>
      </c>
      <c r="I725" s="651">
        <f t="shared" si="119"/>
        <v>152.52287581699346</v>
      </c>
      <c r="J725" s="29">
        <v>7650</v>
      </c>
    </row>
    <row r="726" spans="1:10" s="98" customFormat="1" x14ac:dyDescent="0.2">
      <c r="A726" s="683">
        <v>1039</v>
      </c>
      <c r="B726" s="640" t="s">
        <v>780</v>
      </c>
      <c r="C726" s="652">
        <v>260000</v>
      </c>
      <c r="D726" s="652">
        <f>260000-50000</f>
        <v>210000</v>
      </c>
      <c r="E726" s="652">
        <v>38601.42</v>
      </c>
      <c r="F726" s="653"/>
      <c r="G726" s="642">
        <f t="shared" si="117"/>
        <v>14.846699999999998</v>
      </c>
      <c r="H726" s="644">
        <f t="shared" si="114"/>
        <v>18.381628571428571</v>
      </c>
      <c r="I726" s="651">
        <v>0</v>
      </c>
      <c r="J726" s="29">
        <v>0</v>
      </c>
    </row>
    <row r="727" spans="1:10" s="98" customFormat="1" x14ac:dyDescent="0.2">
      <c r="A727" s="683">
        <v>2369</v>
      </c>
      <c r="B727" s="640" t="s">
        <v>1715</v>
      </c>
      <c r="C727" s="652">
        <v>370000</v>
      </c>
      <c r="D727" s="652">
        <v>370000</v>
      </c>
      <c r="E727" s="652">
        <v>6146.8</v>
      </c>
      <c r="F727" s="653"/>
      <c r="G727" s="642">
        <f t="shared" si="117"/>
        <v>1.6612972972972972</v>
      </c>
      <c r="H727" s="644">
        <f t="shared" si="114"/>
        <v>1.6612972972972972</v>
      </c>
      <c r="I727" s="651">
        <f t="shared" si="119"/>
        <v>26.330793552065519</v>
      </c>
      <c r="J727" s="29">
        <v>23344.53</v>
      </c>
    </row>
    <row r="728" spans="1:10" s="98" customFormat="1" x14ac:dyDescent="0.2">
      <c r="A728" s="683">
        <v>3721</v>
      </c>
      <c r="B728" s="640" t="s">
        <v>1716</v>
      </c>
      <c r="C728" s="652">
        <v>50000</v>
      </c>
      <c r="D728" s="652">
        <v>50000</v>
      </c>
      <c r="E728" s="652">
        <v>25200</v>
      </c>
      <c r="F728" s="653"/>
      <c r="G728" s="642">
        <f t="shared" si="117"/>
        <v>50.4</v>
      </c>
      <c r="H728" s="644">
        <f t="shared" si="114"/>
        <v>50.4</v>
      </c>
      <c r="I728" s="651">
        <f t="shared" si="119"/>
        <v>100</v>
      </c>
      <c r="J728" s="29">
        <v>25200</v>
      </c>
    </row>
    <row r="729" spans="1:10" s="98" customFormat="1" x14ac:dyDescent="0.2">
      <c r="A729" s="683">
        <v>3722</v>
      </c>
      <c r="B729" s="640" t="s">
        <v>783</v>
      </c>
      <c r="C729" s="649">
        <f>SUM(C730:C732)</f>
        <v>37945000</v>
      </c>
      <c r="D729" s="649">
        <f>SUM(D730:D732)</f>
        <v>41282434</v>
      </c>
      <c r="E729" s="649">
        <v>19614565.27</v>
      </c>
      <c r="F729" s="650">
        <f>SUM(E730:E732)</f>
        <v>19614565.27</v>
      </c>
      <c r="G729" s="642">
        <f t="shared" si="117"/>
        <v>51.69209453155883</v>
      </c>
      <c r="H729" s="644">
        <f t="shared" si="114"/>
        <v>47.513102715794325</v>
      </c>
      <c r="I729" s="651">
        <f t="shared" si="119"/>
        <v>100.19262997654275</v>
      </c>
      <c r="J729" s="29">
        <v>19576854.379999999</v>
      </c>
    </row>
    <row r="730" spans="1:10" s="98" customFormat="1" x14ac:dyDescent="0.2">
      <c r="A730" s="683"/>
      <c r="B730" s="666" t="s">
        <v>1717</v>
      </c>
      <c r="C730" s="653">
        <v>4250000</v>
      </c>
      <c r="D730" s="653">
        <f>4250000+3337434</f>
        <v>7587434</v>
      </c>
      <c r="E730" s="653">
        <v>3337434</v>
      </c>
      <c r="F730" s="653"/>
      <c r="G730" s="643">
        <f t="shared" si="117"/>
        <v>78.527858823529414</v>
      </c>
      <c r="H730" s="659">
        <f t="shared" si="114"/>
        <v>43.98633319248642</v>
      </c>
      <c r="I730" s="664">
        <f t="shared" si="119"/>
        <v>91.090155791128538</v>
      </c>
      <c r="J730" s="29">
        <v>3663880</v>
      </c>
    </row>
    <row r="731" spans="1:10" s="98" customFormat="1" x14ac:dyDescent="0.2">
      <c r="A731" s="683"/>
      <c r="B731" s="869" t="s">
        <v>784</v>
      </c>
      <c r="C731" s="653">
        <v>31150000</v>
      </c>
      <c r="D731" s="653">
        <v>31150000</v>
      </c>
      <c r="E731" s="653">
        <v>15576000</v>
      </c>
      <c r="F731" s="653"/>
      <c r="G731" s="643">
        <f t="shared" si="117"/>
        <v>50.003210272873197</v>
      </c>
      <c r="H731" s="659">
        <f t="shared" si="114"/>
        <v>50.003210272873197</v>
      </c>
      <c r="I731" s="664">
        <f t="shared" si="119"/>
        <v>101.80392156862746</v>
      </c>
      <c r="J731" s="29">
        <v>15300000</v>
      </c>
    </row>
    <row r="732" spans="1:10" s="98" customFormat="1" x14ac:dyDescent="0.2">
      <c r="A732" s="683"/>
      <c r="B732" s="869" t="s">
        <v>785</v>
      </c>
      <c r="C732" s="653">
        <v>2545000</v>
      </c>
      <c r="D732" s="653">
        <v>2545000</v>
      </c>
      <c r="E732" s="653">
        <v>701131.27</v>
      </c>
      <c r="F732" s="653"/>
      <c r="G732" s="643">
        <f t="shared" si="117"/>
        <v>27.549362278978389</v>
      </c>
      <c r="H732" s="659">
        <f t="shared" si="114"/>
        <v>27.549362278978389</v>
      </c>
      <c r="I732" s="664">
        <f t="shared" si="119"/>
        <v>114.38182294013659</v>
      </c>
      <c r="J732" s="29">
        <v>612974.38</v>
      </c>
    </row>
    <row r="733" spans="1:10" s="98" customFormat="1" x14ac:dyDescent="0.2">
      <c r="A733" s="683">
        <v>3725</v>
      </c>
      <c r="B733" s="689" t="s">
        <v>1718</v>
      </c>
      <c r="C733" s="663">
        <v>1650000</v>
      </c>
      <c r="D733" s="663">
        <v>1650000</v>
      </c>
      <c r="E733" s="652">
        <v>1633500</v>
      </c>
      <c r="F733" s="653"/>
      <c r="G733" s="642">
        <f t="shared" si="117"/>
        <v>99</v>
      </c>
      <c r="H733" s="644">
        <f t="shared" si="114"/>
        <v>99</v>
      </c>
      <c r="I733" s="651">
        <v>0</v>
      </c>
      <c r="J733" s="29">
        <v>0</v>
      </c>
    </row>
    <row r="734" spans="1:10" s="98" customFormat="1" x14ac:dyDescent="0.2">
      <c r="A734" s="683">
        <v>3733</v>
      </c>
      <c r="B734" s="640" t="s">
        <v>1719</v>
      </c>
      <c r="C734" s="652">
        <v>65000</v>
      </c>
      <c r="D734" s="652">
        <v>65000</v>
      </c>
      <c r="E734" s="652">
        <v>0</v>
      </c>
      <c r="F734" s="653"/>
      <c r="G734" s="642">
        <f t="shared" si="117"/>
        <v>0</v>
      </c>
      <c r="H734" s="644">
        <f t="shared" si="114"/>
        <v>0</v>
      </c>
      <c r="I734" s="651">
        <v>0</v>
      </c>
      <c r="J734" s="29">
        <v>0</v>
      </c>
    </row>
    <row r="735" spans="1:10" s="98" customFormat="1" x14ac:dyDescent="0.2">
      <c r="A735" s="683">
        <v>3742</v>
      </c>
      <c r="B735" s="648" t="s">
        <v>1720</v>
      </c>
      <c r="C735" s="652">
        <v>100000</v>
      </c>
      <c r="D735" s="652">
        <v>100000</v>
      </c>
      <c r="E735" s="652">
        <v>0</v>
      </c>
      <c r="F735" s="653"/>
      <c r="G735" s="642">
        <f t="shared" si="117"/>
        <v>0</v>
      </c>
      <c r="H735" s="644">
        <f t="shared" si="114"/>
        <v>0</v>
      </c>
      <c r="I735" s="651">
        <v>0</v>
      </c>
      <c r="J735" s="29">
        <v>0</v>
      </c>
    </row>
    <row r="736" spans="1:10" s="98" customFormat="1" x14ac:dyDescent="0.2">
      <c r="A736" s="683">
        <v>3745</v>
      </c>
      <c r="B736" s="640" t="s">
        <v>790</v>
      </c>
      <c r="C736" s="649">
        <f>SUM(C737:C740)</f>
        <v>25144000</v>
      </c>
      <c r="D736" s="649">
        <f>SUM(D737:D740)</f>
        <v>25144000</v>
      </c>
      <c r="E736" s="649">
        <v>10645878.51</v>
      </c>
      <c r="F736" s="650">
        <f>SUM(E737:E740)</f>
        <v>10645878.51</v>
      </c>
      <c r="G736" s="642">
        <f t="shared" si="117"/>
        <v>42.339637726694242</v>
      </c>
      <c r="H736" s="644">
        <f t="shared" si="114"/>
        <v>42.339637726694242</v>
      </c>
      <c r="I736" s="651">
        <f t="shared" si="119"/>
        <v>61.594995595161187</v>
      </c>
      <c r="J736" s="29">
        <v>17283674.440000001</v>
      </c>
    </row>
    <row r="737" spans="1:11" s="98" customFormat="1" x14ac:dyDescent="0.2">
      <c r="A737" s="683"/>
      <c r="B737" s="869" t="s">
        <v>1721</v>
      </c>
      <c r="C737" s="653">
        <v>260000</v>
      </c>
      <c r="D737" s="653">
        <v>260000</v>
      </c>
      <c r="E737" s="653">
        <v>0</v>
      </c>
      <c r="F737" s="653"/>
      <c r="G737" s="643">
        <f t="shared" si="117"/>
        <v>0</v>
      </c>
      <c r="H737" s="659">
        <f t="shared" si="114"/>
        <v>0</v>
      </c>
      <c r="I737" s="664">
        <v>0</v>
      </c>
      <c r="J737" s="29">
        <v>0</v>
      </c>
    </row>
    <row r="738" spans="1:11" s="98" customFormat="1" x14ac:dyDescent="0.2">
      <c r="A738" s="684"/>
      <c r="B738" s="869" t="s">
        <v>792</v>
      </c>
      <c r="C738" s="653">
        <v>19300000</v>
      </c>
      <c r="D738" s="653">
        <v>19300000</v>
      </c>
      <c r="E738" s="653">
        <v>9649998</v>
      </c>
      <c r="F738" s="653"/>
      <c r="G738" s="643">
        <f t="shared" si="117"/>
        <v>49.999989637305696</v>
      </c>
      <c r="H738" s="659">
        <f t="shared" si="114"/>
        <v>49.999989637305696</v>
      </c>
      <c r="I738" s="664">
        <f t="shared" si="119"/>
        <v>99.228791615175652</v>
      </c>
      <c r="J738" s="29">
        <v>9724998</v>
      </c>
    </row>
    <row r="739" spans="1:11" s="98" customFormat="1" x14ac:dyDescent="0.2">
      <c r="A739" s="684"/>
      <c r="B739" s="869" t="s">
        <v>793</v>
      </c>
      <c r="C739" s="653">
        <v>2834000</v>
      </c>
      <c r="D739" s="653">
        <v>2834000</v>
      </c>
      <c r="E739" s="653">
        <v>995880.51</v>
      </c>
      <c r="F739" s="653"/>
      <c r="G739" s="643">
        <f t="shared" si="117"/>
        <v>35.140455539872974</v>
      </c>
      <c r="H739" s="659">
        <f t="shared" si="114"/>
        <v>35.140455539872974</v>
      </c>
      <c r="I739" s="664">
        <f t="shared" si="119"/>
        <v>191.28579259827239</v>
      </c>
      <c r="J739" s="29">
        <v>520624.4</v>
      </c>
    </row>
    <row r="740" spans="1:11" s="98" customFormat="1" ht="24.75" x14ac:dyDescent="0.2">
      <c r="A740" s="683"/>
      <c r="B740" s="666" t="s">
        <v>1722</v>
      </c>
      <c r="C740" s="653">
        <v>2750000</v>
      </c>
      <c r="D740" s="653">
        <v>2750000</v>
      </c>
      <c r="E740" s="653">
        <v>0</v>
      </c>
      <c r="F740" s="653"/>
      <c r="G740" s="643">
        <f t="shared" si="117"/>
        <v>0</v>
      </c>
      <c r="H740" s="659">
        <f t="shared" si="114"/>
        <v>0</v>
      </c>
      <c r="I740" s="664">
        <f t="shared" si="119"/>
        <v>0</v>
      </c>
      <c r="J740" s="654">
        <v>7038052.04</v>
      </c>
    </row>
    <row r="741" spans="1:11" x14ac:dyDescent="0.2">
      <c r="A741" s="683">
        <v>3792</v>
      </c>
      <c r="B741" s="640" t="s">
        <v>795</v>
      </c>
      <c r="C741" s="652">
        <v>215000</v>
      </c>
      <c r="D741" s="652">
        <v>215000</v>
      </c>
      <c r="E741" s="652">
        <v>17119</v>
      </c>
      <c r="F741" s="653"/>
      <c r="G741" s="642">
        <f t="shared" si="117"/>
        <v>7.9623255813953495</v>
      </c>
      <c r="H741" s="644">
        <f t="shared" si="114"/>
        <v>7.9623255813953495</v>
      </c>
      <c r="I741" s="651">
        <f t="shared" si="119"/>
        <v>212.5527688105289</v>
      </c>
      <c r="J741" s="29">
        <v>8054</v>
      </c>
    </row>
    <row r="742" spans="1:11" ht="15.75" x14ac:dyDescent="0.25">
      <c r="A742" s="1110"/>
      <c r="B742" s="1111" t="s">
        <v>1723</v>
      </c>
      <c r="C742" s="1112">
        <f>SUM(C743:C743)</f>
        <v>100000</v>
      </c>
      <c r="D742" s="1112">
        <f>SUM(D743:D743)</f>
        <v>100000</v>
      </c>
      <c r="E742" s="1112">
        <v>0</v>
      </c>
      <c r="F742" s="1113"/>
      <c r="G742" s="788">
        <f t="shared" si="117"/>
        <v>0</v>
      </c>
      <c r="H742" s="788">
        <f t="shared" si="114"/>
        <v>0</v>
      </c>
      <c r="I742" s="826">
        <v>0</v>
      </c>
      <c r="J742" s="29">
        <v>0</v>
      </c>
    </row>
    <row r="743" spans="1:11" x14ac:dyDescent="0.2">
      <c r="A743" s="1114" t="s">
        <v>1724</v>
      </c>
      <c r="B743" s="1115" t="s">
        <v>1725</v>
      </c>
      <c r="C743" s="679">
        <v>100000</v>
      </c>
      <c r="D743" s="679">
        <v>100000</v>
      </c>
      <c r="E743" s="679">
        <v>0</v>
      </c>
      <c r="F743" s="860"/>
      <c r="G743" s="642">
        <f t="shared" si="117"/>
        <v>0</v>
      </c>
      <c r="H743" s="644">
        <f t="shared" si="114"/>
        <v>0</v>
      </c>
      <c r="I743" s="651">
        <v>0</v>
      </c>
      <c r="J743" s="29">
        <v>0</v>
      </c>
    </row>
    <row r="744" spans="1:11" x14ac:dyDescent="0.2">
      <c r="A744" s="1116"/>
      <c r="B744" s="1117"/>
      <c r="C744" s="902"/>
      <c r="D744" s="902"/>
      <c r="E744" s="902"/>
      <c r="F744" s="902"/>
      <c r="G744" s="902"/>
      <c r="H744" s="902"/>
      <c r="I744" s="1118"/>
      <c r="J744" s="29"/>
    </row>
    <row r="745" spans="1:11" ht="20.25" x14ac:dyDescent="0.3">
      <c r="A745" s="1119"/>
      <c r="B745" s="1010" t="s">
        <v>797</v>
      </c>
      <c r="C745" s="995">
        <f>SUM(C746,C747,C765,C794,C836,C843,C844,C847)</f>
        <v>136758000</v>
      </c>
      <c r="D745" s="995">
        <f>SUM(D746,D747,D765,D794,D836,D843,D844,D847)</f>
        <v>136758000</v>
      </c>
      <c r="E745" s="995">
        <v>54879283.859999999</v>
      </c>
      <c r="F745" s="892">
        <f>SUM(E746:E747,E765,E794,E836,E843:E844,E847)</f>
        <v>54879283.860000007</v>
      </c>
      <c r="G745" s="810">
        <f t="shared" si="117"/>
        <v>40.128755802219978</v>
      </c>
      <c r="H745" s="810">
        <f t="shared" si="114"/>
        <v>40.128755802219978</v>
      </c>
      <c r="I745" s="997">
        <f t="shared" si="119"/>
        <v>100.65212094639044</v>
      </c>
      <c r="J745" s="88">
        <v>54523723.240000002</v>
      </c>
    </row>
    <row r="746" spans="1:11" ht="12.75" customHeight="1" x14ac:dyDescent="0.2">
      <c r="A746" s="1120">
        <v>3122</v>
      </c>
      <c r="B746" s="1121" t="s">
        <v>1726</v>
      </c>
      <c r="C746" s="652">
        <v>403000</v>
      </c>
      <c r="D746" s="652">
        <v>403000</v>
      </c>
      <c r="E746" s="652">
        <v>345109.16</v>
      </c>
      <c r="F746" s="653"/>
      <c r="G746" s="642">
        <f t="shared" si="117"/>
        <v>85.635027295285354</v>
      </c>
      <c r="H746" s="644">
        <f t="shared" si="114"/>
        <v>85.635027295285354</v>
      </c>
      <c r="I746" s="651">
        <f t="shared" si="119"/>
        <v>110.23338224763253</v>
      </c>
      <c r="J746" s="88">
        <v>313071.37</v>
      </c>
    </row>
    <row r="747" spans="1:11" ht="12.75" customHeight="1" x14ac:dyDescent="0.2">
      <c r="A747" s="639">
        <v>3412</v>
      </c>
      <c r="B747" s="640" t="s">
        <v>1265</v>
      </c>
      <c r="C747" s="649">
        <f>C748+C757</f>
        <v>50505000</v>
      </c>
      <c r="D747" s="649">
        <f>D748+D757</f>
        <v>50505000</v>
      </c>
      <c r="E747" s="649">
        <v>26169129.899999999</v>
      </c>
      <c r="F747" s="650">
        <f>SUM(E748,E757)</f>
        <v>26169129.899999999</v>
      </c>
      <c r="G747" s="642">
        <f t="shared" si="117"/>
        <v>51.814929016929014</v>
      </c>
      <c r="H747" s="644">
        <f t="shared" si="114"/>
        <v>51.814929016929014</v>
      </c>
      <c r="I747" s="651">
        <f t="shared" si="119"/>
        <v>106.19690384323737</v>
      </c>
      <c r="J747" s="88">
        <v>24642083.670000002</v>
      </c>
    </row>
    <row r="748" spans="1:11" ht="12.75" customHeight="1" x14ac:dyDescent="0.2">
      <c r="A748" s="639"/>
      <c r="B748" s="1122" t="s">
        <v>1727</v>
      </c>
      <c r="C748" s="1123">
        <f>C749+C752+C754</f>
        <v>35690000</v>
      </c>
      <c r="D748" s="1123">
        <f>D749+D752+D754</f>
        <v>35690000</v>
      </c>
      <c r="E748" s="1123">
        <v>18300000</v>
      </c>
      <c r="F748" s="1124">
        <f>SUM(E749,E752,E754)</f>
        <v>18300000</v>
      </c>
      <c r="G748" s="1125">
        <f t="shared" si="117"/>
        <v>51.274866909498463</v>
      </c>
      <c r="H748" s="1126">
        <f t="shared" si="114"/>
        <v>51.274866909498463</v>
      </c>
      <c r="I748" s="1127">
        <f t="shared" si="119"/>
        <v>104.65615520450629</v>
      </c>
      <c r="J748" s="88">
        <v>17485832.5</v>
      </c>
      <c r="K748" s="2"/>
    </row>
    <row r="749" spans="1:11" ht="12.75" customHeight="1" x14ac:dyDescent="0.2">
      <c r="A749" s="639"/>
      <c r="B749" s="1128" t="s">
        <v>801</v>
      </c>
      <c r="C749" s="1124">
        <f>SUM(C750:C751)</f>
        <v>790000</v>
      </c>
      <c r="D749" s="1124">
        <f>SUM(D750:D751)</f>
        <v>878036</v>
      </c>
      <c r="E749" s="1124">
        <v>88036</v>
      </c>
      <c r="F749" s="650">
        <f>SUM(E750:E751)</f>
        <v>88036</v>
      </c>
      <c r="G749" s="1129">
        <f t="shared" si="117"/>
        <v>11.14379746835443</v>
      </c>
      <c r="H749" s="1130">
        <f t="shared" ref="H749:H812" si="122">E749/D749*100</f>
        <v>10.026468163036595</v>
      </c>
      <c r="I749" s="1131">
        <f t="shared" si="119"/>
        <v>12.75982530535871</v>
      </c>
      <c r="J749" s="88">
        <v>689946.75</v>
      </c>
    </row>
    <row r="750" spans="1:11" ht="12.75" customHeight="1" x14ac:dyDescent="0.2">
      <c r="A750" s="639"/>
      <c r="B750" s="1132" t="s">
        <v>1728</v>
      </c>
      <c r="C750" s="715">
        <v>790000</v>
      </c>
      <c r="D750" s="715">
        <v>790000</v>
      </c>
      <c r="E750" s="650">
        <v>0</v>
      </c>
      <c r="F750" s="650"/>
      <c r="G750" s="643">
        <f t="shared" si="117"/>
        <v>0</v>
      </c>
      <c r="H750" s="659">
        <f t="shared" si="122"/>
        <v>0</v>
      </c>
      <c r="I750" s="664">
        <v>0</v>
      </c>
      <c r="J750" s="88">
        <v>0</v>
      </c>
    </row>
    <row r="751" spans="1:11" x14ac:dyDescent="0.2">
      <c r="A751" s="639"/>
      <c r="B751" s="1132" t="s">
        <v>1729</v>
      </c>
      <c r="C751" s="715">
        <v>0</v>
      </c>
      <c r="D751" s="715">
        <v>88036</v>
      </c>
      <c r="E751" s="1133">
        <v>88036</v>
      </c>
      <c r="F751" s="1133"/>
      <c r="G751" s="643">
        <v>0</v>
      </c>
      <c r="H751" s="659">
        <f t="shared" si="122"/>
        <v>100</v>
      </c>
      <c r="I751" s="664">
        <v>0</v>
      </c>
      <c r="J751" s="88">
        <v>0</v>
      </c>
    </row>
    <row r="752" spans="1:11" s="1134" customFormat="1" ht="12.75" customHeight="1" x14ac:dyDescent="0.2">
      <c r="A752" s="639"/>
      <c r="B752" s="1135" t="s">
        <v>823</v>
      </c>
      <c r="C752" s="1136">
        <f>SUM(C753:C753)</f>
        <v>150000</v>
      </c>
      <c r="D752" s="1136">
        <f>SUM(D753:D753)</f>
        <v>150000</v>
      </c>
      <c r="E752" s="1124">
        <v>0</v>
      </c>
      <c r="F752" s="650"/>
      <c r="G752" s="1129">
        <f t="shared" si="117"/>
        <v>0</v>
      </c>
      <c r="H752" s="1130">
        <f t="shared" si="122"/>
        <v>0</v>
      </c>
      <c r="I752" s="1131">
        <v>0</v>
      </c>
      <c r="J752" s="1137">
        <v>0</v>
      </c>
    </row>
    <row r="753" spans="1:10" ht="12.75" customHeight="1" x14ac:dyDescent="0.2">
      <c r="A753" s="639"/>
      <c r="B753" s="696" t="s">
        <v>1730</v>
      </c>
      <c r="C753" s="715">
        <v>150000</v>
      </c>
      <c r="D753" s="715">
        <v>150000</v>
      </c>
      <c r="E753" s="837">
        <v>0</v>
      </c>
      <c r="F753" s="837"/>
      <c r="G753" s="643">
        <f t="shared" si="117"/>
        <v>0</v>
      </c>
      <c r="H753" s="659">
        <f t="shared" si="122"/>
        <v>0</v>
      </c>
      <c r="I753" s="664">
        <v>0</v>
      </c>
      <c r="J753" s="88">
        <v>0</v>
      </c>
    </row>
    <row r="754" spans="1:10" ht="12.75" customHeight="1" x14ac:dyDescent="0.2">
      <c r="A754" s="639"/>
      <c r="B754" s="1138" t="s">
        <v>813</v>
      </c>
      <c r="C754" s="1139">
        <f>SUM(C755:C756)</f>
        <v>34750000</v>
      </c>
      <c r="D754" s="1139">
        <f>SUM(D755:D756)</f>
        <v>34661964</v>
      </c>
      <c r="E754" s="1124">
        <v>18211964</v>
      </c>
      <c r="F754" s="650">
        <f>SUM(E755:E756)</f>
        <v>18211964</v>
      </c>
      <c r="G754" s="1129">
        <f t="shared" si="117"/>
        <v>52.408529496402878</v>
      </c>
      <c r="H754" s="1130">
        <f t="shared" si="122"/>
        <v>52.541639013876996</v>
      </c>
      <c r="I754" s="1131">
        <f t="shared" si="119"/>
        <v>108.43325177255628</v>
      </c>
      <c r="J754" s="88">
        <v>16795552.75</v>
      </c>
    </row>
    <row r="755" spans="1:10" ht="12.75" customHeight="1" x14ac:dyDescent="0.2">
      <c r="A755" s="639"/>
      <c r="B755" s="696" t="s">
        <v>1731</v>
      </c>
      <c r="C755" s="715">
        <v>34500000</v>
      </c>
      <c r="D755" s="715">
        <f>34500000-25482.15-7793-88036</f>
        <v>34378688.850000001</v>
      </c>
      <c r="E755" s="650">
        <v>18178688.850000001</v>
      </c>
      <c r="F755" s="650"/>
      <c r="G755" s="643">
        <f t="shared" si="117"/>
        <v>52.691851739130435</v>
      </c>
      <c r="H755" s="659">
        <f t="shared" si="122"/>
        <v>52.877784051965094</v>
      </c>
      <c r="I755" s="664">
        <f t="shared" si="119"/>
        <v>109.86369205837607</v>
      </c>
      <c r="J755" s="88">
        <v>16546584.689999999</v>
      </c>
    </row>
    <row r="756" spans="1:10" s="98" customFormat="1" ht="12.75" customHeight="1" x14ac:dyDescent="0.2">
      <c r="A756" s="639"/>
      <c r="B756" s="843" t="s">
        <v>1732</v>
      </c>
      <c r="C756" s="715">
        <v>250000</v>
      </c>
      <c r="D756" s="715">
        <f>250000+25482.15+7793</f>
        <v>283275.15000000002</v>
      </c>
      <c r="E756" s="650">
        <v>33275.15</v>
      </c>
      <c r="F756" s="650"/>
      <c r="G756" s="643">
        <f t="shared" si="117"/>
        <v>13.310060000000002</v>
      </c>
      <c r="H756" s="659">
        <f t="shared" si="122"/>
        <v>11.74658278355867</v>
      </c>
      <c r="I756" s="664">
        <f t="shared" si="119"/>
        <v>13.347376060093769</v>
      </c>
      <c r="J756" s="88">
        <v>249301.06</v>
      </c>
    </row>
    <row r="757" spans="1:10" ht="12.75" customHeight="1" x14ac:dyDescent="0.2">
      <c r="A757" s="639"/>
      <c r="B757" s="1140" t="s">
        <v>1733</v>
      </c>
      <c r="C757" s="1141">
        <f>C758+C762</f>
        <v>14815000</v>
      </c>
      <c r="D757" s="1141">
        <f>D758+D762</f>
        <v>14815000</v>
      </c>
      <c r="E757" s="1123">
        <v>7869129.9000000004</v>
      </c>
      <c r="F757" s="1124">
        <f>SUM(E758,E762)</f>
        <v>7869129.9000000004</v>
      </c>
      <c r="G757" s="1125">
        <f t="shared" si="117"/>
        <v>53.115962875464064</v>
      </c>
      <c r="H757" s="1126">
        <f t="shared" si="122"/>
        <v>53.115962875464064</v>
      </c>
      <c r="I757" s="1127">
        <f t="shared" si="119"/>
        <v>109.96162254601245</v>
      </c>
      <c r="J757" s="88">
        <v>7156251.1699999999</v>
      </c>
    </row>
    <row r="758" spans="1:10" ht="12.75" customHeight="1" x14ac:dyDescent="0.2">
      <c r="A758" s="665"/>
      <c r="B758" s="1142" t="s">
        <v>813</v>
      </c>
      <c r="C758" s="1143">
        <f t="shared" ref="C758:D758" si="123">SUM(C759:C761)</f>
        <v>14050000</v>
      </c>
      <c r="D758" s="1143">
        <f t="shared" si="123"/>
        <v>14050000</v>
      </c>
      <c r="E758" s="1124">
        <v>7869129.9000000004</v>
      </c>
      <c r="F758" s="650"/>
      <c r="G758" s="1129">
        <f t="shared" si="117"/>
        <v>56.008041992882561</v>
      </c>
      <c r="H758" s="1130">
        <f t="shared" si="122"/>
        <v>56.008041992882561</v>
      </c>
      <c r="I758" s="1131">
        <f t="shared" si="119"/>
        <v>109.96162254601245</v>
      </c>
      <c r="J758" s="88">
        <v>7156251.1699999999</v>
      </c>
    </row>
    <row r="759" spans="1:10" ht="12.75" customHeight="1" x14ac:dyDescent="0.2">
      <c r="A759" s="665"/>
      <c r="B759" s="696" t="s">
        <v>1734</v>
      </c>
      <c r="C759" s="715">
        <v>14000000</v>
      </c>
      <c r="D759" s="715">
        <f>14000000-7633-2800</f>
        <v>13989567</v>
      </c>
      <c r="E759" s="650">
        <v>7858696.9000000004</v>
      </c>
      <c r="F759" s="650"/>
      <c r="G759" s="643">
        <f t="shared" si="117"/>
        <v>56.133549285714288</v>
      </c>
      <c r="H759" s="659">
        <f t="shared" si="122"/>
        <v>56.175412005246486</v>
      </c>
      <c r="I759" s="664">
        <f t="shared" si="119"/>
        <v>109.94642528945226</v>
      </c>
      <c r="J759" s="88">
        <v>7147751.1699999999</v>
      </c>
    </row>
    <row r="760" spans="1:10" s="98" customFormat="1" ht="12.75" customHeight="1" x14ac:dyDescent="0.2">
      <c r="A760" s="639"/>
      <c r="B760" s="843" t="s">
        <v>1735</v>
      </c>
      <c r="C760" s="715">
        <v>0</v>
      </c>
      <c r="D760" s="715">
        <f>7633+2800</f>
        <v>10433</v>
      </c>
      <c r="E760" s="650">
        <v>10433</v>
      </c>
      <c r="F760" s="650"/>
      <c r="G760" s="643">
        <v>0</v>
      </c>
      <c r="H760" s="659">
        <f t="shared" si="122"/>
        <v>100</v>
      </c>
      <c r="I760" s="664">
        <v>0</v>
      </c>
      <c r="J760" s="88">
        <v>0</v>
      </c>
    </row>
    <row r="761" spans="1:10" ht="12.75" customHeight="1" x14ac:dyDescent="0.2">
      <c r="A761" s="665"/>
      <c r="B761" s="1144" t="s">
        <v>1736</v>
      </c>
      <c r="C761" s="715">
        <v>50000</v>
      </c>
      <c r="D761" s="715">
        <v>50000</v>
      </c>
      <c r="E761" s="650">
        <v>0</v>
      </c>
      <c r="F761" s="650"/>
      <c r="G761" s="643">
        <f t="shared" ref="G761:G823" si="124">E761/C761*100</f>
        <v>0</v>
      </c>
      <c r="H761" s="659">
        <f t="shared" si="122"/>
        <v>0</v>
      </c>
      <c r="I761" s="664">
        <f t="shared" si="119"/>
        <v>0</v>
      </c>
      <c r="J761" s="88">
        <v>8500</v>
      </c>
    </row>
    <row r="762" spans="1:10" ht="12.75" customHeight="1" x14ac:dyDescent="0.2">
      <c r="A762" s="665"/>
      <c r="B762" s="1142" t="s">
        <v>823</v>
      </c>
      <c r="C762" s="1139">
        <f>SUM(C763:C764)</f>
        <v>765000</v>
      </c>
      <c r="D762" s="1139">
        <f>SUM(D763:D764)</f>
        <v>765000</v>
      </c>
      <c r="E762" s="1124">
        <v>0</v>
      </c>
      <c r="F762" s="1124">
        <f>SUM(E763:E764)</f>
        <v>0</v>
      </c>
      <c r="G762" s="1129">
        <f t="shared" si="124"/>
        <v>0</v>
      </c>
      <c r="H762" s="1130">
        <f t="shared" si="122"/>
        <v>0</v>
      </c>
      <c r="I762" s="1131">
        <v>0</v>
      </c>
      <c r="J762" s="88">
        <v>0</v>
      </c>
    </row>
    <row r="763" spans="1:10" ht="12.75" customHeight="1" x14ac:dyDescent="0.2">
      <c r="A763" s="665"/>
      <c r="B763" s="702" t="s">
        <v>824</v>
      </c>
      <c r="C763" s="715">
        <v>150000</v>
      </c>
      <c r="D763" s="715">
        <v>150000</v>
      </c>
      <c r="E763" s="650">
        <v>0</v>
      </c>
      <c r="F763" s="650"/>
      <c r="G763" s="643">
        <f t="shared" si="124"/>
        <v>0</v>
      </c>
      <c r="H763" s="659">
        <f t="shared" si="122"/>
        <v>0</v>
      </c>
      <c r="I763" s="664">
        <v>0</v>
      </c>
      <c r="J763" s="88">
        <v>0</v>
      </c>
    </row>
    <row r="764" spans="1:10" ht="25.5" x14ac:dyDescent="0.2">
      <c r="A764" s="665"/>
      <c r="B764" s="696" t="s">
        <v>1737</v>
      </c>
      <c r="C764" s="715">
        <v>615000</v>
      </c>
      <c r="D764" s="715">
        <v>615000</v>
      </c>
      <c r="E764" s="650">
        <v>0</v>
      </c>
      <c r="F764" s="650"/>
      <c r="G764" s="643">
        <f t="shared" si="124"/>
        <v>0</v>
      </c>
      <c r="H764" s="659">
        <f t="shared" si="122"/>
        <v>0</v>
      </c>
      <c r="I764" s="664">
        <v>0</v>
      </c>
      <c r="J764" s="32">
        <v>0</v>
      </c>
    </row>
    <row r="765" spans="1:10" ht="12.75" customHeight="1" x14ac:dyDescent="0.2">
      <c r="A765" s="639">
        <v>3612</v>
      </c>
      <c r="B765" s="690" t="s">
        <v>827</v>
      </c>
      <c r="C765" s="694">
        <f>C766+C768</f>
        <v>55570000</v>
      </c>
      <c r="D765" s="694">
        <f>D766+D768</f>
        <v>55570000</v>
      </c>
      <c r="E765" s="649">
        <v>20162330.890000001</v>
      </c>
      <c r="F765" s="650">
        <f>SUM(E766,E768)</f>
        <v>20162330.890000001</v>
      </c>
      <c r="G765" s="642">
        <f t="shared" si="124"/>
        <v>36.282762083858202</v>
      </c>
      <c r="H765" s="644">
        <f t="shared" si="122"/>
        <v>36.282762083858202</v>
      </c>
      <c r="I765" s="651">
        <f t="shared" si="119"/>
        <v>86.568269158701355</v>
      </c>
      <c r="J765" s="88">
        <v>23290671.149999999</v>
      </c>
    </row>
    <row r="766" spans="1:10" ht="12.75" customHeight="1" x14ac:dyDescent="0.2">
      <c r="A766" s="665"/>
      <c r="B766" s="1142" t="s">
        <v>801</v>
      </c>
      <c r="C766" s="1139">
        <f>SUM(C767)</f>
        <v>300000</v>
      </c>
      <c r="D766" s="1139">
        <f>SUM(D767)</f>
        <v>300000</v>
      </c>
      <c r="E766" s="1124">
        <v>0</v>
      </c>
      <c r="F766" s="650"/>
      <c r="G766" s="643">
        <f t="shared" si="124"/>
        <v>0</v>
      </c>
      <c r="H766" s="659">
        <f t="shared" si="122"/>
        <v>0</v>
      </c>
      <c r="I766" s="664">
        <f t="shared" si="119"/>
        <v>0</v>
      </c>
      <c r="J766" s="88">
        <v>192390</v>
      </c>
    </row>
    <row r="767" spans="1:10" ht="12.75" customHeight="1" x14ac:dyDescent="0.2">
      <c r="A767" s="665"/>
      <c r="B767" s="702" t="s">
        <v>1738</v>
      </c>
      <c r="C767" s="715">
        <v>300000</v>
      </c>
      <c r="D767" s="715">
        <v>300000</v>
      </c>
      <c r="E767" s="1145">
        <v>0</v>
      </c>
      <c r="F767" s="1145"/>
      <c r="G767" s="643">
        <f t="shared" si="124"/>
        <v>0</v>
      </c>
      <c r="H767" s="659">
        <f t="shared" si="122"/>
        <v>0</v>
      </c>
      <c r="I767" s="664">
        <f t="shared" si="119"/>
        <v>0</v>
      </c>
      <c r="J767" s="88">
        <v>192390</v>
      </c>
    </row>
    <row r="768" spans="1:10" ht="12.75" customHeight="1" x14ac:dyDescent="0.2">
      <c r="A768" s="639"/>
      <c r="B768" s="1146" t="s">
        <v>838</v>
      </c>
      <c r="C768" s="1147">
        <f>C769+C774+C780+C784+C785+C786+C787+C788+C793</f>
        <v>55270000</v>
      </c>
      <c r="D768" s="1147">
        <f>D769+D774+D780+D784+D785+D786+D787+D788+D793</f>
        <v>55270000</v>
      </c>
      <c r="E768" s="1148">
        <v>20162330.890000001</v>
      </c>
      <c r="F768" s="1148">
        <f>SUM(E769,E774,E780,E784:E788,E793)</f>
        <v>20162330.890000001</v>
      </c>
      <c r="G768" s="1129">
        <f t="shared" si="124"/>
        <v>36.479701266509863</v>
      </c>
      <c r="H768" s="1130">
        <f t="shared" si="122"/>
        <v>36.479701266509863</v>
      </c>
      <c r="I768" s="1131">
        <f t="shared" si="119"/>
        <v>87.289312824041033</v>
      </c>
      <c r="J768" s="88">
        <v>23098281.149999999</v>
      </c>
    </row>
    <row r="769" spans="1:10" ht="12.75" customHeight="1" x14ac:dyDescent="0.2">
      <c r="A769" s="1149"/>
      <c r="B769" s="1150" t="s">
        <v>839</v>
      </c>
      <c r="C769" s="1151">
        <f>SUM(C770:C773)</f>
        <v>10050000</v>
      </c>
      <c r="D769" s="1151">
        <f>SUM(D770:D773)</f>
        <v>10050000</v>
      </c>
      <c r="E769" s="1152">
        <v>1121338.8899999999</v>
      </c>
      <c r="F769" s="1145">
        <f>SUM(E770:E773)</f>
        <v>1121338.8900000001</v>
      </c>
      <c r="G769" s="1125">
        <f t="shared" si="124"/>
        <v>11.157600895522387</v>
      </c>
      <c r="H769" s="1126">
        <f t="shared" si="122"/>
        <v>11.157600895522387</v>
      </c>
      <c r="I769" s="1127">
        <f t="shared" si="119"/>
        <v>33.583364033157856</v>
      </c>
      <c r="J769" s="88">
        <v>3338971.31</v>
      </c>
    </row>
    <row r="770" spans="1:10" ht="12.75" customHeight="1" x14ac:dyDescent="0.2">
      <c r="A770" s="639"/>
      <c r="B770" s="696" t="s">
        <v>1739</v>
      </c>
      <c r="C770" s="1153">
        <v>5750000</v>
      </c>
      <c r="D770" s="1153">
        <v>5750000</v>
      </c>
      <c r="E770" s="762">
        <v>980801.29</v>
      </c>
      <c r="F770" s="762"/>
      <c r="G770" s="643">
        <f t="shared" si="124"/>
        <v>17.057413739130435</v>
      </c>
      <c r="H770" s="659">
        <f t="shared" si="122"/>
        <v>17.057413739130435</v>
      </c>
      <c r="I770" s="664">
        <f t="shared" si="119"/>
        <v>37.686725365278043</v>
      </c>
      <c r="J770" s="88">
        <v>2602511.31</v>
      </c>
    </row>
    <row r="771" spans="1:10" ht="12.75" customHeight="1" x14ac:dyDescent="0.2">
      <c r="A771" s="639"/>
      <c r="B771" s="696" t="s">
        <v>1740</v>
      </c>
      <c r="C771" s="761">
        <v>500000</v>
      </c>
      <c r="D771" s="761">
        <v>500000</v>
      </c>
      <c r="E771" s="762">
        <v>0</v>
      </c>
      <c r="F771" s="762"/>
      <c r="G771" s="643">
        <f t="shared" si="124"/>
        <v>0</v>
      </c>
      <c r="H771" s="659">
        <f t="shared" si="122"/>
        <v>0</v>
      </c>
      <c r="I771" s="664">
        <v>0</v>
      </c>
      <c r="J771" s="88">
        <v>0</v>
      </c>
    </row>
    <row r="772" spans="1:10" ht="12.75" customHeight="1" x14ac:dyDescent="0.2">
      <c r="A772" s="639"/>
      <c r="B772" s="696" t="s">
        <v>1741</v>
      </c>
      <c r="C772" s="761">
        <v>1800000</v>
      </c>
      <c r="D772" s="761">
        <v>1800000</v>
      </c>
      <c r="E772" s="762">
        <v>140537.60000000001</v>
      </c>
      <c r="F772" s="762"/>
      <c r="G772" s="643">
        <f t="shared" si="124"/>
        <v>7.8076444444444446</v>
      </c>
      <c r="H772" s="659">
        <f t="shared" si="122"/>
        <v>7.8076444444444446</v>
      </c>
      <c r="I772" s="664">
        <f t="shared" si="119"/>
        <v>19.082855823805776</v>
      </c>
      <c r="J772" s="88">
        <v>736460</v>
      </c>
    </row>
    <row r="773" spans="1:10" ht="12.75" customHeight="1" x14ac:dyDescent="0.2">
      <c r="A773" s="639"/>
      <c r="B773" s="696" t="s">
        <v>1742</v>
      </c>
      <c r="C773" s="761">
        <v>2000000</v>
      </c>
      <c r="D773" s="761">
        <v>2000000</v>
      </c>
      <c r="E773" s="650">
        <v>0</v>
      </c>
      <c r="F773" s="650"/>
      <c r="G773" s="643">
        <f t="shared" si="124"/>
        <v>0</v>
      </c>
      <c r="H773" s="659">
        <f t="shared" si="122"/>
        <v>0</v>
      </c>
      <c r="I773" s="664">
        <f>E773/J706*100</f>
        <v>0</v>
      </c>
      <c r="J773" s="88">
        <v>0</v>
      </c>
    </row>
    <row r="774" spans="1:10" ht="12.75" customHeight="1" x14ac:dyDescent="0.2">
      <c r="A774" s="639"/>
      <c r="B774" s="1154" t="s">
        <v>1743</v>
      </c>
      <c r="C774" s="1141">
        <f>C775+C776</f>
        <v>4250000</v>
      </c>
      <c r="D774" s="1141">
        <f>D775+D776</f>
        <v>4250000</v>
      </c>
      <c r="E774" s="1123">
        <v>1130964.8600000001</v>
      </c>
      <c r="F774" s="650">
        <f>SUM(E775:E779)</f>
        <v>1130964.8600000001</v>
      </c>
      <c r="G774" s="1125">
        <f t="shared" si="124"/>
        <v>26.610937882352943</v>
      </c>
      <c r="H774" s="1126">
        <f t="shared" si="122"/>
        <v>26.610937882352943</v>
      </c>
      <c r="I774" s="1127">
        <f t="shared" si="119"/>
        <v>151.75011424549015</v>
      </c>
      <c r="J774" s="88">
        <v>745281.06</v>
      </c>
    </row>
    <row r="775" spans="1:10" ht="12.75" customHeight="1" x14ac:dyDescent="0.2">
      <c r="A775" s="665"/>
      <c r="B775" s="696" t="s">
        <v>1744</v>
      </c>
      <c r="C775" s="715">
        <v>3000000</v>
      </c>
      <c r="D775" s="715">
        <v>3000000</v>
      </c>
      <c r="E775" s="650">
        <v>1130964.8600000001</v>
      </c>
      <c r="F775" s="650"/>
      <c r="G775" s="643">
        <f t="shared" si="124"/>
        <v>37.698828666666671</v>
      </c>
      <c r="H775" s="659">
        <f t="shared" si="122"/>
        <v>37.698828666666671</v>
      </c>
      <c r="I775" s="664">
        <f t="shared" si="119"/>
        <v>151.75011424549015</v>
      </c>
      <c r="J775" s="88">
        <v>745281.06</v>
      </c>
    </row>
    <row r="776" spans="1:10" ht="12.75" customHeight="1" x14ac:dyDescent="0.2">
      <c r="A776" s="665"/>
      <c r="B776" s="1155" t="s">
        <v>845</v>
      </c>
      <c r="C776" s="715">
        <f>SUM(C777:C779)</f>
        <v>1250000</v>
      </c>
      <c r="D776" s="715">
        <f>SUM(D777:D779)</f>
        <v>1250000</v>
      </c>
      <c r="E776" s="650">
        <v>0</v>
      </c>
      <c r="F776" s="650"/>
      <c r="G776" s="643">
        <f t="shared" si="124"/>
        <v>0</v>
      </c>
      <c r="H776" s="659">
        <f t="shared" si="122"/>
        <v>0</v>
      </c>
      <c r="I776" s="664">
        <v>0</v>
      </c>
      <c r="J776" s="88">
        <v>0</v>
      </c>
    </row>
    <row r="777" spans="1:10" ht="12.75" customHeight="1" x14ac:dyDescent="0.2">
      <c r="A777" s="665"/>
      <c r="B777" s="702" t="s">
        <v>1745</v>
      </c>
      <c r="C777" s="715">
        <v>350000</v>
      </c>
      <c r="D777" s="715">
        <v>350000</v>
      </c>
      <c r="E777" s="650">
        <v>0</v>
      </c>
      <c r="F777" s="1124"/>
      <c r="G777" s="643">
        <f t="shared" si="124"/>
        <v>0</v>
      </c>
      <c r="H777" s="659">
        <f t="shared" si="122"/>
        <v>0</v>
      </c>
      <c r="I777" s="664">
        <v>0</v>
      </c>
      <c r="J777" s="88">
        <v>0</v>
      </c>
    </row>
    <row r="778" spans="1:10" s="488" customFormat="1" ht="12.75" customHeight="1" x14ac:dyDescent="0.2">
      <c r="A778" s="665"/>
      <c r="B778" s="843" t="s">
        <v>1746</v>
      </c>
      <c r="C778" s="687">
        <v>500000</v>
      </c>
      <c r="D778" s="687">
        <v>500000</v>
      </c>
      <c r="E778" s="1133">
        <v>0</v>
      </c>
      <c r="F778" s="1133"/>
      <c r="G778" s="643">
        <f t="shared" si="124"/>
        <v>0</v>
      </c>
      <c r="H778" s="659">
        <f t="shared" si="122"/>
        <v>0</v>
      </c>
      <c r="I778" s="664">
        <f>E778/J710*100</f>
        <v>0</v>
      </c>
      <c r="J778" s="604">
        <v>0</v>
      </c>
    </row>
    <row r="779" spans="1:10" ht="12.75" customHeight="1" x14ac:dyDescent="0.2">
      <c r="A779" s="665"/>
      <c r="B779" s="843" t="s">
        <v>1747</v>
      </c>
      <c r="C779" s="715">
        <v>400000</v>
      </c>
      <c r="D779" s="715">
        <v>400000</v>
      </c>
      <c r="E779" s="650">
        <v>0</v>
      </c>
      <c r="F779" s="650"/>
      <c r="G779" s="643">
        <f t="shared" si="124"/>
        <v>0</v>
      </c>
      <c r="H779" s="659">
        <f t="shared" si="122"/>
        <v>0</v>
      </c>
      <c r="I779" s="664">
        <f>E779/J712*100</f>
        <v>0</v>
      </c>
      <c r="J779" s="88">
        <v>0</v>
      </c>
    </row>
    <row r="780" spans="1:10" ht="12.75" customHeight="1" x14ac:dyDescent="0.2">
      <c r="A780" s="1156"/>
      <c r="B780" s="1157" t="s">
        <v>1748</v>
      </c>
      <c r="C780" s="1141">
        <f>C781+C782</f>
        <v>5000000</v>
      </c>
      <c r="D780" s="1141">
        <f>D781+D782</f>
        <v>5000000</v>
      </c>
      <c r="E780" s="1123">
        <v>1112748.79</v>
      </c>
      <c r="F780" s="650">
        <f>SUM(E781:E782)</f>
        <v>1112748.79</v>
      </c>
      <c r="G780" s="1125">
        <f t="shared" si="124"/>
        <v>22.2549758</v>
      </c>
      <c r="H780" s="1126">
        <f t="shared" si="122"/>
        <v>22.2549758</v>
      </c>
      <c r="I780" s="1127">
        <f t="shared" ref="I780:I843" si="125">E780/J780*100</f>
        <v>114.65016022654216</v>
      </c>
      <c r="J780" s="88">
        <v>970560.17</v>
      </c>
    </row>
    <row r="781" spans="1:10" ht="12.75" customHeight="1" x14ac:dyDescent="0.2">
      <c r="A781" s="1156"/>
      <c r="B781" s="1158" t="s">
        <v>844</v>
      </c>
      <c r="C781" s="1159">
        <v>4000000</v>
      </c>
      <c r="D781" s="1159">
        <v>4000000</v>
      </c>
      <c r="E781" s="653">
        <v>890788.79</v>
      </c>
      <c r="F781" s="653"/>
      <c r="G781" s="643">
        <f t="shared" si="124"/>
        <v>22.26971975</v>
      </c>
      <c r="H781" s="659">
        <f t="shared" si="122"/>
        <v>22.26971975</v>
      </c>
      <c r="I781" s="664">
        <f t="shared" si="125"/>
        <v>91.780892883745679</v>
      </c>
      <c r="J781" s="88">
        <v>970560.17</v>
      </c>
    </row>
    <row r="782" spans="1:10" s="488" customFormat="1" ht="15" customHeight="1" x14ac:dyDescent="0.2">
      <c r="A782" s="665"/>
      <c r="B782" s="1155" t="s">
        <v>849</v>
      </c>
      <c r="C782" s="715">
        <f>SUM(C783:C783)</f>
        <v>1000000</v>
      </c>
      <c r="D782" s="715">
        <f>SUM(D783:D783)</f>
        <v>1000000</v>
      </c>
      <c r="E782" s="650">
        <v>221960</v>
      </c>
      <c r="F782" s="650"/>
      <c r="G782" s="643">
        <f t="shared" si="124"/>
        <v>22.195999999999998</v>
      </c>
      <c r="H782" s="659">
        <f t="shared" si="122"/>
        <v>22.195999999999998</v>
      </c>
      <c r="I782" s="664">
        <v>0</v>
      </c>
      <c r="J782" s="88">
        <v>0</v>
      </c>
    </row>
    <row r="783" spans="1:10" ht="12.75" customHeight="1" x14ac:dyDescent="0.2">
      <c r="A783" s="1156"/>
      <c r="B783" s="696" t="s">
        <v>1749</v>
      </c>
      <c r="C783" s="715">
        <v>1000000</v>
      </c>
      <c r="D783" s="715">
        <v>1000000</v>
      </c>
      <c r="E783" s="653">
        <v>221960</v>
      </c>
      <c r="F783" s="653"/>
      <c r="G783" s="643">
        <f t="shared" si="124"/>
        <v>22.195999999999998</v>
      </c>
      <c r="H783" s="659">
        <f t="shared" si="122"/>
        <v>22.195999999999998</v>
      </c>
      <c r="I783" s="664">
        <v>0</v>
      </c>
      <c r="J783" s="88">
        <v>0</v>
      </c>
    </row>
    <row r="784" spans="1:10" ht="12.75" customHeight="1" x14ac:dyDescent="0.2">
      <c r="A784" s="1156"/>
      <c r="B784" s="1160" t="s">
        <v>1750</v>
      </c>
      <c r="C784" s="687">
        <v>300000</v>
      </c>
      <c r="D784" s="687">
        <v>300000</v>
      </c>
      <c r="E784" s="650">
        <v>57786</v>
      </c>
      <c r="F784" s="1124"/>
      <c r="G784" s="643">
        <f t="shared" si="124"/>
        <v>19.262</v>
      </c>
      <c r="H784" s="659">
        <f t="shared" si="122"/>
        <v>19.262</v>
      </c>
      <c r="I784" s="664">
        <f t="shared" si="125"/>
        <v>60.634614173889325</v>
      </c>
      <c r="J784" s="88">
        <v>95302</v>
      </c>
    </row>
    <row r="785" spans="1:10" s="488" customFormat="1" ht="12.75" customHeight="1" x14ac:dyDescent="0.2">
      <c r="A785" s="1156"/>
      <c r="B785" s="1160" t="s">
        <v>1751</v>
      </c>
      <c r="C785" s="687">
        <v>3000000</v>
      </c>
      <c r="D785" s="687">
        <v>3000000</v>
      </c>
      <c r="E785" s="653">
        <v>1171624.9099999999</v>
      </c>
      <c r="F785" s="653"/>
      <c r="G785" s="643">
        <f t="shared" si="124"/>
        <v>39.054163666666661</v>
      </c>
      <c r="H785" s="659">
        <f t="shared" si="122"/>
        <v>39.054163666666661</v>
      </c>
      <c r="I785" s="664">
        <f t="shared" si="125"/>
        <v>100.74386099775229</v>
      </c>
      <c r="J785" s="88">
        <v>1162974</v>
      </c>
    </row>
    <row r="786" spans="1:10" s="488" customFormat="1" ht="12.75" customHeight="1" x14ac:dyDescent="0.2">
      <c r="A786" s="1156"/>
      <c r="B786" s="1161" t="s">
        <v>1752</v>
      </c>
      <c r="C786" s="687">
        <v>100000</v>
      </c>
      <c r="D786" s="687">
        <v>100000</v>
      </c>
      <c r="E786" s="650">
        <v>54149</v>
      </c>
      <c r="F786" s="650"/>
      <c r="G786" s="643">
        <f t="shared" si="124"/>
        <v>54.149000000000001</v>
      </c>
      <c r="H786" s="659">
        <f t="shared" si="122"/>
        <v>54.149000000000001</v>
      </c>
      <c r="I786" s="664">
        <f t="shared" si="125"/>
        <v>121.72417668877149</v>
      </c>
      <c r="J786" s="88">
        <v>44485</v>
      </c>
    </row>
    <row r="787" spans="1:10" s="488" customFormat="1" ht="12.75" customHeight="1" x14ac:dyDescent="0.2">
      <c r="A787" s="1156"/>
      <c r="B787" s="1162" t="s">
        <v>1753</v>
      </c>
      <c r="C787" s="715">
        <v>100000</v>
      </c>
      <c r="D787" s="715">
        <v>100000</v>
      </c>
      <c r="E787" s="653">
        <v>17262.599999999999</v>
      </c>
      <c r="F787" s="653"/>
      <c r="G787" s="643">
        <f t="shared" si="124"/>
        <v>17.262599999999999</v>
      </c>
      <c r="H787" s="659">
        <f t="shared" si="122"/>
        <v>17.262599999999999</v>
      </c>
      <c r="I787" s="664">
        <f t="shared" si="125"/>
        <v>67.45838218053926</v>
      </c>
      <c r="J787" s="88">
        <v>25590</v>
      </c>
    </row>
    <row r="788" spans="1:10" ht="12.75" customHeight="1" x14ac:dyDescent="0.2">
      <c r="A788" s="1156"/>
      <c r="B788" s="1162" t="s">
        <v>1754</v>
      </c>
      <c r="C788" s="687">
        <f>C789+C790+C791+C792</f>
        <v>32450000</v>
      </c>
      <c r="D788" s="687">
        <f>D789+D790+D791+D792</f>
        <v>32450000</v>
      </c>
      <c r="E788" s="653">
        <v>15496455.84</v>
      </c>
      <c r="F788" s="653">
        <f>SUM(E789:E792)</f>
        <v>15496455.839999998</v>
      </c>
      <c r="G788" s="643">
        <f t="shared" si="124"/>
        <v>47.754871617873654</v>
      </c>
      <c r="H788" s="659">
        <f t="shared" si="122"/>
        <v>47.754871617873654</v>
      </c>
      <c r="I788" s="664">
        <f t="shared" si="125"/>
        <v>97.196573809410296</v>
      </c>
      <c r="J788" s="88">
        <v>15943417.789999999</v>
      </c>
    </row>
    <row r="789" spans="1:10" ht="12.75" customHeight="1" x14ac:dyDescent="0.2">
      <c r="A789" s="1156"/>
      <c r="B789" s="1163" t="s">
        <v>1755</v>
      </c>
      <c r="C789" s="715">
        <v>7000000</v>
      </c>
      <c r="D789" s="715">
        <v>7000000</v>
      </c>
      <c r="E789" s="653">
        <v>4489633.47</v>
      </c>
      <c r="F789" s="653"/>
      <c r="G789" s="643">
        <f t="shared" si="124"/>
        <v>64.137620999999996</v>
      </c>
      <c r="H789" s="659">
        <f t="shared" si="122"/>
        <v>64.137620999999996</v>
      </c>
      <c r="I789" s="664">
        <f t="shared" si="125"/>
        <v>112.69076363909014</v>
      </c>
      <c r="J789" s="88">
        <v>3984029.68</v>
      </c>
    </row>
    <row r="790" spans="1:10" ht="12.75" customHeight="1" x14ac:dyDescent="0.2">
      <c r="A790" s="665"/>
      <c r="B790" s="1164" t="s">
        <v>1756</v>
      </c>
      <c r="C790" s="687">
        <v>22000000</v>
      </c>
      <c r="D790" s="687">
        <v>22000000</v>
      </c>
      <c r="E790" s="653">
        <v>9858091.8399999999</v>
      </c>
      <c r="F790" s="653"/>
      <c r="G790" s="643">
        <f t="shared" si="124"/>
        <v>44.809508363636361</v>
      </c>
      <c r="H790" s="659">
        <f t="shared" si="122"/>
        <v>44.809508363636361</v>
      </c>
      <c r="I790" s="664">
        <f t="shared" si="125"/>
        <v>89.855251984488035</v>
      </c>
      <c r="J790" s="88">
        <v>10971080.289999999</v>
      </c>
    </row>
    <row r="791" spans="1:10" ht="12.75" customHeight="1" x14ac:dyDescent="0.2">
      <c r="A791" s="665"/>
      <c r="B791" s="702" t="s">
        <v>1757</v>
      </c>
      <c r="C791" s="687">
        <v>900000</v>
      </c>
      <c r="D791" s="687">
        <v>900000</v>
      </c>
      <c r="E791" s="653">
        <v>6063.27</v>
      </c>
      <c r="F791" s="653"/>
      <c r="G791" s="643">
        <f t="shared" si="124"/>
        <v>0.67369666666666672</v>
      </c>
      <c r="H791" s="659">
        <f t="shared" si="122"/>
        <v>0.67369666666666672</v>
      </c>
      <c r="I791" s="664">
        <f t="shared" si="125"/>
        <v>4.2860944941725352</v>
      </c>
      <c r="J791" s="88">
        <v>141463.75</v>
      </c>
    </row>
    <row r="792" spans="1:10" s="488" customFormat="1" ht="12.75" customHeight="1" x14ac:dyDescent="0.2">
      <c r="A792" s="665"/>
      <c r="B792" s="696" t="s">
        <v>1758</v>
      </c>
      <c r="C792" s="687">
        <v>2550000</v>
      </c>
      <c r="D792" s="687">
        <v>2550000</v>
      </c>
      <c r="E792" s="653">
        <v>1142667.26</v>
      </c>
      <c r="F792" s="653"/>
      <c r="G792" s="643">
        <f t="shared" si="124"/>
        <v>44.810480784313725</v>
      </c>
      <c r="H792" s="659">
        <f t="shared" si="122"/>
        <v>44.810480784313725</v>
      </c>
      <c r="I792" s="664">
        <f t="shared" si="125"/>
        <v>134.93242740661807</v>
      </c>
      <c r="J792" s="88">
        <v>846844.07</v>
      </c>
    </row>
    <row r="793" spans="1:10" s="488" customFormat="1" ht="12.75" customHeight="1" x14ac:dyDescent="0.2">
      <c r="A793" s="665"/>
      <c r="B793" s="696" t="s">
        <v>1759</v>
      </c>
      <c r="C793" s="687">
        <v>20000</v>
      </c>
      <c r="D793" s="687">
        <v>20000</v>
      </c>
      <c r="E793" s="653">
        <v>0</v>
      </c>
      <c r="F793" s="653"/>
      <c r="G793" s="643">
        <f t="shared" si="124"/>
        <v>0</v>
      </c>
      <c r="H793" s="659">
        <f t="shared" si="122"/>
        <v>0</v>
      </c>
      <c r="I793" s="664">
        <v>0</v>
      </c>
      <c r="J793" s="88">
        <v>0</v>
      </c>
    </row>
    <row r="794" spans="1:10" s="488" customFormat="1" ht="12.75" customHeight="1" x14ac:dyDescent="0.2">
      <c r="A794" s="639">
        <v>3613</v>
      </c>
      <c r="B794" s="689" t="s">
        <v>873</v>
      </c>
      <c r="C794" s="663">
        <f>C795+C801+C802+C803+C808+C819+C820</f>
        <v>23745000</v>
      </c>
      <c r="D794" s="663">
        <f>D795+D801+D802+D803+D808+D819+D820</f>
        <v>23745000</v>
      </c>
      <c r="E794" s="649">
        <v>6246817.96</v>
      </c>
      <c r="F794" s="650">
        <f>SUM(E795,E801:E803,E808,E819,E820)</f>
        <v>6246817.959999999</v>
      </c>
      <c r="G794" s="642">
        <f t="shared" si="124"/>
        <v>26.307929922088864</v>
      </c>
      <c r="H794" s="644">
        <f t="shared" si="122"/>
        <v>26.307929922088864</v>
      </c>
      <c r="I794" s="1127">
        <f t="shared" si="125"/>
        <v>117.23327555205275</v>
      </c>
      <c r="J794" s="88">
        <v>5328536.57</v>
      </c>
    </row>
    <row r="795" spans="1:10" s="488" customFormat="1" ht="12.75" customHeight="1" x14ac:dyDescent="0.2">
      <c r="A795" s="1165"/>
      <c r="B795" s="1166" t="s">
        <v>874</v>
      </c>
      <c r="C795" s="1143">
        <f>SUM(C796:C800)</f>
        <v>3990000</v>
      </c>
      <c r="D795" s="1143">
        <f>SUM(D796:D800)</f>
        <v>4200000</v>
      </c>
      <c r="E795" s="1167">
        <v>1039027.64</v>
      </c>
      <c r="F795" s="653"/>
      <c r="G795" s="1129">
        <f t="shared" si="124"/>
        <v>26.040792982456139</v>
      </c>
      <c r="H795" s="1130">
        <f t="shared" si="122"/>
        <v>24.738753333333332</v>
      </c>
      <c r="I795" s="664">
        <v>0</v>
      </c>
      <c r="J795" s="604">
        <v>0</v>
      </c>
    </row>
    <row r="796" spans="1:10" s="488" customFormat="1" ht="12.75" customHeight="1" x14ac:dyDescent="0.2">
      <c r="A796" s="634"/>
      <c r="B796" s="696" t="s">
        <v>1760</v>
      </c>
      <c r="C796" s="687">
        <v>550000</v>
      </c>
      <c r="D796" s="687">
        <v>550000</v>
      </c>
      <c r="E796" s="653">
        <v>0</v>
      </c>
      <c r="F796" s="653"/>
      <c r="G796" s="643">
        <f t="shared" si="124"/>
        <v>0</v>
      </c>
      <c r="H796" s="659">
        <f t="shared" si="122"/>
        <v>0</v>
      </c>
      <c r="I796" s="664">
        <v>0</v>
      </c>
      <c r="J796" s="604">
        <v>0</v>
      </c>
    </row>
    <row r="797" spans="1:10" ht="12.75" customHeight="1" x14ac:dyDescent="0.2">
      <c r="A797" s="634"/>
      <c r="B797" s="1168" t="s">
        <v>1761</v>
      </c>
      <c r="C797" s="687">
        <v>600000</v>
      </c>
      <c r="D797" s="687">
        <v>600000</v>
      </c>
      <c r="E797" s="653">
        <v>0</v>
      </c>
      <c r="F797" s="653"/>
      <c r="G797" s="643">
        <f t="shared" si="124"/>
        <v>0</v>
      </c>
      <c r="H797" s="659">
        <f t="shared" si="122"/>
        <v>0</v>
      </c>
      <c r="I797" s="664">
        <v>0</v>
      </c>
      <c r="J797" s="88">
        <v>0</v>
      </c>
    </row>
    <row r="798" spans="1:10" s="488" customFormat="1" ht="12.75" customHeight="1" x14ac:dyDescent="0.2">
      <c r="A798" s="634"/>
      <c r="B798" s="1168" t="s">
        <v>1762</v>
      </c>
      <c r="C798" s="687">
        <v>1100000</v>
      </c>
      <c r="D798" s="687">
        <f>1100000+210000</f>
        <v>1310000</v>
      </c>
      <c r="E798" s="653">
        <v>1039027.64</v>
      </c>
      <c r="F798" s="653"/>
      <c r="G798" s="643">
        <f t="shared" si="124"/>
        <v>94.457058181818184</v>
      </c>
      <c r="H798" s="659">
        <f t="shared" si="122"/>
        <v>79.315087022900769</v>
      </c>
      <c r="I798" s="664">
        <v>0</v>
      </c>
      <c r="J798" s="604">
        <v>0</v>
      </c>
    </row>
    <row r="799" spans="1:10" s="488" customFormat="1" ht="12.75" customHeight="1" x14ac:dyDescent="0.2">
      <c r="A799" s="634"/>
      <c r="B799" s="702" t="s">
        <v>1763</v>
      </c>
      <c r="C799" s="687">
        <v>840000</v>
      </c>
      <c r="D799" s="687">
        <v>840000</v>
      </c>
      <c r="E799" s="1167">
        <v>0</v>
      </c>
      <c r="F799" s="1167"/>
      <c r="G799" s="643">
        <f t="shared" si="124"/>
        <v>0</v>
      </c>
      <c r="H799" s="659">
        <f t="shared" si="122"/>
        <v>0</v>
      </c>
      <c r="I799" s="664">
        <v>0</v>
      </c>
      <c r="J799" s="604">
        <v>0</v>
      </c>
    </row>
    <row r="800" spans="1:10" s="488" customFormat="1" ht="12.75" customHeight="1" x14ac:dyDescent="0.2">
      <c r="A800" s="634"/>
      <c r="B800" s="702" t="s">
        <v>1764</v>
      </c>
      <c r="C800" s="687">
        <v>900000</v>
      </c>
      <c r="D800" s="687">
        <v>900000</v>
      </c>
      <c r="E800" s="1167">
        <v>0</v>
      </c>
      <c r="F800" s="1167"/>
      <c r="G800" s="643">
        <f t="shared" si="124"/>
        <v>0</v>
      </c>
      <c r="H800" s="659">
        <f t="shared" si="122"/>
        <v>0</v>
      </c>
      <c r="I800" s="664">
        <v>0</v>
      </c>
      <c r="J800" s="604">
        <v>0</v>
      </c>
    </row>
    <row r="801" spans="1:10" s="488" customFormat="1" ht="12.75" customHeight="1" x14ac:dyDescent="0.2">
      <c r="A801" s="634"/>
      <c r="B801" s="1142" t="s">
        <v>1765</v>
      </c>
      <c r="C801" s="1139">
        <v>30000</v>
      </c>
      <c r="D801" s="1139">
        <v>30000</v>
      </c>
      <c r="E801" s="1167">
        <v>0</v>
      </c>
      <c r="F801" s="1167"/>
      <c r="G801" s="1129">
        <f t="shared" si="124"/>
        <v>0</v>
      </c>
      <c r="H801" s="1130">
        <f t="shared" si="122"/>
        <v>0</v>
      </c>
      <c r="I801" s="1131">
        <f t="shared" si="125"/>
        <v>0</v>
      </c>
      <c r="J801" s="604">
        <v>6354</v>
      </c>
    </row>
    <row r="802" spans="1:10" s="488" customFormat="1" ht="12.75" customHeight="1" x14ac:dyDescent="0.2">
      <c r="A802" s="634"/>
      <c r="B802" s="1142" t="s">
        <v>1766</v>
      </c>
      <c r="C802" s="1143">
        <v>80000</v>
      </c>
      <c r="D802" s="1143">
        <v>80000</v>
      </c>
      <c r="E802" s="650">
        <v>5425.13</v>
      </c>
      <c r="F802" s="650"/>
      <c r="G802" s="1129">
        <f t="shared" si="124"/>
        <v>6.7814125000000001</v>
      </c>
      <c r="H802" s="1130">
        <f t="shared" si="122"/>
        <v>6.7814125000000001</v>
      </c>
      <c r="I802" s="1131">
        <f t="shared" si="125"/>
        <v>164.64734446130501</v>
      </c>
      <c r="J802" s="604">
        <v>3295</v>
      </c>
    </row>
    <row r="803" spans="1:10" s="488" customFormat="1" ht="12.75" customHeight="1" x14ac:dyDescent="0.2">
      <c r="A803" s="1149"/>
      <c r="B803" s="1142" t="s">
        <v>1767</v>
      </c>
      <c r="C803" s="1143">
        <f t="shared" ref="C803:D803" si="126">C804+C805+C806+C807</f>
        <v>8050000</v>
      </c>
      <c r="D803" s="1143">
        <f t="shared" si="126"/>
        <v>8050000</v>
      </c>
      <c r="E803" s="1124">
        <v>2130317.54</v>
      </c>
      <c r="F803" s="1124">
        <f>SUM(E804:E807)</f>
        <v>2130317.54</v>
      </c>
      <c r="G803" s="1129">
        <f t="shared" si="124"/>
        <v>26.463571925465839</v>
      </c>
      <c r="H803" s="1130">
        <f t="shared" si="122"/>
        <v>26.463571925465839</v>
      </c>
      <c r="I803" s="1131">
        <f t="shared" si="125"/>
        <v>69.729810061430243</v>
      </c>
      <c r="J803" s="88">
        <v>3055103.03</v>
      </c>
    </row>
    <row r="804" spans="1:10" ht="12.75" customHeight="1" x14ac:dyDescent="0.2">
      <c r="A804" s="1149"/>
      <c r="B804" s="702" t="s">
        <v>1755</v>
      </c>
      <c r="C804" s="687">
        <v>1200000</v>
      </c>
      <c r="D804" s="687">
        <v>1200000</v>
      </c>
      <c r="E804" s="650">
        <v>457543.92</v>
      </c>
      <c r="F804" s="650"/>
      <c r="G804" s="643">
        <f t="shared" si="124"/>
        <v>38.128659999999996</v>
      </c>
      <c r="H804" s="659">
        <f t="shared" si="122"/>
        <v>38.128659999999996</v>
      </c>
      <c r="I804" s="664">
        <f t="shared" si="125"/>
        <v>167.86568248240084</v>
      </c>
      <c r="J804" s="88">
        <v>272565.49</v>
      </c>
    </row>
    <row r="805" spans="1:10" ht="12.75" customHeight="1" x14ac:dyDescent="0.2">
      <c r="A805" s="1149"/>
      <c r="B805" s="702" t="s">
        <v>891</v>
      </c>
      <c r="C805" s="687">
        <v>2000000</v>
      </c>
      <c r="D805" s="687">
        <v>2000000</v>
      </c>
      <c r="E805" s="650">
        <v>39607.300000000003</v>
      </c>
      <c r="F805" s="650"/>
      <c r="G805" s="643">
        <f t="shared" si="124"/>
        <v>1.9803650000000002</v>
      </c>
      <c r="H805" s="659">
        <f t="shared" si="122"/>
        <v>1.9803650000000002</v>
      </c>
      <c r="I805" s="664">
        <f t="shared" si="125"/>
        <v>5.4241971620407847</v>
      </c>
      <c r="J805" s="88">
        <v>730196.54</v>
      </c>
    </row>
    <row r="806" spans="1:10" ht="12.75" customHeight="1" x14ac:dyDescent="0.2">
      <c r="A806" s="639"/>
      <c r="B806" s="1164" t="s">
        <v>892</v>
      </c>
      <c r="C806" s="715">
        <v>2000000</v>
      </c>
      <c r="D806" s="715">
        <v>2000000</v>
      </c>
      <c r="E806" s="650">
        <v>1140277.8899999999</v>
      </c>
      <c r="F806" s="650"/>
      <c r="G806" s="643">
        <f t="shared" si="124"/>
        <v>57.013894499999992</v>
      </c>
      <c r="H806" s="659">
        <f t="shared" si="122"/>
        <v>57.013894499999992</v>
      </c>
      <c r="I806" s="664">
        <f t="shared" si="125"/>
        <v>139.20605158495442</v>
      </c>
      <c r="J806" s="88">
        <v>819129.54</v>
      </c>
    </row>
    <row r="807" spans="1:10" s="98" customFormat="1" ht="12.75" customHeight="1" x14ac:dyDescent="0.2">
      <c r="A807" s="639"/>
      <c r="B807" s="1164" t="s">
        <v>1768</v>
      </c>
      <c r="C807" s="715">
        <v>2850000</v>
      </c>
      <c r="D807" s="715">
        <v>2850000</v>
      </c>
      <c r="E807" s="650">
        <v>492888.43</v>
      </c>
      <c r="F807" s="650"/>
      <c r="G807" s="643">
        <f t="shared" si="124"/>
        <v>17.29433087719298</v>
      </c>
      <c r="H807" s="659">
        <f t="shared" si="122"/>
        <v>17.29433087719298</v>
      </c>
      <c r="I807" s="664">
        <f t="shared" si="125"/>
        <v>39.96787623105611</v>
      </c>
      <c r="J807" s="88">
        <v>1233211.46</v>
      </c>
    </row>
    <row r="808" spans="1:10" s="488" customFormat="1" ht="12.75" customHeight="1" x14ac:dyDescent="0.2">
      <c r="A808" s="639"/>
      <c r="B808" s="1166" t="s">
        <v>894</v>
      </c>
      <c r="C808" s="1139">
        <f>SUM(C809:C818)</f>
        <v>4905000</v>
      </c>
      <c r="D808" s="1139">
        <f>SUM(D809:D818)</f>
        <v>4905000</v>
      </c>
      <c r="E808" s="1124">
        <v>1652946.04</v>
      </c>
      <c r="F808" s="1124">
        <f>SUM(E809:E818)</f>
        <v>1652946.04</v>
      </c>
      <c r="G808" s="1129">
        <f t="shared" si="124"/>
        <v>33.699205708460752</v>
      </c>
      <c r="H808" s="1130">
        <f t="shared" si="122"/>
        <v>33.699205708460752</v>
      </c>
      <c r="I808" s="1131">
        <f t="shared" si="125"/>
        <v>98.882830417863659</v>
      </c>
      <c r="J808" s="604">
        <v>1671620.88</v>
      </c>
    </row>
    <row r="809" spans="1:10" ht="12.75" customHeight="1" x14ac:dyDescent="0.2">
      <c r="A809" s="639"/>
      <c r="B809" s="1164" t="s">
        <v>1769</v>
      </c>
      <c r="C809" s="715">
        <v>700000</v>
      </c>
      <c r="D809" s="715">
        <v>700000</v>
      </c>
      <c r="E809" s="650">
        <v>0</v>
      </c>
      <c r="F809" s="650"/>
      <c r="G809" s="643">
        <f t="shared" si="124"/>
        <v>0</v>
      </c>
      <c r="H809" s="659">
        <f t="shared" si="122"/>
        <v>0</v>
      </c>
      <c r="I809" s="664">
        <v>0</v>
      </c>
      <c r="J809" s="88">
        <v>0</v>
      </c>
    </row>
    <row r="810" spans="1:10" ht="12.75" customHeight="1" x14ac:dyDescent="0.2">
      <c r="A810" s="639"/>
      <c r="B810" s="843" t="s">
        <v>1770</v>
      </c>
      <c r="C810" s="715">
        <v>1000000</v>
      </c>
      <c r="D810" s="715">
        <v>1000000</v>
      </c>
      <c r="E810" s="650">
        <v>368165.04</v>
      </c>
      <c r="F810" s="650"/>
      <c r="G810" s="643">
        <f t="shared" si="124"/>
        <v>36.816504000000002</v>
      </c>
      <c r="H810" s="659">
        <f t="shared" si="122"/>
        <v>36.816504000000002</v>
      </c>
      <c r="I810" s="664">
        <f t="shared" si="125"/>
        <v>97.364055553028507</v>
      </c>
      <c r="J810" s="88">
        <v>378132.4</v>
      </c>
    </row>
    <row r="811" spans="1:10" ht="12.75" customHeight="1" x14ac:dyDescent="0.2">
      <c r="A811" s="639"/>
      <c r="B811" s="843" t="s">
        <v>1771</v>
      </c>
      <c r="C811" s="715">
        <v>50000</v>
      </c>
      <c r="D811" s="715">
        <v>50000</v>
      </c>
      <c r="E811" s="650">
        <v>0</v>
      </c>
      <c r="F811" s="650"/>
      <c r="G811" s="643">
        <f t="shared" si="124"/>
        <v>0</v>
      </c>
      <c r="H811" s="659">
        <f t="shared" si="122"/>
        <v>0</v>
      </c>
      <c r="I811" s="664">
        <f t="shared" si="125"/>
        <v>0</v>
      </c>
      <c r="J811" s="88">
        <v>23319.48</v>
      </c>
    </row>
    <row r="812" spans="1:10" s="2" customFormat="1" ht="12.75" customHeight="1" x14ac:dyDescent="0.2">
      <c r="A812" s="639"/>
      <c r="B812" s="702" t="s">
        <v>900</v>
      </c>
      <c r="C812" s="715">
        <v>100000</v>
      </c>
      <c r="D812" s="715">
        <v>100000</v>
      </c>
      <c r="E812" s="650">
        <v>0</v>
      </c>
      <c r="F812" s="650"/>
      <c r="G812" s="643">
        <f t="shared" si="124"/>
        <v>0</v>
      </c>
      <c r="H812" s="659">
        <f t="shared" si="122"/>
        <v>0</v>
      </c>
      <c r="I812" s="664">
        <v>0</v>
      </c>
      <c r="J812" s="88">
        <v>0</v>
      </c>
    </row>
    <row r="813" spans="1:10" ht="12.75" customHeight="1" x14ac:dyDescent="0.2">
      <c r="A813" s="639"/>
      <c r="B813" s="1164" t="s">
        <v>1772</v>
      </c>
      <c r="C813" s="715">
        <v>200000</v>
      </c>
      <c r="D813" s="715">
        <v>200000</v>
      </c>
      <c r="E813" s="650">
        <v>35780</v>
      </c>
      <c r="F813" s="650"/>
      <c r="G813" s="643">
        <f t="shared" si="124"/>
        <v>17.89</v>
      </c>
      <c r="H813" s="659">
        <f t="shared" ref="H813:H876" si="127">E813/D813*100</f>
        <v>17.89</v>
      </c>
      <c r="I813" s="664">
        <f t="shared" si="125"/>
        <v>93.994640886880674</v>
      </c>
      <c r="J813" s="88">
        <v>38066</v>
      </c>
    </row>
    <row r="814" spans="1:10" ht="12.75" customHeight="1" x14ac:dyDescent="0.2">
      <c r="A814" s="639"/>
      <c r="B814" s="1169" t="s">
        <v>1773</v>
      </c>
      <c r="C814" s="715">
        <v>350000</v>
      </c>
      <c r="D814" s="715">
        <v>350000</v>
      </c>
      <c r="E814" s="650">
        <v>129321</v>
      </c>
      <c r="F814" s="650"/>
      <c r="G814" s="643">
        <f t="shared" si="124"/>
        <v>36.948857142857143</v>
      </c>
      <c r="H814" s="659">
        <f t="shared" si="127"/>
        <v>36.948857142857143</v>
      </c>
      <c r="I814" s="664">
        <f t="shared" si="125"/>
        <v>3918.818181818182</v>
      </c>
      <c r="J814" s="88">
        <v>3300</v>
      </c>
    </row>
    <row r="815" spans="1:10" ht="12.75" customHeight="1" x14ac:dyDescent="0.2">
      <c r="A815" s="639"/>
      <c r="B815" s="843" t="s">
        <v>1774</v>
      </c>
      <c r="C815" s="715">
        <v>2200000</v>
      </c>
      <c r="D815" s="715">
        <v>2200000</v>
      </c>
      <c r="E815" s="1124">
        <v>1110000</v>
      </c>
      <c r="F815" s="1124"/>
      <c r="G815" s="643">
        <f t="shared" si="124"/>
        <v>50.454545454545453</v>
      </c>
      <c r="H815" s="659">
        <f t="shared" si="127"/>
        <v>50.454545454545453</v>
      </c>
      <c r="I815" s="664">
        <f t="shared" si="125"/>
        <v>102.02205882352942</v>
      </c>
      <c r="J815" s="88">
        <v>1088000</v>
      </c>
    </row>
    <row r="816" spans="1:10" ht="12.75" customHeight="1" x14ac:dyDescent="0.2">
      <c r="A816" s="639"/>
      <c r="B816" s="1169" t="s">
        <v>1775</v>
      </c>
      <c r="C816" s="715">
        <v>20000</v>
      </c>
      <c r="D816" s="715">
        <v>20000</v>
      </c>
      <c r="E816" s="650">
        <v>0</v>
      </c>
      <c r="F816" s="650"/>
      <c r="G816" s="643">
        <f t="shared" si="124"/>
        <v>0</v>
      </c>
      <c r="H816" s="659">
        <f t="shared" si="127"/>
        <v>0</v>
      </c>
      <c r="I816" s="664">
        <v>0</v>
      </c>
      <c r="J816" s="88">
        <v>0</v>
      </c>
    </row>
    <row r="817" spans="1:10" ht="12.75" customHeight="1" x14ac:dyDescent="0.2">
      <c r="A817" s="639"/>
      <c r="B817" s="702" t="s">
        <v>905</v>
      </c>
      <c r="C817" s="715">
        <v>15000</v>
      </c>
      <c r="D817" s="715">
        <v>15000</v>
      </c>
      <c r="E817" s="650">
        <v>9680</v>
      </c>
      <c r="F817" s="650"/>
      <c r="G817" s="643">
        <f t="shared" si="124"/>
        <v>64.533333333333331</v>
      </c>
      <c r="H817" s="659">
        <f t="shared" si="127"/>
        <v>64.533333333333331</v>
      </c>
      <c r="I817" s="664">
        <f t="shared" si="125"/>
        <v>133.33333333333331</v>
      </c>
      <c r="J817" s="88">
        <v>7260</v>
      </c>
    </row>
    <row r="818" spans="1:10" ht="12.75" customHeight="1" x14ac:dyDescent="0.2">
      <c r="A818" s="639"/>
      <c r="B818" s="696" t="s">
        <v>1776</v>
      </c>
      <c r="C818" s="715">
        <v>270000</v>
      </c>
      <c r="D818" s="715">
        <v>270000</v>
      </c>
      <c r="E818" s="650">
        <v>0</v>
      </c>
      <c r="F818" s="650"/>
      <c r="G818" s="643">
        <f t="shared" si="124"/>
        <v>0</v>
      </c>
      <c r="H818" s="659">
        <f t="shared" si="127"/>
        <v>0</v>
      </c>
      <c r="I818" s="664">
        <v>0</v>
      </c>
      <c r="J818" s="88">
        <v>0</v>
      </c>
    </row>
    <row r="819" spans="1:10" ht="12.75" customHeight="1" x14ac:dyDescent="0.2">
      <c r="A819" s="1149"/>
      <c r="B819" s="1142" t="s">
        <v>907</v>
      </c>
      <c r="C819" s="1139">
        <f>C821+C823+C829</f>
        <v>6100000</v>
      </c>
      <c r="D819" s="1139">
        <f>D821+D823+D829</f>
        <v>5890000</v>
      </c>
      <c r="E819" s="1124">
        <v>1303620.68</v>
      </c>
      <c r="F819" s="1124"/>
      <c r="G819" s="1129">
        <f t="shared" si="124"/>
        <v>21.370830819672129</v>
      </c>
      <c r="H819" s="1130">
        <f t="shared" si="127"/>
        <v>22.132778947368418</v>
      </c>
      <c r="I819" s="1131">
        <f t="shared" si="125"/>
        <v>240.43584225519484</v>
      </c>
      <c r="J819" s="88">
        <v>542190.66</v>
      </c>
    </row>
    <row r="820" spans="1:10" ht="25.5" x14ac:dyDescent="0.2">
      <c r="A820" s="1149"/>
      <c r="B820" s="696" t="s">
        <v>1777</v>
      </c>
      <c r="C820" s="715">
        <v>590000</v>
      </c>
      <c r="D820" s="715">
        <v>590000</v>
      </c>
      <c r="E820" s="650">
        <v>115480.93</v>
      </c>
      <c r="F820" s="650"/>
      <c r="G820" s="643">
        <f t="shared" si="124"/>
        <v>19.573038983050846</v>
      </c>
      <c r="H820" s="659">
        <f t="shared" si="127"/>
        <v>19.573038983050846</v>
      </c>
      <c r="I820" s="664">
        <f t="shared" si="125"/>
        <v>231.08664678926618</v>
      </c>
      <c r="J820" s="32">
        <v>49973</v>
      </c>
    </row>
    <row r="821" spans="1:10" ht="12.75" customHeight="1" x14ac:dyDescent="0.2">
      <c r="A821" s="1149"/>
      <c r="B821" s="690" t="s">
        <v>1778</v>
      </c>
      <c r="C821" s="1141">
        <f>C822</f>
        <v>3000000</v>
      </c>
      <c r="D821" s="1141">
        <f>D822</f>
        <v>2790000</v>
      </c>
      <c r="E821" s="1123">
        <v>1053712.76</v>
      </c>
      <c r="F821" s="650"/>
      <c r="G821" s="1125">
        <f t="shared" si="124"/>
        <v>35.123758666666667</v>
      </c>
      <c r="H821" s="1126">
        <f t="shared" si="127"/>
        <v>37.767482437275987</v>
      </c>
      <c r="I821" s="1127">
        <f t="shared" si="125"/>
        <v>385.9854791068704</v>
      </c>
      <c r="J821" s="88">
        <v>272992.84999999998</v>
      </c>
    </row>
    <row r="822" spans="1:10" ht="12.75" customHeight="1" x14ac:dyDescent="0.2">
      <c r="A822" s="1149"/>
      <c r="B822" s="1169" t="s">
        <v>910</v>
      </c>
      <c r="C822" s="715">
        <v>3000000</v>
      </c>
      <c r="D822" s="715">
        <f>3000000-210000</f>
        <v>2790000</v>
      </c>
      <c r="E822" s="650">
        <v>1073712.76</v>
      </c>
      <c r="F822" s="650"/>
      <c r="G822" s="643">
        <f t="shared" si="124"/>
        <v>35.790425333333332</v>
      </c>
      <c r="H822" s="659">
        <f t="shared" si="127"/>
        <v>38.484328315412185</v>
      </c>
      <c r="I822" s="664">
        <f t="shared" si="125"/>
        <v>393.31167830952353</v>
      </c>
      <c r="J822" s="88">
        <v>272992.84999999998</v>
      </c>
    </row>
    <row r="823" spans="1:10" ht="12.75" customHeight="1" x14ac:dyDescent="0.2">
      <c r="A823" s="1149"/>
      <c r="B823" s="1170" t="s">
        <v>1779</v>
      </c>
      <c r="C823" s="1141">
        <f>SUM(C824:C824)</f>
        <v>1350000</v>
      </c>
      <c r="D823" s="1141">
        <f>SUM(D824:D824)</f>
        <v>1350000</v>
      </c>
      <c r="E823" s="1123">
        <v>5417.17</v>
      </c>
      <c r="F823" s="650"/>
      <c r="G823" s="1125">
        <f t="shared" si="124"/>
        <v>0.40127185185185182</v>
      </c>
      <c r="H823" s="1126">
        <f t="shared" si="127"/>
        <v>0.40127185185185182</v>
      </c>
      <c r="I823" s="1127">
        <f t="shared" si="125"/>
        <v>2.3635376873389515</v>
      </c>
      <c r="J823" s="88">
        <v>229197.53</v>
      </c>
    </row>
    <row r="824" spans="1:10" ht="12.75" customHeight="1" x14ac:dyDescent="0.2">
      <c r="A824" s="1149"/>
      <c r="B824" s="1171" t="s">
        <v>1780</v>
      </c>
      <c r="C824" s="715">
        <f>SUM(C825:C828)</f>
        <v>1350000</v>
      </c>
      <c r="D824" s="715">
        <f>SUM(D825:D828)</f>
        <v>1350000</v>
      </c>
      <c r="E824" s="650">
        <v>5417.17</v>
      </c>
      <c r="F824" s="650"/>
      <c r="G824" s="643">
        <f t="shared" ref="G824:G882" si="128">E824/C824*100</f>
        <v>0.40127185185185182</v>
      </c>
      <c r="H824" s="659">
        <f t="shared" si="127"/>
        <v>0.40127185185185182</v>
      </c>
      <c r="I824" s="664">
        <f t="shared" si="125"/>
        <v>5.2535849233729959</v>
      </c>
      <c r="J824" s="88">
        <v>103113.78</v>
      </c>
    </row>
    <row r="825" spans="1:10" ht="12.75" customHeight="1" x14ac:dyDescent="0.2">
      <c r="A825" s="639"/>
      <c r="B825" s="702" t="s">
        <v>926</v>
      </c>
      <c r="C825" s="715">
        <v>100000</v>
      </c>
      <c r="D825" s="715">
        <v>100000</v>
      </c>
      <c r="E825" s="650">
        <v>0</v>
      </c>
      <c r="F825" s="650"/>
      <c r="G825" s="643">
        <f t="shared" si="128"/>
        <v>0</v>
      </c>
      <c r="H825" s="659">
        <f t="shared" si="127"/>
        <v>0</v>
      </c>
      <c r="I825" s="664">
        <v>0</v>
      </c>
      <c r="J825" s="88">
        <v>0</v>
      </c>
    </row>
    <row r="826" spans="1:10" ht="12.75" customHeight="1" x14ac:dyDescent="0.2">
      <c r="A826" s="1149"/>
      <c r="B826" s="1161" t="s">
        <v>1781</v>
      </c>
      <c r="C826" s="715">
        <v>650000</v>
      </c>
      <c r="D826" s="715">
        <v>650000</v>
      </c>
      <c r="E826" s="653">
        <v>0</v>
      </c>
      <c r="F826" s="653"/>
      <c r="G826" s="643">
        <f t="shared" si="128"/>
        <v>0</v>
      </c>
      <c r="H826" s="659">
        <f t="shared" si="127"/>
        <v>0</v>
      </c>
      <c r="I826" s="664">
        <v>0</v>
      </c>
      <c r="J826" s="88">
        <v>0</v>
      </c>
    </row>
    <row r="827" spans="1:10" ht="15.75" customHeight="1" x14ac:dyDescent="0.2">
      <c r="A827" s="1149"/>
      <c r="B827" s="1161" t="s">
        <v>1782</v>
      </c>
      <c r="C827" s="715">
        <v>500000</v>
      </c>
      <c r="D827" s="715">
        <v>500000</v>
      </c>
      <c r="E827" s="650">
        <v>5417.17</v>
      </c>
      <c r="F827" s="650"/>
      <c r="G827" s="643">
        <f t="shared" si="128"/>
        <v>1.083434</v>
      </c>
      <c r="H827" s="659">
        <f t="shared" si="127"/>
        <v>1.083434</v>
      </c>
      <c r="I827" s="664">
        <v>0</v>
      </c>
      <c r="J827" s="88">
        <v>0</v>
      </c>
    </row>
    <row r="828" spans="1:10" ht="12.75" customHeight="1" x14ac:dyDescent="0.2">
      <c r="A828" s="1149"/>
      <c r="B828" s="1161" t="s">
        <v>1783</v>
      </c>
      <c r="C828" s="715">
        <v>100000</v>
      </c>
      <c r="D828" s="715">
        <v>100000</v>
      </c>
      <c r="E828" s="653">
        <v>0</v>
      </c>
      <c r="F828" s="653"/>
      <c r="G828" s="643">
        <f t="shared" si="128"/>
        <v>0</v>
      </c>
      <c r="H828" s="659">
        <f t="shared" si="127"/>
        <v>0</v>
      </c>
      <c r="I828" s="664">
        <v>0</v>
      </c>
      <c r="J828" s="88">
        <v>0</v>
      </c>
    </row>
    <row r="829" spans="1:10" ht="12.75" customHeight="1" x14ac:dyDescent="0.2">
      <c r="A829" s="1149"/>
      <c r="B829" s="1172" t="s">
        <v>1784</v>
      </c>
      <c r="C829" s="1139">
        <f>SUM(C831:C835)</f>
        <v>1750000</v>
      </c>
      <c r="D829" s="1139">
        <f>SUM(D831:D835)</f>
        <v>1750000</v>
      </c>
      <c r="E829" s="1167">
        <v>244490.75</v>
      </c>
      <c r="F829" s="1167">
        <f>SUM(E830:E835)</f>
        <v>244490.75</v>
      </c>
      <c r="G829" s="1129">
        <f t="shared" si="128"/>
        <v>13.9709</v>
      </c>
      <c r="H829" s="1130">
        <f t="shared" si="127"/>
        <v>13.9709</v>
      </c>
      <c r="I829" s="1131">
        <f t="shared" si="125"/>
        <v>611.22259644182486</v>
      </c>
      <c r="J829" s="88">
        <v>40000.28</v>
      </c>
    </row>
    <row r="830" spans="1:10" ht="12.75" customHeight="1" x14ac:dyDescent="0.2">
      <c r="A830" s="1149"/>
      <c r="B830" s="1161" t="s">
        <v>1785</v>
      </c>
      <c r="C830" s="687">
        <v>100000</v>
      </c>
      <c r="D830" s="687">
        <v>100000</v>
      </c>
      <c r="E830" s="653">
        <v>1253.56</v>
      </c>
      <c r="F830" s="653"/>
      <c r="G830" s="643">
        <f t="shared" si="128"/>
        <v>1.25356</v>
      </c>
      <c r="H830" s="659">
        <f t="shared" si="127"/>
        <v>1.25356</v>
      </c>
      <c r="I830" s="664">
        <v>0</v>
      </c>
      <c r="J830" s="88">
        <v>0</v>
      </c>
    </row>
    <row r="831" spans="1:10" ht="12.75" customHeight="1" x14ac:dyDescent="0.2">
      <c r="A831" s="1149"/>
      <c r="B831" s="1161" t="s">
        <v>1786</v>
      </c>
      <c r="C831" s="687">
        <v>200000</v>
      </c>
      <c r="D831" s="687">
        <v>200000</v>
      </c>
      <c r="E831" s="653">
        <v>3187.64</v>
      </c>
      <c r="F831" s="653"/>
      <c r="G831" s="643">
        <f t="shared" si="128"/>
        <v>1.59382</v>
      </c>
      <c r="H831" s="659">
        <f t="shared" si="127"/>
        <v>1.59382</v>
      </c>
      <c r="I831" s="664">
        <f t="shared" si="125"/>
        <v>7.9690442166904836</v>
      </c>
      <c r="J831" s="88">
        <v>40000.28</v>
      </c>
    </row>
    <row r="832" spans="1:10" ht="12.75" customHeight="1" x14ac:dyDescent="0.2">
      <c r="A832" s="1149"/>
      <c r="B832" s="1161" t="s">
        <v>1787</v>
      </c>
      <c r="C832" s="715">
        <v>450000</v>
      </c>
      <c r="D832" s="715">
        <v>450000</v>
      </c>
      <c r="E832" s="653">
        <v>0</v>
      </c>
      <c r="F832" s="653"/>
      <c r="G832" s="643">
        <f t="shared" si="128"/>
        <v>0</v>
      </c>
      <c r="H832" s="659">
        <f t="shared" si="127"/>
        <v>0</v>
      </c>
      <c r="I832" s="664">
        <v>0</v>
      </c>
      <c r="J832" s="88">
        <v>0</v>
      </c>
    </row>
    <row r="833" spans="1:10" ht="12.75" customHeight="1" x14ac:dyDescent="0.2">
      <c r="A833" s="1149"/>
      <c r="B833" s="1160" t="s">
        <v>1788</v>
      </c>
      <c r="C833" s="687">
        <v>200000</v>
      </c>
      <c r="D833" s="687">
        <v>200000</v>
      </c>
      <c r="E833" s="833">
        <v>36421</v>
      </c>
      <c r="F833" s="833"/>
      <c r="G833" s="643">
        <f t="shared" si="128"/>
        <v>18.2105</v>
      </c>
      <c r="H833" s="659">
        <f t="shared" si="127"/>
        <v>18.2105</v>
      </c>
      <c r="I833" s="664">
        <v>0</v>
      </c>
      <c r="J833" s="88">
        <v>0</v>
      </c>
    </row>
    <row r="834" spans="1:10" ht="12.75" customHeight="1" x14ac:dyDescent="0.2">
      <c r="A834" s="1149"/>
      <c r="B834" s="1169" t="s">
        <v>1789</v>
      </c>
      <c r="C834" s="1159">
        <v>400000</v>
      </c>
      <c r="D834" s="1159">
        <v>400000</v>
      </c>
      <c r="E834" s="1173">
        <v>0</v>
      </c>
      <c r="F834" s="1173"/>
      <c r="G834" s="643">
        <f t="shared" si="128"/>
        <v>0</v>
      </c>
      <c r="H834" s="659">
        <f t="shared" si="127"/>
        <v>0</v>
      </c>
      <c r="I834" s="664">
        <v>0</v>
      </c>
      <c r="J834" s="88">
        <v>0</v>
      </c>
    </row>
    <row r="835" spans="1:10" ht="12.75" customHeight="1" x14ac:dyDescent="0.2">
      <c r="A835" s="639"/>
      <c r="B835" s="1160" t="s">
        <v>1790</v>
      </c>
      <c r="C835" s="687">
        <v>500000</v>
      </c>
      <c r="D835" s="687">
        <v>500000</v>
      </c>
      <c r="E835" s="1167">
        <v>203628.55</v>
      </c>
      <c r="F835" s="1167"/>
      <c r="G835" s="643">
        <f t="shared" si="128"/>
        <v>40.725709999999999</v>
      </c>
      <c r="H835" s="659">
        <f t="shared" si="127"/>
        <v>40.725709999999999</v>
      </c>
      <c r="I835" s="664">
        <v>0</v>
      </c>
      <c r="J835" s="88">
        <v>0</v>
      </c>
    </row>
    <row r="836" spans="1:10" ht="12.75" customHeight="1" x14ac:dyDescent="0.2">
      <c r="A836" s="639">
        <v>3634</v>
      </c>
      <c r="B836" s="1174" t="s">
        <v>1791</v>
      </c>
      <c r="C836" s="663">
        <f t="shared" ref="C836:D836" si="129">SUM(C837:C841)</f>
        <v>4050000</v>
      </c>
      <c r="D836" s="663">
        <f t="shared" si="129"/>
        <v>4050000</v>
      </c>
      <c r="E836" s="649">
        <v>1736653.71</v>
      </c>
      <c r="F836" s="650">
        <f>SUM(E837:E841)</f>
        <v>1736653.71</v>
      </c>
      <c r="G836" s="642">
        <f t="shared" si="128"/>
        <v>42.880338518518521</v>
      </c>
      <c r="H836" s="644">
        <f t="shared" si="127"/>
        <v>42.880338518518521</v>
      </c>
      <c r="I836" s="651">
        <f t="shared" si="125"/>
        <v>310.11939763268327</v>
      </c>
      <c r="J836" s="88">
        <v>559995.18999999994</v>
      </c>
    </row>
    <row r="837" spans="1:10" ht="25.5" x14ac:dyDescent="0.2">
      <c r="A837" s="639"/>
      <c r="B837" s="1161" t="s">
        <v>1792</v>
      </c>
      <c r="C837" s="687">
        <v>350000</v>
      </c>
      <c r="D837" s="687">
        <v>350000</v>
      </c>
      <c r="E837" s="653">
        <v>61400.24</v>
      </c>
      <c r="F837" s="653"/>
      <c r="G837" s="643">
        <f t="shared" si="128"/>
        <v>17.542925714285715</v>
      </c>
      <c r="H837" s="659">
        <f t="shared" si="127"/>
        <v>17.542925714285715</v>
      </c>
      <c r="I837" s="664">
        <f t="shared" si="125"/>
        <v>114.44552200094724</v>
      </c>
      <c r="J837" s="32">
        <v>53650.19</v>
      </c>
    </row>
    <row r="838" spans="1:10" x14ac:dyDescent="0.2">
      <c r="A838" s="639"/>
      <c r="B838" s="1161" t="s">
        <v>1793</v>
      </c>
      <c r="C838" s="687">
        <v>300000</v>
      </c>
      <c r="D838" s="687">
        <v>300000</v>
      </c>
      <c r="E838" s="650">
        <v>0</v>
      </c>
      <c r="F838" s="650"/>
      <c r="G838" s="643">
        <f t="shared" si="128"/>
        <v>0</v>
      </c>
      <c r="H838" s="659">
        <f t="shared" si="127"/>
        <v>0</v>
      </c>
      <c r="I838" s="664">
        <v>0</v>
      </c>
      <c r="J838" s="88">
        <v>0</v>
      </c>
    </row>
    <row r="839" spans="1:10" ht="25.5" x14ac:dyDescent="0.2">
      <c r="A839" s="1175"/>
      <c r="B839" s="1176" t="s">
        <v>1794</v>
      </c>
      <c r="C839" s="718">
        <v>900000</v>
      </c>
      <c r="D839" s="718">
        <v>900000</v>
      </c>
      <c r="E839" s="649">
        <v>763548.72</v>
      </c>
      <c r="F839" s="650"/>
      <c r="G839" s="642">
        <f t="shared" si="128"/>
        <v>84.838746666666665</v>
      </c>
      <c r="H839" s="644">
        <f t="shared" si="127"/>
        <v>84.838746666666665</v>
      </c>
      <c r="I839" s="651">
        <v>0</v>
      </c>
      <c r="J839" s="32">
        <v>0</v>
      </c>
    </row>
    <row r="840" spans="1:10" ht="63.75" x14ac:dyDescent="0.2">
      <c r="A840" s="1177"/>
      <c r="B840" s="1178" t="s">
        <v>1795</v>
      </c>
      <c r="C840" s="1179">
        <v>2200000</v>
      </c>
      <c r="D840" s="1179">
        <v>2200000</v>
      </c>
      <c r="E840" s="650">
        <v>911704.75</v>
      </c>
      <c r="F840" s="650"/>
      <c r="G840" s="643">
        <f t="shared" si="128"/>
        <v>41.441125</v>
      </c>
      <c r="H840" s="659">
        <f t="shared" si="127"/>
        <v>41.441125</v>
      </c>
      <c r="I840" s="664">
        <v>0</v>
      </c>
      <c r="J840" s="32">
        <v>0</v>
      </c>
    </row>
    <row r="841" spans="1:10" ht="13.5" customHeight="1" x14ac:dyDescent="0.2">
      <c r="A841" s="634"/>
      <c r="B841" s="1155" t="s">
        <v>945</v>
      </c>
      <c r="C841" s="1143">
        <f>SUM(C842:C842)</f>
        <v>300000</v>
      </c>
      <c r="D841" s="1143">
        <f>SUM(D842:D842)</f>
        <v>300000</v>
      </c>
      <c r="E841" s="1167">
        <v>0</v>
      </c>
      <c r="F841" s="1167"/>
      <c r="G841" s="1129">
        <f t="shared" si="128"/>
        <v>0</v>
      </c>
      <c r="H841" s="1130">
        <f t="shared" si="127"/>
        <v>0</v>
      </c>
      <c r="I841" s="1131">
        <f t="shared" si="125"/>
        <v>0</v>
      </c>
      <c r="J841" s="88">
        <v>506345</v>
      </c>
    </row>
    <row r="842" spans="1:10" ht="13.5" customHeight="1" x14ac:dyDescent="0.2">
      <c r="A842" s="665"/>
      <c r="B842" s="1180" t="s">
        <v>1796</v>
      </c>
      <c r="C842" s="715">
        <v>300000</v>
      </c>
      <c r="D842" s="715">
        <v>300000</v>
      </c>
      <c r="E842" s="650">
        <v>0</v>
      </c>
      <c r="F842" s="650"/>
      <c r="G842" s="643">
        <f t="shared" si="128"/>
        <v>0</v>
      </c>
      <c r="H842" s="659">
        <f t="shared" si="127"/>
        <v>0</v>
      </c>
      <c r="I842" s="664">
        <v>0</v>
      </c>
      <c r="J842" s="88">
        <v>0</v>
      </c>
    </row>
    <row r="843" spans="1:10" s="488" customFormat="1" ht="13.5" customHeight="1" x14ac:dyDescent="0.2">
      <c r="A843" s="639">
        <v>4351</v>
      </c>
      <c r="B843" s="1181" t="s">
        <v>1797</v>
      </c>
      <c r="C843" s="694">
        <v>15000</v>
      </c>
      <c r="D843" s="694">
        <v>15000</v>
      </c>
      <c r="E843" s="649">
        <v>-4738.21</v>
      </c>
      <c r="F843" s="650"/>
      <c r="G843" s="642">
        <f t="shared" si="128"/>
        <v>-31.588066666666663</v>
      </c>
      <c r="H843" s="644">
        <f t="shared" si="127"/>
        <v>-31.588066666666663</v>
      </c>
      <c r="I843" s="651">
        <f t="shared" si="125"/>
        <v>-47.189002601355256</v>
      </c>
      <c r="J843" s="88">
        <v>10040.92</v>
      </c>
    </row>
    <row r="844" spans="1:10" s="488" customFormat="1" ht="13.5" customHeight="1" x14ac:dyDescent="0.2">
      <c r="A844" s="639">
        <v>4374</v>
      </c>
      <c r="B844" s="1181" t="s">
        <v>1798</v>
      </c>
      <c r="C844" s="694">
        <f>SUM(C845:C846)</f>
        <v>940000</v>
      </c>
      <c r="D844" s="694">
        <f>SUM(D845:D846)</f>
        <v>940000</v>
      </c>
      <c r="E844" s="649">
        <v>61704.45</v>
      </c>
      <c r="F844" s="650">
        <f>SUM(E845:E846)</f>
        <v>61704.45</v>
      </c>
      <c r="G844" s="642">
        <f t="shared" si="128"/>
        <v>6.564303191489361</v>
      </c>
      <c r="H844" s="644">
        <f t="shared" si="127"/>
        <v>6.564303191489361</v>
      </c>
      <c r="I844" s="651">
        <f t="shared" ref="I844:I882" si="130">E844/J844*100</f>
        <v>23.757941058142425</v>
      </c>
      <c r="J844" s="88">
        <v>259721.37</v>
      </c>
    </row>
    <row r="845" spans="1:10" s="488" customFormat="1" ht="12.75" customHeight="1" x14ac:dyDescent="0.2">
      <c r="A845" s="665"/>
      <c r="B845" s="1180" t="s">
        <v>1799</v>
      </c>
      <c r="C845" s="687">
        <v>800000</v>
      </c>
      <c r="D845" s="687">
        <v>800000</v>
      </c>
      <c r="E845" s="650">
        <v>56440.45</v>
      </c>
      <c r="F845" s="650"/>
      <c r="G845" s="643">
        <f t="shared" si="128"/>
        <v>7.0550562499999998</v>
      </c>
      <c r="H845" s="659">
        <f t="shared" si="127"/>
        <v>7.0550562499999998</v>
      </c>
      <c r="I845" s="664">
        <f t="shared" si="130"/>
        <v>21.73115365901543</v>
      </c>
      <c r="J845" s="88">
        <v>259721.37</v>
      </c>
    </row>
    <row r="846" spans="1:10" ht="13.5" customHeight="1" x14ac:dyDescent="0.2">
      <c r="A846" s="639"/>
      <c r="B846" s="843" t="s">
        <v>1800</v>
      </c>
      <c r="C846" s="715">
        <v>140000</v>
      </c>
      <c r="D846" s="715">
        <v>140000</v>
      </c>
      <c r="E846" s="833">
        <v>5264</v>
      </c>
      <c r="F846" s="833"/>
      <c r="G846" s="643">
        <f t="shared" si="128"/>
        <v>3.7600000000000002</v>
      </c>
      <c r="H846" s="659">
        <f t="shared" si="127"/>
        <v>3.7600000000000002</v>
      </c>
      <c r="I846" s="664">
        <v>0</v>
      </c>
      <c r="J846" s="88">
        <v>0</v>
      </c>
    </row>
    <row r="847" spans="1:10" ht="13.5" customHeight="1" x14ac:dyDescent="0.2">
      <c r="A847" s="639">
        <v>6171</v>
      </c>
      <c r="B847" s="1182" t="s">
        <v>969</v>
      </c>
      <c r="C847" s="663">
        <f>SUM(C848:C852)</f>
        <v>1530000</v>
      </c>
      <c r="D847" s="663">
        <f>SUM(D848:D852)</f>
        <v>1530000</v>
      </c>
      <c r="E847" s="649">
        <v>162276</v>
      </c>
      <c r="F847" s="650">
        <f>SUM(E848:E852)</f>
        <v>162276</v>
      </c>
      <c r="G847" s="642">
        <f t="shared" si="128"/>
        <v>10.606274509803921</v>
      </c>
      <c r="H847" s="644">
        <f t="shared" si="127"/>
        <v>10.606274509803921</v>
      </c>
      <c r="I847" s="651">
        <f t="shared" si="130"/>
        <v>135.67887093133115</v>
      </c>
      <c r="J847" s="88">
        <v>119603</v>
      </c>
    </row>
    <row r="848" spans="1:10" s="488" customFormat="1" ht="12.75" customHeight="1" x14ac:dyDescent="0.2">
      <c r="A848" s="1183"/>
      <c r="B848" s="1171" t="s">
        <v>1801</v>
      </c>
      <c r="C848" s="1184">
        <v>300000</v>
      </c>
      <c r="D848" s="1184">
        <v>300000</v>
      </c>
      <c r="E848" s="650">
        <v>104196</v>
      </c>
      <c r="F848" s="650"/>
      <c r="G848" s="643">
        <f t="shared" si="128"/>
        <v>34.731999999999999</v>
      </c>
      <c r="H848" s="659">
        <f t="shared" si="127"/>
        <v>34.731999999999999</v>
      </c>
      <c r="I848" s="664">
        <f t="shared" si="130"/>
        <v>169.69479821504186</v>
      </c>
      <c r="J848" s="88">
        <v>61402</v>
      </c>
    </row>
    <row r="849" spans="1:250" s="488" customFormat="1" ht="13.5" customHeight="1" x14ac:dyDescent="0.2">
      <c r="A849" s="1185"/>
      <c r="B849" s="1186" t="s">
        <v>1802</v>
      </c>
      <c r="C849" s="715">
        <v>180000</v>
      </c>
      <c r="D849" s="715">
        <v>180000</v>
      </c>
      <c r="E849" s="650">
        <v>58080</v>
      </c>
      <c r="F849" s="650"/>
      <c r="G849" s="643">
        <f t="shared" si="128"/>
        <v>32.266666666666666</v>
      </c>
      <c r="H849" s="659">
        <f t="shared" si="127"/>
        <v>32.266666666666666</v>
      </c>
      <c r="I849" s="664">
        <f t="shared" si="130"/>
        <v>99.792099792099805</v>
      </c>
      <c r="J849" s="88">
        <v>58201</v>
      </c>
    </row>
    <row r="850" spans="1:250" s="488" customFormat="1" ht="13.5" customHeight="1" x14ac:dyDescent="0.2">
      <c r="A850" s="665"/>
      <c r="B850" s="843" t="s">
        <v>1803</v>
      </c>
      <c r="C850" s="715">
        <v>500000</v>
      </c>
      <c r="D850" s="715">
        <v>500000</v>
      </c>
      <c r="E850" s="650">
        <v>0</v>
      </c>
      <c r="F850" s="650"/>
      <c r="G850" s="643">
        <f t="shared" si="128"/>
        <v>0</v>
      </c>
      <c r="H850" s="659">
        <f t="shared" si="127"/>
        <v>0</v>
      </c>
      <c r="I850" s="664">
        <v>0</v>
      </c>
      <c r="J850" s="88">
        <v>0</v>
      </c>
    </row>
    <row r="851" spans="1:250" s="488" customFormat="1" ht="13.5" customHeight="1" x14ac:dyDescent="0.2">
      <c r="A851" s="1185"/>
      <c r="B851" s="1187" t="s">
        <v>1804</v>
      </c>
      <c r="C851" s="801">
        <v>300000</v>
      </c>
      <c r="D851" s="801">
        <v>300000</v>
      </c>
      <c r="E851" s="650">
        <v>0</v>
      </c>
      <c r="F851" s="650"/>
      <c r="G851" s="643">
        <f t="shared" si="128"/>
        <v>0</v>
      </c>
      <c r="H851" s="659">
        <f t="shared" si="127"/>
        <v>0</v>
      </c>
      <c r="I851" s="664">
        <v>0</v>
      </c>
      <c r="J851" s="88">
        <v>0</v>
      </c>
    </row>
    <row r="852" spans="1:250" s="488" customFormat="1" ht="13.5" customHeight="1" x14ac:dyDescent="0.2">
      <c r="A852" s="1188"/>
      <c r="B852" s="1189" t="s">
        <v>1805</v>
      </c>
      <c r="C852" s="718">
        <v>250000</v>
      </c>
      <c r="D852" s="718">
        <v>250000</v>
      </c>
      <c r="E852" s="833">
        <v>0</v>
      </c>
      <c r="F852" s="833"/>
      <c r="G852" s="643">
        <f t="shared" si="128"/>
        <v>0</v>
      </c>
      <c r="H852" s="659">
        <f t="shared" si="127"/>
        <v>0</v>
      </c>
      <c r="I852" s="664">
        <v>0</v>
      </c>
      <c r="J852" s="88">
        <v>0</v>
      </c>
    </row>
    <row r="853" spans="1:250" s="488" customFormat="1" ht="13.5" customHeight="1" x14ac:dyDescent="0.2">
      <c r="A853" s="1190"/>
      <c r="B853" s="1191"/>
      <c r="C853" s="1192"/>
      <c r="D853" s="1192"/>
      <c r="E853" s="1193"/>
      <c r="F853" s="1193"/>
      <c r="G853" s="1193"/>
      <c r="H853" s="1193"/>
      <c r="I853" s="1194"/>
      <c r="J853" s="604"/>
    </row>
    <row r="854" spans="1:250" s="545" customFormat="1" ht="20.25" x14ac:dyDescent="0.3">
      <c r="A854" s="909"/>
      <c r="B854" s="624" t="s">
        <v>52</v>
      </c>
      <c r="C854" s="1004">
        <f>SUM(C855+C859)</f>
        <v>350000</v>
      </c>
      <c r="D854" s="1004">
        <f>SUM(D855+D859)</f>
        <v>350000</v>
      </c>
      <c r="E854" s="1005">
        <v>18150</v>
      </c>
      <c r="F854" s="816">
        <f>SUM(E855,E859)</f>
        <v>18150</v>
      </c>
      <c r="G854" s="810">
        <f t="shared" si="128"/>
        <v>5.1857142857142859</v>
      </c>
      <c r="H854" s="810">
        <f t="shared" si="127"/>
        <v>5.1857142857142859</v>
      </c>
      <c r="I854" s="997">
        <f t="shared" si="130"/>
        <v>11.778066190785204</v>
      </c>
      <c r="J854" s="1195">
        <v>154100</v>
      </c>
      <c r="IJ854" s="98"/>
      <c r="IK854" s="98"/>
      <c r="IL854" s="98"/>
      <c r="IM854" s="98"/>
      <c r="IN854" s="98"/>
      <c r="IO854" s="98"/>
      <c r="IP854" s="98"/>
    </row>
    <row r="855" spans="1:250" s="545" customFormat="1" x14ac:dyDescent="0.2">
      <c r="A855" s="678">
        <v>2169</v>
      </c>
      <c r="B855" s="635" t="s">
        <v>1806</v>
      </c>
      <c r="C855" s="652">
        <f>SUM(C856:C858)</f>
        <v>250000</v>
      </c>
      <c r="D855" s="652">
        <f>SUM(D856:D858)</f>
        <v>205000</v>
      </c>
      <c r="E855" s="652">
        <v>0</v>
      </c>
      <c r="F855" s="653">
        <f>SUM(E856:E858)</f>
        <v>0</v>
      </c>
      <c r="G855" s="642">
        <f t="shared" si="128"/>
        <v>0</v>
      </c>
      <c r="H855" s="644">
        <f t="shared" si="127"/>
        <v>0</v>
      </c>
      <c r="I855" s="651">
        <v>0</v>
      </c>
      <c r="J855" s="1195">
        <v>21000</v>
      </c>
      <c r="IJ855" s="98"/>
      <c r="IK855" s="98"/>
      <c r="IL855" s="98"/>
      <c r="IM855" s="98"/>
      <c r="IN855" s="98"/>
      <c r="IO855" s="98"/>
      <c r="IP855" s="98"/>
    </row>
    <row r="856" spans="1:250" s="545" customFormat="1" x14ac:dyDescent="0.2">
      <c r="A856" s="678"/>
      <c r="B856" s="682" t="s">
        <v>976</v>
      </c>
      <c r="C856" s="653">
        <v>47000</v>
      </c>
      <c r="D856" s="653">
        <v>47000</v>
      </c>
      <c r="E856" s="653">
        <v>0</v>
      </c>
      <c r="F856" s="653"/>
      <c r="G856" s="643">
        <f t="shared" si="128"/>
        <v>0</v>
      </c>
      <c r="H856" s="659">
        <f t="shared" si="127"/>
        <v>0</v>
      </c>
      <c r="I856" s="664">
        <v>0</v>
      </c>
      <c r="J856" s="1195">
        <v>0</v>
      </c>
      <c r="IJ856" s="98"/>
      <c r="IK856" s="98"/>
      <c r="IL856" s="98"/>
      <c r="IM856" s="98"/>
      <c r="IN856" s="98"/>
      <c r="IO856" s="98"/>
      <c r="IP856" s="98"/>
    </row>
    <row r="857" spans="1:250" s="545" customFormat="1" x14ac:dyDescent="0.2">
      <c r="A857" s="678"/>
      <c r="B857" s="682" t="s">
        <v>977</v>
      </c>
      <c r="C857" s="653">
        <v>200000</v>
      </c>
      <c r="D857" s="653">
        <f>200000-45000</f>
        <v>155000</v>
      </c>
      <c r="E857" s="653">
        <v>0</v>
      </c>
      <c r="F857" s="653"/>
      <c r="G857" s="643">
        <f t="shared" si="128"/>
        <v>0</v>
      </c>
      <c r="H857" s="659">
        <f t="shared" si="127"/>
        <v>0</v>
      </c>
      <c r="I857" s="664">
        <v>0</v>
      </c>
      <c r="J857" s="1195">
        <v>21000</v>
      </c>
      <c r="IJ857" s="98"/>
      <c r="IK857" s="98"/>
      <c r="IL857" s="98"/>
      <c r="IM857" s="98"/>
      <c r="IN857" s="98"/>
      <c r="IO857" s="98"/>
      <c r="IP857" s="98"/>
    </row>
    <row r="858" spans="1:250" s="545" customFormat="1" x14ac:dyDescent="0.2">
      <c r="A858" s="678"/>
      <c r="B858" s="682" t="s">
        <v>978</v>
      </c>
      <c r="C858" s="653">
        <v>3000</v>
      </c>
      <c r="D858" s="653">
        <v>3000</v>
      </c>
      <c r="E858" s="653">
        <v>0</v>
      </c>
      <c r="F858" s="653"/>
      <c r="G858" s="643">
        <f t="shared" si="128"/>
        <v>0</v>
      </c>
      <c r="H858" s="659">
        <f t="shared" si="127"/>
        <v>0</v>
      </c>
      <c r="I858" s="664">
        <v>0</v>
      </c>
      <c r="J858" s="1195">
        <v>0</v>
      </c>
      <c r="IJ858" s="98"/>
      <c r="IK858" s="98"/>
      <c r="IL858" s="98"/>
      <c r="IM858" s="98"/>
      <c r="IN858" s="98"/>
      <c r="IO858" s="98"/>
      <c r="IP858" s="98"/>
    </row>
    <row r="859" spans="1:250" s="545" customFormat="1" x14ac:dyDescent="0.2">
      <c r="A859" s="683">
        <v>3635</v>
      </c>
      <c r="B859" s="640" t="s">
        <v>980</v>
      </c>
      <c r="C859" s="649">
        <f t="shared" ref="C859:D859" si="131">SUM(C860:C860)</f>
        <v>100000</v>
      </c>
      <c r="D859" s="649">
        <f t="shared" si="131"/>
        <v>145000</v>
      </c>
      <c r="E859" s="649">
        <v>18150</v>
      </c>
      <c r="F859" s="650"/>
      <c r="G859" s="642">
        <f t="shared" si="128"/>
        <v>18.149999999999999</v>
      </c>
      <c r="H859" s="644">
        <f t="shared" si="127"/>
        <v>12.517241379310345</v>
      </c>
      <c r="I859" s="651">
        <f t="shared" si="130"/>
        <v>13.636363636363635</v>
      </c>
      <c r="J859" s="1195">
        <v>133100</v>
      </c>
      <c r="IJ859" s="98"/>
      <c r="IK859" s="98"/>
      <c r="IL859" s="98"/>
      <c r="IM859" s="98"/>
      <c r="IN859" s="98"/>
      <c r="IO859" s="98"/>
      <c r="IP859" s="98"/>
    </row>
    <row r="860" spans="1:250" s="545" customFormat="1" x14ac:dyDescent="0.2">
      <c r="A860" s="684"/>
      <c r="B860" s="658" t="s">
        <v>1807</v>
      </c>
      <c r="C860" s="653">
        <v>100000</v>
      </c>
      <c r="D860" s="653">
        <f>100000+45000</f>
        <v>145000</v>
      </c>
      <c r="E860" s="653">
        <v>18150</v>
      </c>
      <c r="F860" s="653"/>
      <c r="G860" s="643">
        <f t="shared" si="128"/>
        <v>18.149999999999999</v>
      </c>
      <c r="H860" s="659">
        <f t="shared" si="127"/>
        <v>12.517241379310345</v>
      </c>
      <c r="I860" s="664">
        <f t="shared" si="130"/>
        <v>13.636363636363635</v>
      </c>
      <c r="J860" s="1195">
        <v>133100</v>
      </c>
      <c r="IJ860" s="98"/>
      <c r="IK860" s="98"/>
      <c r="IL860" s="98"/>
      <c r="IM860" s="98"/>
      <c r="IN860" s="98"/>
      <c r="IO860" s="98"/>
      <c r="IP860" s="98"/>
    </row>
    <row r="861" spans="1:250" s="550" customFormat="1" x14ac:dyDescent="0.2">
      <c r="A861" s="1090"/>
      <c r="B861" s="1021"/>
      <c r="C861" s="872"/>
      <c r="D861" s="872"/>
      <c r="E861" s="872"/>
      <c r="F861" s="872"/>
      <c r="G861" s="872"/>
      <c r="H861" s="872"/>
      <c r="I861" s="1196"/>
      <c r="J861" s="1195"/>
      <c r="IJ861" s="1"/>
      <c r="IK861" s="1"/>
      <c r="IL861" s="1"/>
      <c r="IM861" s="1"/>
      <c r="IN861" s="1"/>
      <c r="IO861" s="1"/>
      <c r="IP861" s="1"/>
    </row>
    <row r="862" spans="1:250" s="244" customFormat="1" ht="20.25" x14ac:dyDescent="0.3">
      <c r="A862" s="981"/>
      <c r="B862" s="1197" t="s">
        <v>54</v>
      </c>
      <c r="C862" s="752">
        <f>SUM(C863:C864,C866:C870,C873,C877)</f>
        <v>36990000</v>
      </c>
      <c r="D862" s="752">
        <f>SUM(D863:D864,D866:D870,D873,D877)</f>
        <v>81810309.319999993</v>
      </c>
      <c r="E862" s="1019">
        <v>50399587.770000003</v>
      </c>
      <c r="F862" s="963">
        <f>SUM(E863:E864,E866:E870,E873,E877)</f>
        <v>50399587.769999996</v>
      </c>
      <c r="G862" s="810">
        <f t="shared" si="128"/>
        <v>136.25192692619629</v>
      </c>
      <c r="H862" s="810">
        <f t="shared" si="127"/>
        <v>61.605423801617285</v>
      </c>
      <c r="I862" s="997">
        <f t="shared" si="130"/>
        <v>114.03636222103411</v>
      </c>
      <c r="J862" s="29">
        <v>44196067.630000003</v>
      </c>
    </row>
    <row r="863" spans="1:250" s="553" customFormat="1" ht="13.5" customHeight="1" x14ac:dyDescent="0.2">
      <c r="A863" s="1198">
        <v>2223</v>
      </c>
      <c r="B863" s="999" t="s">
        <v>1808</v>
      </c>
      <c r="C863" s="679">
        <v>0</v>
      </c>
      <c r="D863" s="679">
        <v>0</v>
      </c>
      <c r="E863" s="652">
        <v>1000</v>
      </c>
      <c r="F863" s="653"/>
      <c r="G863" s="642">
        <v>0</v>
      </c>
      <c r="H863" s="644">
        <v>0</v>
      </c>
      <c r="I863" s="651">
        <v>0</v>
      </c>
      <c r="J863" s="654">
        <v>0</v>
      </c>
    </row>
    <row r="864" spans="1:250" s="98" customFormat="1" ht="13.5" customHeight="1" x14ac:dyDescent="0.2">
      <c r="A864" s="639">
        <v>3113</v>
      </c>
      <c r="B864" s="640" t="s">
        <v>1809</v>
      </c>
      <c r="C864" s="652">
        <f>C865</f>
        <v>0</v>
      </c>
      <c r="D864" s="652">
        <f>D865</f>
        <v>770594.41</v>
      </c>
      <c r="E864" s="652">
        <v>770594.41</v>
      </c>
      <c r="F864" s="653"/>
      <c r="G864" s="642">
        <v>0</v>
      </c>
      <c r="H864" s="644">
        <f t="shared" si="127"/>
        <v>100</v>
      </c>
      <c r="I864" s="651">
        <f t="shared" si="130"/>
        <v>89.777373798671363</v>
      </c>
      <c r="J864" s="29">
        <v>858339.22</v>
      </c>
    </row>
    <row r="865" spans="1:10" s="98" customFormat="1" ht="24.75" x14ac:dyDescent="0.2">
      <c r="A865" s="683"/>
      <c r="B865" s="1199" t="s">
        <v>1810</v>
      </c>
      <c r="C865" s="653">
        <v>0</v>
      </c>
      <c r="D865" s="653">
        <f>(237967.57+45260.34+71092.03+416274.47)</f>
        <v>770594.41</v>
      </c>
      <c r="E865" s="653">
        <v>770594.41</v>
      </c>
      <c r="F865" s="653"/>
      <c r="G865" s="643">
        <v>0</v>
      </c>
      <c r="H865" s="659">
        <f t="shared" si="127"/>
        <v>100</v>
      </c>
      <c r="I865" s="664">
        <f t="shared" si="130"/>
        <v>89.777373798671363</v>
      </c>
      <c r="J865" s="654">
        <v>858339.22</v>
      </c>
    </row>
    <row r="866" spans="1:10" s="98" customFormat="1" ht="13.5" customHeight="1" x14ac:dyDescent="0.2">
      <c r="A866" s="683">
        <v>3612</v>
      </c>
      <c r="B866" s="869" t="s">
        <v>1811</v>
      </c>
      <c r="C866" s="652">
        <v>800000</v>
      </c>
      <c r="D866" s="652">
        <v>800000</v>
      </c>
      <c r="E866" s="652">
        <v>413544.73</v>
      </c>
      <c r="F866" s="653"/>
      <c r="G866" s="642">
        <f t="shared" si="128"/>
        <v>51.693091250000002</v>
      </c>
      <c r="H866" s="644">
        <f t="shared" si="127"/>
        <v>51.693091250000002</v>
      </c>
      <c r="I866" s="651">
        <f t="shared" si="130"/>
        <v>93.114779619242043</v>
      </c>
      <c r="J866" s="29">
        <v>444123.62</v>
      </c>
    </row>
    <row r="867" spans="1:10" s="553" customFormat="1" ht="13.5" customHeight="1" x14ac:dyDescent="0.2">
      <c r="A867" s="1200" t="s">
        <v>1812</v>
      </c>
      <c r="B867" s="635" t="s">
        <v>1813</v>
      </c>
      <c r="C867" s="652">
        <v>250000</v>
      </c>
      <c r="D867" s="652">
        <v>250000</v>
      </c>
      <c r="E867" s="652">
        <v>93764</v>
      </c>
      <c r="F867" s="653"/>
      <c r="G867" s="642">
        <f t="shared" si="128"/>
        <v>37.505600000000001</v>
      </c>
      <c r="H867" s="644">
        <f t="shared" si="127"/>
        <v>37.505600000000001</v>
      </c>
      <c r="I867" s="651">
        <f t="shared" si="130"/>
        <v>313.12072132242446</v>
      </c>
      <c r="J867" s="654">
        <v>29945</v>
      </c>
    </row>
    <row r="868" spans="1:10" ht="25.5" x14ac:dyDescent="0.2">
      <c r="A868" s="683">
        <v>6171</v>
      </c>
      <c r="B868" s="1201" t="s">
        <v>1814</v>
      </c>
      <c r="C868" s="652">
        <v>100000</v>
      </c>
      <c r="D868" s="652">
        <v>100000</v>
      </c>
      <c r="E868" s="652">
        <v>25810</v>
      </c>
      <c r="F868" s="653"/>
      <c r="G868" s="642">
        <f t="shared" si="128"/>
        <v>25.81</v>
      </c>
      <c r="H868" s="644">
        <f t="shared" si="127"/>
        <v>25.81</v>
      </c>
      <c r="I868" s="651">
        <f t="shared" si="130"/>
        <v>86.191350809818005</v>
      </c>
      <c r="J868" s="654">
        <v>29945</v>
      </c>
    </row>
    <row r="869" spans="1:10" ht="13.5" customHeight="1" x14ac:dyDescent="0.2">
      <c r="A869" s="683">
        <v>6310</v>
      </c>
      <c r="B869" s="640" t="s">
        <v>1815</v>
      </c>
      <c r="C869" s="652">
        <v>400000</v>
      </c>
      <c r="D869" s="652">
        <v>400000</v>
      </c>
      <c r="E869" s="649">
        <v>287576.08</v>
      </c>
      <c r="F869" s="650"/>
      <c r="G869" s="642">
        <f t="shared" si="128"/>
        <v>71.894019999999998</v>
      </c>
      <c r="H869" s="644">
        <f t="shared" si="127"/>
        <v>71.894019999999998</v>
      </c>
      <c r="I869" s="651">
        <f t="shared" si="130"/>
        <v>114.21682897780583</v>
      </c>
      <c r="J869" s="29">
        <v>251780.83</v>
      </c>
    </row>
    <row r="870" spans="1:10" ht="13.5" customHeight="1" x14ac:dyDescent="0.2">
      <c r="A870" s="683">
        <v>6399</v>
      </c>
      <c r="B870" s="640" t="s">
        <v>999</v>
      </c>
      <c r="C870" s="649">
        <f t="shared" ref="C870:D870" si="132">SUM(C871:C872)</f>
        <v>32000000</v>
      </c>
      <c r="D870" s="649">
        <f t="shared" si="132"/>
        <v>48435050</v>
      </c>
      <c r="E870" s="1202">
        <v>48300563</v>
      </c>
      <c r="F870" s="1145">
        <f>SUM(E871:E872)</f>
        <v>48300563</v>
      </c>
      <c r="G870" s="642">
        <f t="shared" si="128"/>
        <v>150.93925937499998</v>
      </c>
      <c r="H870" s="644">
        <f t="shared" si="127"/>
        <v>99.722335374898961</v>
      </c>
      <c r="I870" s="651">
        <f t="shared" si="130"/>
        <v>150.80050876938446</v>
      </c>
      <c r="J870" s="29">
        <v>32029443</v>
      </c>
    </row>
    <row r="871" spans="1:10" ht="13.5" customHeight="1" x14ac:dyDescent="0.2">
      <c r="A871" s="684"/>
      <c r="B871" s="658" t="s">
        <v>1816</v>
      </c>
      <c r="C871" s="1145">
        <v>30000000</v>
      </c>
      <c r="D871" s="1145">
        <f>30000000+16435050</f>
        <v>46435050</v>
      </c>
      <c r="E871" s="653">
        <v>46435050</v>
      </c>
      <c r="F871" s="653"/>
      <c r="G871" s="643">
        <f t="shared" si="128"/>
        <v>154.7835</v>
      </c>
      <c r="H871" s="659">
        <f t="shared" si="127"/>
        <v>100</v>
      </c>
      <c r="I871" s="664">
        <f t="shared" si="130"/>
        <v>155.04345619488674</v>
      </c>
      <c r="J871" s="29">
        <v>29949700</v>
      </c>
    </row>
    <row r="872" spans="1:10" ht="13.5" customHeight="1" x14ac:dyDescent="0.2">
      <c r="A872" s="684"/>
      <c r="B872" s="658" t="s">
        <v>1817</v>
      </c>
      <c r="C872" s="653">
        <v>2000000</v>
      </c>
      <c r="D872" s="653">
        <v>2000000</v>
      </c>
      <c r="E872" s="650">
        <v>1865513</v>
      </c>
      <c r="F872" s="650"/>
      <c r="G872" s="643">
        <f t="shared" si="128"/>
        <v>93.275649999999999</v>
      </c>
      <c r="H872" s="659">
        <f t="shared" si="127"/>
        <v>93.275649999999999</v>
      </c>
      <c r="I872" s="664">
        <f t="shared" si="130"/>
        <v>89.699208027145659</v>
      </c>
      <c r="J872" s="29">
        <v>2079743</v>
      </c>
    </row>
    <row r="873" spans="1:10" s="98" customFormat="1" ht="13.5" customHeight="1" x14ac:dyDescent="0.2">
      <c r="A873" s="683">
        <v>6402</v>
      </c>
      <c r="B873" s="640" t="s">
        <v>1818</v>
      </c>
      <c r="C873" s="649">
        <f>SUM(C874:C876)</f>
        <v>0</v>
      </c>
      <c r="D873" s="649">
        <f>SUM(D874:D876)</f>
        <v>109928</v>
      </c>
      <c r="E873" s="652">
        <v>109928</v>
      </c>
      <c r="F873" s="653">
        <f>SUM(E874:E876)</f>
        <v>109928</v>
      </c>
      <c r="G873" s="642">
        <v>0</v>
      </c>
      <c r="H873" s="644">
        <f t="shared" si="127"/>
        <v>100</v>
      </c>
      <c r="I873" s="651">
        <f t="shared" si="130"/>
        <v>5.0229303019072269</v>
      </c>
      <c r="J873" s="29">
        <v>2188523.2999999998</v>
      </c>
    </row>
    <row r="874" spans="1:10" s="2" customFormat="1" ht="13.5" customHeight="1" x14ac:dyDescent="0.2">
      <c r="A874" s="868"/>
      <c r="B874" s="869" t="s">
        <v>1819</v>
      </c>
      <c r="C874" s="653">
        <v>0</v>
      </c>
      <c r="D874" s="653">
        <f>(5068.4+45615.6)</f>
        <v>50684</v>
      </c>
      <c r="E874" s="653">
        <v>50684</v>
      </c>
      <c r="F874" s="653"/>
      <c r="G874" s="643">
        <v>0</v>
      </c>
      <c r="H874" s="659">
        <f t="shared" si="127"/>
        <v>100</v>
      </c>
      <c r="I874" s="664">
        <v>0</v>
      </c>
      <c r="J874" s="88">
        <v>0</v>
      </c>
    </row>
    <row r="875" spans="1:10" s="2" customFormat="1" ht="13.5" customHeight="1" x14ac:dyDescent="0.2">
      <c r="A875" s="868"/>
      <c r="B875" s="869" t="s">
        <v>1820</v>
      </c>
      <c r="C875" s="653">
        <v>0</v>
      </c>
      <c r="D875" s="653">
        <f>(4089+36801)</f>
        <v>40890</v>
      </c>
      <c r="E875" s="653">
        <v>40890</v>
      </c>
      <c r="F875" s="653"/>
      <c r="G875" s="643">
        <v>0</v>
      </c>
      <c r="H875" s="659">
        <f t="shared" si="127"/>
        <v>100</v>
      </c>
      <c r="I875" s="664">
        <v>0</v>
      </c>
      <c r="J875" s="88">
        <v>0</v>
      </c>
    </row>
    <row r="876" spans="1:10" s="2" customFormat="1" ht="13.5" customHeight="1" x14ac:dyDescent="0.2">
      <c r="A876" s="868"/>
      <c r="B876" s="869" t="s">
        <v>1821</v>
      </c>
      <c r="C876" s="653">
        <v>0</v>
      </c>
      <c r="D876" s="653">
        <f>(1835.4+16518.6)</f>
        <v>18354</v>
      </c>
      <c r="E876" s="653">
        <v>18354</v>
      </c>
      <c r="F876" s="653"/>
      <c r="G876" s="643">
        <v>0</v>
      </c>
      <c r="H876" s="659">
        <f t="shared" si="127"/>
        <v>100</v>
      </c>
      <c r="I876" s="664">
        <v>0</v>
      </c>
      <c r="J876" s="88">
        <v>0</v>
      </c>
    </row>
    <row r="877" spans="1:10" s="244" customFormat="1" ht="13.5" customHeight="1" x14ac:dyDescent="0.25">
      <c r="A877" s="683">
        <v>6409</v>
      </c>
      <c r="B877" s="640" t="s">
        <v>1008</v>
      </c>
      <c r="C877" s="649">
        <f t="shared" ref="C877:D877" si="133">SUM(C878:C880)</f>
        <v>3440000</v>
      </c>
      <c r="D877" s="649">
        <f t="shared" si="133"/>
        <v>30944736.91</v>
      </c>
      <c r="E877" s="899">
        <v>396807.55</v>
      </c>
      <c r="F877" s="722">
        <f>SUM(E878:E880)</f>
        <v>396807.55</v>
      </c>
      <c r="G877" s="642">
        <f t="shared" si="128"/>
        <v>11.535103197674418</v>
      </c>
      <c r="H877" s="644">
        <f t="shared" ref="H877:H882" si="134">E877/D877*100</f>
        <v>1.2823103041854234</v>
      </c>
      <c r="I877" s="651">
        <f t="shared" si="130"/>
        <v>78.213939437780994</v>
      </c>
      <c r="J877" s="29">
        <v>507336.1</v>
      </c>
    </row>
    <row r="878" spans="1:10" s="98" customFormat="1" ht="13.5" customHeight="1" x14ac:dyDescent="0.2">
      <c r="A878" s="1203"/>
      <c r="B878" s="1204" t="s">
        <v>1822</v>
      </c>
      <c r="C878" s="837">
        <f>3000000+361000-361000</f>
        <v>3000000</v>
      </c>
      <c r="D878" s="837">
        <f>(3000000+361000-361000)-10000-15000-272932-3337434-192228+192228+319987.99-90488+289333-266805-96558+400000-348800+3226272.84-70000-59000+5514060+1548+5904137.5+1844214.7+1284-231352.61+21989-80000-134310+8862-313948-10000-150000+(-36900-30000)-5000-40000+(-1002336.01+943202.2)+16164266.27+13443.03-150000-250000-147000-75000</f>
        <v>30429736.91</v>
      </c>
      <c r="E878" s="722">
        <v>0</v>
      </c>
      <c r="F878" s="722"/>
      <c r="G878" s="643">
        <f t="shared" si="128"/>
        <v>0</v>
      </c>
      <c r="H878" s="659">
        <f t="shared" si="134"/>
        <v>0</v>
      </c>
      <c r="I878" s="664">
        <v>0</v>
      </c>
      <c r="J878" s="29">
        <v>0</v>
      </c>
    </row>
    <row r="879" spans="1:10" s="98" customFormat="1" ht="38.25" x14ac:dyDescent="0.2">
      <c r="A879" s="706"/>
      <c r="B879" s="971" t="s">
        <v>1823</v>
      </c>
      <c r="C879" s="722">
        <v>440000</v>
      </c>
      <c r="D879" s="722">
        <f>440000+75000</f>
        <v>515000</v>
      </c>
      <c r="E879" s="722">
        <v>470532.55</v>
      </c>
      <c r="F879" s="722"/>
      <c r="G879" s="643">
        <f t="shared" si="128"/>
        <v>106.9392159090909</v>
      </c>
      <c r="H879" s="659">
        <f t="shared" si="134"/>
        <v>91.36554368932039</v>
      </c>
      <c r="I879" s="664">
        <v>0</v>
      </c>
      <c r="J879" s="654">
        <v>425355.12</v>
      </c>
    </row>
    <row r="880" spans="1:10" s="98" customFormat="1" ht="13.5" customHeight="1" x14ac:dyDescent="0.2">
      <c r="A880" s="1205"/>
      <c r="B880" s="1206" t="s">
        <v>1824</v>
      </c>
      <c r="C880" s="837">
        <v>0</v>
      </c>
      <c r="D880" s="837">
        <v>0</v>
      </c>
      <c r="E880" s="722">
        <v>-73725</v>
      </c>
      <c r="F880" s="722"/>
      <c r="G880" s="643">
        <v>0</v>
      </c>
      <c r="H880" s="659">
        <v>0</v>
      </c>
      <c r="I880" s="664">
        <v>0</v>
      </c>
      <c r="J880" s="29">
        <v>-4835</v>
      </c>
    </row>
    <row r="881" spans="1:10" s="98" customFormat="1" ht="13.5" customHeight="1" x14ac:dyDescent="0.2">
      <c r="A881" s="1207"/>
      <c r="B881" s="1208"/>
      <c r="C881" s="725"/>
      <c r="D881" s="725"/>
      <c r="E881" s="671"/>
      <c r="F881" s="671"/>
      <c r="G881" s="671"/>
      <c r="H881" s="671"/>
      <c r="I881" s="1193"/>
      <c r="J881" s="29"/>
    </row>
    <row r="882" spans="1:10" s="98" customFormat="1" ht="26.25" x14ac:dyDescent="0.35">
      <c r="A882" s="619"/>
      <c r="B882" s="1209" t="s">
        <v>55</v>
      </c>
      <c r="C882" s="1097">
        <f>SUM(C245+C350+C542+C545+C551+C560+C564+C568+C653+C657+C674+C683+C714+C721+C745+C854+C862)</f>
        <v>1012540563</v>
      </c>
      <c r="D882" s="1097">
        <f>SUM(D245+D350+D542+D545+D551+D560+D564+D568+D653+D657+D674+D683+D714+D721+D745+D854+D862)</f>
        <v>1085138478.02</v>
      </c>
      <c r="E882" s="1097">
        <v>399038392.61000001</v>
      </c>
      <c r="F882" s="1098"/>
      <c r="G882" s="1210">
        <f t="shared" si="128"/>
        <v>39.409620433151971</v>
      </c>
      <c r="H882" s="1210">
        <f t="shared" si="134"/>
        <v>36.773038712819975</v>
      </c>
      <c r="I882" s="1211">
        <f t="shared" si="130"/>
        <v>106.01051353184567</v>
      </c>
      <c r="J882" s="654">
        <v>376413979.44</v>
      </c>
    </row>
    <row r="883" spans="1:10" ht="12.75" customHeight="1" x14ac:dyDescent="0.2">
      <c r="B883" s="1212"/>
      <c r="J883" s="29"/>
    </row>
    <row r="884" spans="1:10" ht="12.75" customHeight="1" x14ac:dyDescent="0.35">
      <c r="B884" s="1213"/>
      <c r="J884" s="29"/>
    </row>
    <row r="885" spans="1:10" s="98" customFormat="1" ht="12.75" customHeight="1" x14ac:dyDescent="0.35">
      <c r="A885" s="1"/>
      <c r="B885" s="1213"/>
      <c r="C885" s="29">
        <f t="shared" ref="C885:I885" si="135">C9-C882</f>
        <v>2.5000572204589844E-3</v>
      </c>
      <c r="D885" s="29">
        <f t="shared" si="135"/>
        <v>2.5000572204589844E-3</v>
      </c>
      <c r="E885" s="29">
        <f t="shared" si="135"/>
        <v>0</v>
      </c>
      <c r="F885" s="29">
        <f t="shared" si="135"/>
        <v>0</v>
      </c>
      <c r="G885" s="29">
        <f t="shared" si="135"/>
        <v>-9.730882766234572E-11</v>
      </c>
      <c r="H885" s="29">
        <f t="shared" si="135"/>
        <v>-8.4725115812034346E-11</v>
      </c>
      <c r="I885" s="29">
        <f t="shared" si="135"/>
        <v>0</v>
      </c>
      <c r="J885" s="29"/>
    </row>
    <row r="886" spans="1:10" s="98" customFormat="1" x14ac:dyDescent="0.2">
      <c r="A886" s="1"/>
      <c r="B886" s="564"/>
      <c r="C886" s="1"/>
      <c r="D886" s="1"/>
      <c r="E886" s="1"/>
      <c r="F886" s="1"/>
      <c r="G886" s="1"/>
      <c r="H886" s="1"/>
      <c r="J886" s="1"/>
    </row>
  </sheetData>
  <sheetProtection selectLockedCells="1" selectUnlockedCells="1"/>
  <printOptions horizontalCentered="1"/>
  <pageMargins left="3.937007874015748E-2" right="3.937007874015748E-2" top="0.55118110236220474" bottom="0.55118110236220474" header="0.31496062992125984" footer="0.31496062992125984"/>
  <pageSetup paperSize="9" scale="65" firstPageNumber="0" fitToHeight="0" orientation="landscape"/>
  <headerFooter>
    <oddFooter>&amp;C&amp;P</oddFooter>
  </headerFooter>
  <rowBreaks count="2" manualBreakCount="2">
    <brk id="30" max="16383" man="1"/>
    <brk id="243" max="16383" man="1"/>
  </rowBreaks>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2"/>
  </sheetPr>
  <dimension ref="A1:BHH918"/>
  <sheetViews>
    <sheetView tabSelected="1" workbookViewId="0">
      <selection activeCell="J1" sqref="J1:J1048576"/>
    </sheetView>
  </sheetViews>
  <sheetFormatPr defaultColWidth="9.5703125" defaultRowHeight="12.75" x14ac:dyDescent="0.2"/>
  <cols>
    <col min="1" max="1" width="11.85546875" style="1" customWidth="1"/>
    <col min="2" max="2" width="91.85546875" style="1" customWidth="1"/>
    <col min="3" max="4" width="26.85546875" style="1" customWidth="1"/>
    <col min="5" max="5" width="26.7109375" style="1" customWidth="1"/>
    <col min="6" max="6" width="22" style="1" hidden="1" customWidth="1"/>
    <col min="7" max="8" width="10.5703125" style="1" customWidth="1"/>
    <col min="9" max="9" width="12.140625" style="1" customWidth="1"/>
    <col min="10" max="10" width="19.140625" style="1" hidden="1" customWidth="1"/>
    <col min="11" max="16384" width="9.5703125" style="1"/>
  </cols>
  <sheetData>
    <row r="1" spans="1:10" ht="49.5" customHeight="1" x14ac:dyDescent="0.2">
      <c r="A1" s="565" t="s">
        <v>1011</v>
      </c>
      <c r="B1" s="566" t="s">
        <v>1827</v>
      </c>
      <c r="C1" s="567" t="s">
        <v>1828</v>
      </c>
      <c r="D1" s="567" t="s">
        <v>1829</v>
      </c>
      <c r="E1" s="568" t="s">
        <v>1830</v>
      </c>
      <c r="F1" s="569" t="s">
        <v>1016</v>
      </c>
      <c r="G1" s="568" t="s">
        <v>1017</v>
      </c>
      <c r="H1" s="568" t="s">
        <v>1018</v>
      </c>
      <c r="I1" s="568" t="s">
        <v>1019</v>
      </c>
      <c r="J1" s="570" t="s">
        <v>1831</v>
      </c>
    </row>
    <row r="2" spans="1:10" ht="22.5" customHeight="1" x14ac:dyDescent="0.3">
      <c r="A2" s="571"/>
      <c r="B2" s="572" t="s">
        <v>56</v>
      </c>
      <c r="C2" s="573"/>
      <c r="D2" s="573"/>
      <c r="E2" s="574"/>
      <c r="F2" s="575"/>
      <c r="G2" s="576"/>
      <c r="H2" s="577"/>
      <c r="I2" s="578"/>
    </row>
    <row r="3" spans="1:10" s="98" customFormat="1" ht="22.5" customHeight="1" x14ac:dyDescent="0.25">
      <c r="A3" s="579"/>
      <c r="B3" s="580" t="s">
        <v>57</v>
      </c>
      <c r="C3" s="581">
        <f>C32</f>
        <v>545682000</v>
      </c>
      <c r="D3" s="581">
        <f>D32</f>
        <v>570013372.64999998</v>
      </c>
      <c r="E3" s="581">
        <f t="shared" ref="E3:I3" si="0">E32</f>
        <v>563957194.54999995</v>
      </c>
      <c r="F3" s="581"/>
      <c r="G3" s="581">
        <f t="shared" si="0"/>
        <v>103.34905577790727</v>
      </c>
      <c r="H3" s="581">
        <f t="shared" si="0"/>
        <v>98.93753754024317</v>
      </c>
      <c r="I3" s="581">
        <f t="shared" si="0"/>
        <v>102.08901261612193</v>
      </c>
      <c r="J3" s="1"/>
    </row>
    <row r="4" spans="1:10" s="98" customFormat="1" ht="22.5" customHeight="1" x14ac:dyDescent="0.25">
      <c r="A4" s="582"/>
      <c r="B4" s="579" t="s">
        <v>10</v>
      </c>
      <c r="C4" s="583">
        <f>C66</f>
        <v>163957324.72000003</v>
      </c>
      <c r="D4" s="583">
        <f>D66</f>
        <v>182538913.91000003</v>
      </c>
      <c r="E4" s="583">
        <f t="shared" ref="E4:I4" si="1">E66</f>
        <v>290543202.69</v>
      </c>
      <c r="F4" s="583"/>
      <c r="G4" s="583">
        <f t="shared" si="1"/>
        <v>177.2066012824852</v>
      </c>
      <c r="H4" s="583">
        <f t="shared" si="1"/>
        <v>159.16781603798245</v>
      </c>
      <c r="I4" s="583">
        <f t="shared" si="1"/>
        <v>174.0097685415131</v>
      </c>
      <c r="J4" s="1"/>
    </row>
    <row r="5" spans="1:10" s="98" customFormat="1" ht="22.5" customHeight="1" x14ac:dyDescent="0.25">
      <c r="A5" s="584"/>
      <c r="B5" s="579" t="s">
        <v>11</v>
      </c>
      <c r="C5" s="583">
        <f>C171</f>
        <v>72976820.010000005</v>
      </c>
      <c r="D5" s="583">
        <f>D171</f>
        <v>112782862</v>
      </c>
      <c r="E5" s="583">
        <f t="shared" ref="E5:I5" si="2">E171</f>
        <v>109636687.27</v>
      </c>
      <c r="F5" s="583"/>
      <c r="G5" s="583">
        <f t="shared" si="2"/>
        <v>150.23494755591776</v>
      </c>
      <c r="H5" s="583">
        <f t="shared" si="2"/>
        <v>97.210414176224745</v>
      </c>
      <c r="I5" s="583">
        <f t="shared" si="2"/>
        <v>158.35803476276214</v>
      </c>
      <c r="J5" s="1"/>
    </row>
    <row r="6" spans="1:10" s="98" customFormat="1" ht="22.5" customHeight="1" x14ac:dyDescent="0.25">
      <c r="A6" s="584"/>
      <c r="B6" s="579" t="s">
        <v>196</v>
      </c>
      <c r="C6" s="585">
        <f>C192</f>
        <v>56420206.439999998</v>
      </c>
      <c r="D6" s="585">
        <f>D192</f>
        <v>115276937.27999999</v>
      </c>
      <c r="E6" s="585">
        <f t="shared" ref="E6:I6" si="3">E192</f>
        <v>116246413.66</v>
      </c>
      <c r="F6" s="585"/>
      <c r="G6" s="585">
        <f t="shared" si="3"/>
        <v>206.03684565320069</v>
      </c>
      <c r="H6" s="585">
        <f t="shared" si="3"/>
        <v>100.84099769032311</v>
      </c>
      <c r="I6" s="585">
        <f t="shared" si="3"/>
        <v>109.58347459346085</v>
      </c>
      <c r="J6" s="1"/>
    </row>
    <row r="7" spans="1:10" s="98" customFormat="1" ht="22.5" customHeight="1" x14ac:dyDescent="0.3">
      <c r="A7" s="586"/>
      <c r="B7" s="587" t="s">
        <v>13</v>
      </c>
      <c r="C7" s="588">
        <f>C252</f>
        <v>839036351.17000008</v>
      </c>
      <c r="D7" s="588">
        <f>D252</f>
        <v>980612085.83999991</v>
      </c>
      <c r="E7" s="588">
        <f t="shared" ref="E7:I7" si="4">E252</f>
        <v>1080383498.1700001</v>
      </c>
      <c r="F7" s="588"/>
      <c r="G7" s="588">
        <f t="shared" si="4"/>
        <v>128.76480222381923</v>
      </c>
      <c r="H7" s="588">
        <f t="shared" si="4"/>
        <v>110.17440165899394</v>
      </c>
      <c r="I7" s="588">
        <f t="shared" si="4"/>
        <v>120.75318668290127</v>
      </c>
      <c r="J7" s="1"/>
    </row>
    <row r="8" spans="1:10" s="98" customFormat="1" ht="22.5" customHeight="1" x14ac:dyDescent="0.25">
      <c r="A8" s="589"/>
      <c r="B8" s="590" t="s">
        <v>14</v>
      </c>
      <c r="C8" s="591">
        <f>C254</f>
        <v>173504211.83249995</v>
      </c>
      <c r="D8" s="591">
        <f>D254</f>
        <v>173504211.83249995</v>
      </c>
      <c r="E8" s="591">
        <f t="shared" ref="E8:I8" si="5">E254</f>
        <v>-183913713.15000001</v>
      </c>
      <c r="F8" s="591"/>
      <c r="G8" s="591">
        <f t="shared" si="5"/>
        <v>-105.99956693129118</v>
      </c>
      <c r="H8" s="591">
        <f t="shared" si="5"/>
        <v>-105.99956693129118</v>
      </c>
      <c r="I8" s="591">
        <f t="shared" si="5"/>
        <v>436.18085924761721</v>
      </c>
      <c r="J8" s="1"/>
    </row>
    <row r="9" spans="1:10" s="85" customFormat="1" ht="24" customHeight="1" x14ac:dyDescent="0.4">
      <c r="A9" s="592"/>
      <c r="B9" s="593" t="s">
        <v>15</v>
      </c>
      <c r="C9" s="594">
        <f>C262</f>
        <v>1012540563.0025001</v>
      </c>
      <c r="D9" s="594">
        <f>D262</f>
        <v>1154116297.6724999</v>
      </c>
      <c r="E9" s="594">
        <f t="shared" ref="E9:I9" si="6">E262</f>
        <v>896469785.01999998</v>
      </c>
      <c r="F9" s="594"/>
      <c r="G9" s="594">
        <f t="shared" si="6"/>
        <v>88.536678704671957</v>
      </c>
      <c r="H9" s="594">
        <f t="shared" si="6"/>
        <v>77.67586220105423</v>
      </c>
      <c r="I9" s="594">
        <f t="shared" si="6"/>
        <v>105.1528900163337</v>
      </c>
    </row>
    <row r="10" spans="1:10" s="98" customFormat="1" ht="22.5" customHeight="1" x14ac:dyDescent="0.3">
      <c r="A10" s="595"/>
      <c r="B10" s="572" t="s">
        <v>257</v>
      </c>
      <c r="C10" s="596"/>
      <c r="D10" s="596"/>
      <c r="E10" s="597"/>
      <c r="F10" s="597"/>
      <c r="G10" s="598"/>
      <c r="H10" s="598"/>
      <c r="I10" s="598"/>
      <c r="J10" s="1"/>
    </row>
    <row r="11" spans="1:10" s="599" customFormat="1" ht="22.5" customHeight="1" x14ac:dyDescent="0.2">
      <c r="A11" s="600"/>
      <c r="B11" s="601" t="s">
        <v>17</v>
      </c>
      <c r="C11" s="602">
        <f>C30-C12</f>
        <v>732444521</v>
      </c>
      <c r="D11" s="602">
        <f>D30-D12</f>
        <v>892775408.61000013</v>
      </c>
      <c r="E11" s="1219">
        <f>E30-E12</f>
        <v>701350503.18999994</v>
      </c>
      <c r="F11" s="603"/>
      <c r="G11" s="603">
        <f t="shared" ref="G11:G12" si="7">E11/C11*100</f>
        <v>95.754761361645834</v>
      </c>
      <c r="H11" s="603">
        <f t="shared" ref="H11:H12" si="8">E11/D11*100</f>
        <v>78.558447782736565</v>
      </c>
      <c r="I11" s="603">
        <f t="shared" ref="I11:I12" si="9">E11/J11*100</f>
        <v>98.731948603095915</v>
      </c>
      <c r="J11" s="604">
        <v>710358210.39999998</v>
      </c>
    </row>
    <row r="12" spans="1:10" s="599" customFormat="1" ht="22.5" customHeight="1" x14ac:dyDescent="0.2">
      <c r="A12" s="600"/>
      <c r="B12" s="601" t="s">
        <v>18</v>
      </c>
      <c r="C12" s="605">
        <v>280096042</v>
      </c>
      <c r="D12" s="605">
        <v>261340889.06</v>
      </c>
      <c r="E12" s="606">
        <v>195119281.83000001</v>
      </c>
      <c r="F12" s="606"/>
      <c r="G12" s="603">
        <f t="shared" si="7"/>
        <v>69.661563382605749</v>
      </c>
      <c r="H12" s="603">
        <f t="shared" si="8"/>
        <v>74.660831885822319</v>
      </c>
      <c r="I12" s="603">
        <f t="shared" si="9"/>
        <v>137.72496895509875</v>
      </c>
      <c r="J12" s="604">
        <v>141673135.46000001</v>
      </c>
    </row>
    <row r="13" spans="1:10" s="12" customFormat="1" ht="22.5" customHeight="1" x14ac:dyDescent="0.25">
      <c r="A13" s="607"/>
      <c r="B13" s="579" t="s">
        <v>258</v>
      </c>
      <c r="C13" s="583">
        <f>C264</f>
        <v>90523182</v>
      </c>
      <c r="D13" s="583">
        <f>D264</f>
        <v>84423503.889999986</v>
      </c>
      <c r="E13" s="583">
        <f t="shared" ref="E13:I13" si="10">E264</f>
        <v>76227711.599999994</v>
      </c>
      <c r="F13" s="583"/>
      <c r="G13" s="583">
        <f t="shared" si="10"/>
        <v>84.207945319465225</v>
      </c>
      <c r="H13" s="583">
        <f t="shared" si="10"/>
        <v>90.29204911859766</v>
      </c>
      <c r="I13" s="583">
        <f t="shared" si="10"/>
        <v>142.02213312425479</v>
      </c>
    </row>
    <row r="14" spans="1:10" s="12" customFormat="1" ht="22.5" customHeight="1" x14ac:dyDescent="0.25">
      <c r="A14" s="607"/>
      <c r="B14" s="579" t="s">
        <v>1021</v>
      </c>
      <c r="C14" s="583">
        <f>C371</f>
        <v>268131950</v>
      </c>
      <c r="D14" s="583">
        <f>D371</f>
        <v>222532648.61000001</v>
      </c>
      <c r="E14" s="583">
        <f t="shared" ref="E14:I14" si="11">E371</f>
        <v>158267485.03</v>
      </c>
      <c r="F14" s="583"/>
      <c r="G14" s="583">
        <f t="shared" si="11"/>
        <v>59.025970247111545</v>
      </c>
      <c r="H14" s="583">
        <f t="shared" si="11"/>
        <v>71.121017980319806</v>
      </c>
      <c r="I14" s="583">
        <f t="shared" si="11"/>
        <v>136.29097936767138</v>
      </c>
    </row>
    <row r="15" spans="1:10" s="12" customFormat="1" ht="22.5" customHeight="1" x14ac:dyDescent="0.25">
      <c r="A15" s="608"/>
      <c r="B15" s="609" t="s">
        <v>31</v>
      </c>
      <c r="C15" s="610">
        <f>C567</f>
        <v>15000</v>
      </c>
      <c r="D15" s="610">
        <f>D567</f>
        <v>15000</v>
      </c>
      <c r="E15" s="610">
        <f t="shared" ref="E15:I15" si="12">E567</f>
        <v>15000</v>
      </c>
      <c r="F15" s="610"/>
      <c r="G15" s="610">
        <f t="shared" si="12"/>
        <v>100</v>
      </c>
      <c r="H15" s="610">
        <f t="shared" si="12"/>
        <v>100</v>
      </c>
      <c r="I15" s="610">
        <f t="shared" si="12"/>
        <v>107.14285714285714</v>
      </c>
    </row>
    <row r="16" spans="1:10" s="611" customFormat="1" ht="22.5" customHeight="1" x14ac:dyDescent="0.25">
      <c r="A16" s="579"/>
      <c r="B16" s="579" t="s">
        <v>1022</v>
      </c>
      <c r="C16" s="610">
        <f>C570</f>
        <v>15625044</v>
      </c>
      <c r="D16" s="610">
        <f>D570</f>
        <v>16876396.609999999</v>
      </c>
      <c r="E16" s="610">
        <f t="shared" ref="E16:I16" si="13">E570</f>
        <v>15554021.77</v>
      </c>
      <c r="F16" s="610"/>
      <c r="G16" s="610">
        <f t="shared" si="13"/>
        <v>99.545459007987432</v>
      </c>
      <c r="H16" s="610">
        <f t="shared" si="13"/>
        <v>92.164353146237175</v>
      </c>
      <c r="I16" s="610">
        <f t="shared" si="13"/>
        <v>120.44064216624233</v>
      </c>
      <c r="J16" s="12"/>
    </row>
    <row r="17" spans="1:248" s="611" customFormat="1" ht="22.5" customHeight="1" x14ac:dyDescent="0.25">
      <c r="A17" s="608"/>
      <c r="B17" s="609" t="s">
        <v>33</v>
      </c>
      <c r="C17" s="610">
        <f>C576</f>
        <v>11266280</v>
      </c>
      <c r="D17" s="610">
        <f>D576</f>
        <v>10941317</v>
      </c>
      <c r="E17" s="610">
        <f t="shared" ref="E17:I17" si="14">E576</f>
        <v>10939549.4</v>
      </c>
      <c r="F17" s="610"/>
      <c r="G17" s="610">
        <f t="shared" si="14"/>
        <v>97.099924731144625</v>
      </c>
      <c r="H17" s="610">
        <f t="shared" si="14"/>
        <v>99.983844723628792</v>
      </c>
      <c r="I17" s="610">
        <f t="shared" si="14"/>
        <v>106.23773106388515</v>
      </c>
      <c r="J17" s="12"/>
    </row>
    <row r="18" spans="1:248" s="611" customFormat="1" ht="22.5" customHeight="1" x14ac:dyDescent="0.25">
      <c r="A18" s="612"/>
      <c r="B18" s="579" t="s">
        <v>34</v>
      </c>
      <c r="C18" s="583">
        <f>C585</f>
        <v>162000</v>
      </c>
      <c r="D18" s="583">
        <f>D585</f>
        <v>162000</v>
      </c>
      <c r="E18" s="583">
        <f t="shared" ref="E18:I18" si="15">E585</f>
        <v>88043.839999999997</v>
      </c>
      <c r="F18" s="583"/>
      <c r="G18" s="583">
        <f t="shared" si="15"/>
        <v>54.348049382716049</v>
      </c>
      <c r="H18" s="583">
        <f t="shared" si="15"/>
        <v>54.348049382716049</v>
      </c>
      <c r="I18" s="583">
        <f t="shared" si="15"/>
        <v>122.12536584689219</v>
      </c>
      <c r="J18" s="12"/>
    </row>
    <row r="19" spans="1:248" s="611" customFormat="1" ht="22.5" customHeight="1" x14ac:dyDescent="0.25">
      <c r="A19" s="608"/>
      <c r="B19" s="579" t="s">
        <v>624</v>
      </c>
      <c r="C19" s="583">
        <f>C589</f>
        <v>1000000</v>
      </c>
      <c r="D19" s="583">
        <f>D589</f>
        <v>1937000</v>
      </c>
      <c r="E19" s="583">
        <f t="shared" ref="E19:I19" si="16">E589</f>
        <v>1417855.04</v>
      </c>
      <c r="F19" s="583"/>
      <c r="G19" s="583">
        <f t="shared" si="16"/>
        <v>141.785504</v>
      </c>
      <c r="H19" s="583">
        <f t="shared" si="16"/>
        <v>73.198504904491486</v>
      </c>
      <c r="I19" s="583">
        <f t="shared" si="16"/>
        <v>143.38965569857604</v>
      </c>
      <c r="J19" s="12"/>
    </row>
    <row r="20" spans="1:248" s="613" customFormat="1" ht="22.5" customHeight="1" x14ac:dyDescent="0.25">
      <c r="A20" s="609"/>
      <c r="B20" s="614" t="s">
        <v>36</v>
      </c>
      <c r="C20" s="585">
        <f>C593</f>
        <v>112714300</v>
      </c>
      <c r="D20" s="585">
        <f>D593</f>
        <v>132119459.63999999</v>
      </c>
      <c r="E20" s="585">
        <f t="shared" ref="E20:I20" si="17">E593</f>
        <v>131086108.81999999</v>
      </c>
      <c r="F20" s="585"/>
      <c r="G20" s="585">
        <f t="shared" si="17"/>
        <v>116.29944809132469</v>
      </c>
      <c r="H20" s="585">
        <f t="shared" si="17"/>
        <v>99.217866298563678</v>
      </c>
      <c r="I20" s="585">
        <f t="shared" si="17"/>
        <v>99.905581925967482</v>
      </c>
      <c r="J20" s="615"/>
    </row>
    <row r="21" spans="1:248" s="12" customFormat="1" ht="22.5" customHeight="1" x14ac:dyDescent="0.25">
      <c r="A21" s="579"/>
      <c r="B21" s="579" t="s">
        <v>710</v>
      </c>
      <c r="C21" s="610">
        <f>C678</f>
        <v>27924400</v>
      </c>
      <c r="D21" s="610">
        <f>D678</f>
        <v>27908900</v>
      </c>
      <c r="E21" s="610">
        <f t="shared" ref="E21:I21" si="18">E678</f>
        <v>27433084.420000002</v>
      </c>
      <c r="F21" s="610"/>
      <c r="G21" s="610">
        <f t="shared" si="18"/>
        <v>98.240550987666708</v>
      </c>
      <c r="H21" s="610">
        <f t="shared" si="18"/>
        <v>98.295111666887621</v>
      </c>
      <c r="I21" s="610">
        <f t="shared" si="18"/>
        <v>98.228555871257257</v>
      </c>
    </row>
    <row r="22" spans="1:248" s="12" customFormat="1" ht="22.5" customHeight="1" x14ac:dyDescent="0.25">
      <c r="A22" s="579"/>
      <c r="B22" s="579" t="s">
        <v>713</v>
      </c>
      <c r="C22" s="583">
        <f>C682</f>
        <v>35630624</v>
      </c>
      <c r="D22" s="583">
        <f>D682</f>
        <v>38447691.810000002</v>
      </c>
      <c r="E22" s="583">
        <f t="shared" ref="E22:I22" si="19">E682</f>
        <v>29950251.129999999</v>
      </c>
      <c r="F22" s="583"/>
      <c r="G22" s="583">
        <f t="shared" si="19"/>
        <v>84.057610470139394</v>
      </c>
      <c r="H22" s="583">
        <f t="shared" si="19"/>
        <v>77.898697477100896</v>
      </c>
      <c r="I22" s="583">
        <f t="shared" si="19"/>
        <v>107.52705999801707</v>
      </c>
    </row>
    <row r="23" spans="1:248" s="12" customFormat="1" ht="22.5" customHeight="1" x14ac:dyDescent="0.25">
      <c r="A23" s="579"/>
      <c r="B23" s="579" t="s">
        <v>729</v>
      </c>
      <c r="C23" s="581">
        <f>C699</f>
        <v>171743160</v>
      </c>
      <c r="D23" s="581">
        <f>D699</f>
        <v>183257543.44</v>
      </c>
      <c r="E23" s="581">
        <f t="shared" ref="E23:I23" si="20">E699</f>
        <v>167656076.84999999</v>
      </c>
      <c r="F23" s="581"/>
      <c r="G23" s="581">
        <f t="shared" si="20"/>
        <v>97.620235268758293</v>
      </c>
      <c r="H23" s="581">
        <f t="shared" si="20"/>
        <v>91.486589693859969</v>
      </c>
      <c r="I23" s="581">
        <f t="shared" si="20"/>
        <v>103.40745183801126</v>
      </c>
    </row>
    <row r="24" spans="1:248" s="12" customFormat="1" ht="22.5" customHeight="1" x14ac:dyDescent="0.25">
      <c r="A24" s="579"/>
      <c r="B24" s="579" t="s">
        <v>43</v>
      </c>
      <c r="C24" s="581">
        <f>C708</f>
        <v>17006123</v>
      </c>
      <c r="D24" s="581">
        <f>D708</f>
        <v>16953094</v>
      </c>
      <c r="E24" s="581">
        <f t="shared" ref="E24:I24" si="21">E708</f>
        <v>15319304.77</v>
      </c>
      <c r="F24" s="581"/>
      <c r="G24" s="581">
        <f t="shared" si="21"/>
        <v>90.081112373466894</v>
      </c>
      <c r="H24" s="581">
        <f t="shared" si="21"/>
        <v>90.362884615634158</v>
      </c>
      <c r="I24" s="581">
        <f t="shared" si="21"/>
        <v>112.20241935346777</v>
      </c>
    </row>
    <row r="25" spans="1:248" s="12" customFormat="1" ht="22.5" customHeight="1" x14ac:dyDescent="0.25">
      <c r="A25" s="609"/>
      <c r="B25" s="609" t="s">
        <v>771</v>
      </c>
      <c r="C25" s="610">
        <f>C740</f>
        <v>19471500</v>
      </c>
      <c r="D25" s="610">
        <f>D740</f>
        <v>24840426</v>
      </c>
      <c r="E25" s="610">
        <f t="shared" ref="E25:I25" si="22">E740</f>
        <v>16803702.239999998</v>
      </c>
      <c r="F25" s="610"/>
      <c r="G25" s="610">
        <f t="shared" si="22"/>
        <v>86.298961251059239</v>
      </c>
      <c r="H25" s="610">
        <f t="shared" si="22"/>
        <v>67.646594466616634</v>
      </c>
      <c r="I25" s="610">
        <f t="shared" si="22"/>
        <v>106.51676190562665</v>
      </c>
    </row>
    <row r="26" spans="1:248" s="12" customFormat="1" ht="22.5" customHeight="1" x14ac:dyDescent="0.25">
      <c r="A26" s="579"/>
      <c r="B26" s="579" t="s">
        <v>1023</v>
      </c>
      <c r="C26" s="610">
        <f>C747</f>
        <v>67229000</v>
      </c>
      <c r="D26" s="610">
        <f>D747</f>
        <v>70858982.560000002</v>
      </c>
      <c r="E26" s="610">
        <f t="shared" ref="E26:I26" si="23">E747</f>
        <v>68882902.25</v>
      </c>
      <c r="F26" s="610"/>
      <c r="G26" s="610">
        <f t="shared" si="23"/>
        <v>102.46010241116186</v>
      </c>
      <c r="H26" s="610">
        <f t="shared" si="23"/>
        <v>97.211249387716293</v>
      </c>
      <c r="I26" s="610">
        <f t="shared" si="23"/>
        <v>80.288615015131597</v>
      </c>
    </row>
    <row r="27" spans="1:248" s="12" customFormat="1" ht="22.5" customHeight="1" x14ac:dyDescent="0.25">
      <c r="A27" s="616"/>
      <c r="B27" s="609" t="s">
        <v>797</v>
      </c>
      <c r="C27" s="610">
        <f>C771</f>
        <v>136758000</v>
      </c>
      <c r="D27" s="610">
        <f>D771</f>
        <v>137132424.47</v>
      </c>
      <c r="E27" s="610">
        <f t="shared" ref="E27:I27" si="24">E771</f>
        <v>120915025.08</v>
      </c>
      <c r="F27" s="610"/>
      <c r="G27" s="610">
        <f t="shared" si="24"/>
        <v>88.415321282850002</v>
      </c>
      <c r="H27" s="610">
        <f t="shared" si="24"/>
        <v>88.173913315776147</v>
      </c>
      <c r="I27" s="610">
        <f t="shared" si="24"/>
        <v>98.493657112677695</v>
      </c>
    </row>
    <row r="28" spans="1:248" s="617" customFormat="1" ht="22.5" customHeight="1" x14ac:dyDescent="0.25">
      <c r="A28" s="579"/>
      <c r="B28" s="579" t="s">
        <v>52</v>
      </c>
      <c r="C28" s="610">
        <f>C881</f>
        <v>350000</v>
      </c>
      <c r="D28" s="610">
        <f>D881</f>
        <v>347000</v>
      </c>
      <c r="E28" s="610">
        <f t="shared" ref="E28:I28" si="25">E881</f>
        <v>130850</v>
      </c>
      <c r="F28" s="610"/>
      <c r="G28" s="610">
        <f t="shared" si="25"/>
        <v>37.385714285714286</v>
      </c>
      <c r="H28" s="610">
        <f t="shared" si="25"/>
        <v>37.708933717579249</v>
      </c>
      <c r="I28" s="610">
        <f t="shared" si="25"/>
        <v>17.13705716717962</v>
      </c>
      <c r="IH28" s="611"/>
      <c r="II28" s="611"/>
      <c r="IJ28" s="611"/>
      <c r="IK28" s="611"/>
      <c r="IL28" s="611"/>
      <c r="IM28" s="611"/>
      <c r="IN28" s="611"/>
    </row>
    <row r="29" spans="1:248" s="611" customFormat="1" ht="22.5" customHeight="1" x14ac:dyDescent="0.25">
      <c r="A29" s="590"/>
      <c r="B29" s="590" t="s">
        <v>54</v>
      </c>
      <c r="C29" s="618">
        <f>C889</f>
        <v>36990000</v>
      </c>
      <c r="D29" s="618">
        <f>D889</f>
        <v>185362909.63999999</v>
      </c>
      <c r="E29" s="618">
        <f t="shared" ref="E29:I29" si="26">E889</f>
        <v>55782812.780000001</v>
      </c>
      <c r="F29" s="618"/>
      <c r="G29" s="618">
        <f t="shared" si="26"/>
        <v>150.80511700459584</v>
      </c>
      <c r="H29" s="618">
        <f t="shared" si="26"/>
        <v>30.09383748255669</v>
      </c>
      <c r="I29" s="618">
        <f t="shared" si="26"/>
        <v>78.674161143263916</v>
      </c>
      <c r="J29" s="12"/>
    </row>
    <row r="30" spans="1:248" s="98" customFormat="1" ht="23.25" x14ac:dyDescent="0.35">
      <c r="A30" s="619"/>
      <c r="B30" s="619" t="s">
        <v>55</v>
      </c>
      <c r="C30" s="1220">
        <f>C911</f>
        <v>1012540563</v>
      </c>
      <c r="D30" s="1220">
        <f>D911</f>
        <v>1154116297.6700001</v>
      </c>
      <c r="E30" s="1221">
        <f>E911</f>
        <v>896469785.01999998</v>
      </c>
      <c r="F30" s="1222"/>
      <c r="G30" s="1221">
        <f>G911</f>
        <v>88.536678704890562</v>
      </c>
      <c r="H30" s="1221">
        <f>H911</f>
        <v>77.675862201222486</v>
      </c>
      <c r="I30" s="1221">
        <f>I911</f>
        <v>105.1528900163337</v>
      </c>
      <c r="J30" s="1"/>
    </row>
    <row r="31" spans="1:248" ht="22.5" customHeight="1" x14ac:dyDescent="0.3">
      <c r="A31" s="623"/>
      <c r="B31" s="624" t="s">
        <v>56</v>
      </c>
      <c r="C31" s="625"/>
      <c r="D31" s="625"/>
      <c r="E31" s="626"/>
      <c r="F31" s="570"/>
      <c r="G31" s="626"/>
      <c r="H31" s="626"/>
      <c r="I31" s="627"/>
    </row>
    <row r="32" spans="1:248" s="98" customFormat="1" ht="18" x14ac:dyDescent="0.25">
      <c r="A32" s="628"/>
      <c r="B32" s="629" t="s">
        <v>57</v>
      </c>
      <c r="C32" s="630">
        <f>SUM(C33:C44,C48:C52,C59:C64)</f>
        <v>545682000</v>
      </c>
      <c r="D32" s="630">
        <f>SUM(D33:D44,D48:D52,D59:D64)</f>
        <v>570013372.64999998</v>
      </c>
      <c r="E32" s="631">
        <v>563957194.54999995</v>
      </c>
      <c r="F32" s="811">
        <f>SUM(E33:E44,E48:E52,E59:E64)</f>
        <v>563957194.60000014</v>
      </c>
      <c r="G32" s="631">
        <f t="shared" ref="G32:G95" si="27">E32/C32*100</f>
        <v>103.34905577790727</v>
      </c>
      <c r="H32" s="631">
        <f t="shared" ref="H32:H95" si="28">E32/D32*100</f>
        <v>98.93753754024317</v>
      </c>
      <c r="I32" s="633">
        <f t="shared" ref="I32:I95" si="29">E32/J32*100</f>
        <v>102.08901261612193</v>
      </c>
      <c r="J32" s="29">
        <v>552417130.99000001</v>
      </c>
    </row>
    <row r="33" spans="1:10" s="98" customFormat="1" ht="12.75" customHeight="1" x14ac:dyDescent="0.2">
      <c r="A33" s="634">
        <v>1111</v>
      </c>
      <c r="B33" s="635" t="s">
        <v>1024</v>
      </c>
      <c r="C33" s="636">
        <v>76180000</v>
      </c>
      <c r="D33" s="636">
        <v>76180000</v>
      </c>
      <c r="E33" s="576">
        <v>77613831.209999993</v>
      </c>
      <c r="F33" s="577"/>
      <c r="G33" s="636">
        <f t="shared" si="27"/>
        <v>101.88216226043581</v>
      </c>
      <c r="H33" s="637">
        <f t="shared" si="28"/>
        <v>101.88216226043581</v>
      </c>
      <c r="I33" s="638">
        <f t="shared" si="29"/>
        <v>108.67428389072336</v>
      </c>
      <c r="J33" s="29">
        <v>71418764.799999997</v>
      </c>
    </row>
    <row r="34" spans="1:10" s="98" customFormat="1" ht="12.75" customHeight="1" x14ac:dyDescent="0.2">
      <c r="A34" s="639">
        <v>1111</v>
      </c>
      <c r="B34" s="640" t="s">
        <v>1025</v>
      </c>
      <c r="C34" s="641">
        <v>7440000</v>
      </c>
      <c r="D34" s="641">
        <v>7440000</v>
      </c>
      <c r="E34" s="642">
        <v>7916058.8399999999</v>
      </c>
      <c r="F34" s="643"/>
      <c r="G34" s="642">
        <f t="shared" si="27"/>
        <v>106.39864032258063</v>
      </c>
      <c r="H34" s="644">
        <f t="shared" si="28"/>
        <v>106.39864032258063</v>
      </c>
      <c r="I34" s="645">
        <f t="shared" si="29"/>
        <v>117.97326835325785</v>
      </c>
      <c r="J34" s="29">
        <v>6710044.5300000003</v>
      </c>
    </row>
    <row r="35" spans="1:10" s="98" customFormat="1" ht="12.75" customHeight="1" x14ac:dyDescent="0.2">
      <c r="A35" s="639">
        <v>1112</v>
      </c>
      <c r="B35" s="640" t="s">
        <v>1026</v>
      </c>
      <c r="C35" s="641">
        <v>5470000</v>
      </c>
      <c r="D35" s="641">
        <v>5470000</v>
      </c>
      <c r="E35" s="646">
        <v>5864660.9900000002</v>
      </c>
      <c r="F35" s="647"/>
      <c r="G35" s="642">
        <f t="shared" si="27"/>
        <v>107.21500895795246</v>
      </c>
      <c r="H35" s="644">
        <f t="shared" si="28"/>
        <v>107.21500895795246</v>
      </c>
      <c r="I35" s="645">
        <f t="shared" si="29"/>
        <v>96.179524360708498</v>
      </c>
      <c r="J35" s="29">
        <v>6097619.04</v>
      </c>
    </row>
    <row r="36" spans="1:10" s="98" customFormat="1" ht="12.75" customHeight="1" x14ac:dyDescent="0.2">
      <c r="A36" s="639">
        <v>1113</v>
      </c>
      <c r="B36" s="640" t="s">
        <v>1027</v>
      </c>
      <c r="C36" s="641">
        <v>14850000</v>
      </c>
      <c r="D36" s="641">
        <v>14850000</v>
      </c>
      <c r="E36" s="646">
        <v>18237393.98</v>
      </c>
      <c r="F36" s="647"/>
      <c r="G36" s="642">
        <f t="shared" si="27"/>
        <v>122.81073387205387</v>
      </c>
      <c r="H36" s="644">
        <f t="shared" si="28"/>
        <v>122.81073387205387</v>
      </c>
      <c r="I36" s="645">
        <f t="shared" si="29"/>
        <v>103.63048924055127</v>
      </c>
      <c r="J36" s="29">
        <v>17598482.949999999</v>
      </c>
    </row>
    <row r="37" spans="1:10" s="98" customFormat="1" ht="12.75" customHeight="1" x14ac:dyDescent="0.2">
      <c r="A37" s="639">
        <v>1121</v>
      </c>
      <c r="B37" s="640" t="s">
        <v>1028</v>
      </c>
      <c r="C37" s="641">
        <f>119931345-1345</f>
        <v>119930000</v>
      </c>
      <c r="D37" s="641">
        <f>119931345-1345</f>
        <v>119930000</v>
      </c>
      <c r="E37" s="646">
        <v>112940693.47</v>
      </c>
      <c r="F37" s="647"/>
      <c r="G37" s="642">
        <f t="shared" si="27"/>
        <v>94.172178329025272</v>
      </c>
      <c r="H37" s="644">
        <f t="shared" si="28"/>
        <v>94.172178329025272</v>
      </c>
      <c r="I37" s="645">
        <f t="shared" si="29"/>
        <v>88.536477424571004</v>
      </c>
      <c r="J37" s="29">
        <v>127564024.18000001</v>
      </c>
    </row>
    <row r="38" spans="1:10" s="98" customFormat="1" ht="25.5" customHeight="1" x14ac:dyDescent="0.2">
      <c r="A38" s="639">
        <v>1122</v>
      </c>
      <c r="B38" s="648" t="s">
        <v>1029</v>
      </c>
      <c r="C38" s="649">
        <v>30000000</v>
      </c>
      <c r="D38" s="649">
        <f>30000000+16435050</f>
        <v>46435050</v>
      </c>
      <c r="E38" s="649">
        <v>46435050</v>
      </c>
      <c r="F38" s="650"/>
      <c r="G38" s="642">
        <f t="shared" si="27"/>
        <v>154.7835</v>
      </c>
      <c r="H38" s="644">
        <f t="shared" si="28"/>
        <v>100</v>
      </c>
      <c r="I38" s="651">
        <f t="shared" si="29"/>
        <v>155.04345619488674</v>
      </c>
      <c r="J38" s="654">
        <v>29949700</v>
      </c>
    </row>
    <row r="39" spans="1:10" s="98" customFormat="1" ht="12.75" customHeight="1" x14ac:dyDescent="0.2">
      <c r="A39" s="639">
        <v>1211</v>
      </c>
      <c r="B39" s="640" t="s">
        <v>1030</v>
      </c>
      <c r="C39" s="646">
        <v>233630000</v>
      </c>
      <c r="D39" s="646">
        <v>233630000</v>
      </c>
      <c r="E39" s="646">
        <v>226775145.27000001</v>
      </c>
      <c r="F39" s="647"/>
      <c r="G39" s="642">
        <f t="shared" si="27"/>
        <v>97.065935569062205</v>
      </c>
      <c r="H39" s="644">
        <f t="shared" si="28"/>
        <v>97.065935569062205</v>
      </c>
      <c r="I39" s="645">
        <f t="shared" si="29"/>
        <v>98.7208489194755</v>
      </c>
      <c r="J39" s="29">
        <v>229713528.34999999</v>
      </c>
    </row>
    <row r="40" spans="1:10" s="98" customFormat="1" ht="25.5" x14ac:dyDescent="0.2">
      <c r="A40" s="639">
        <v>1334</v>
      </c>
      <c r="B40" s="648" t="s">
        <v>1031</v>
      </c>
      <c r="C40" s="652">
        <v>50000</v>
      </c>
      <c r="D40" s="652">
        <v>50000</v>
      </c>
      <c r="E40" s="652">
        <v>29834.3</v>
      </c>
      <c r="F40" s="653"/>
      <c r="G40" s="642">
        <f t="shared" si="27"/>
        <v>59.668599999999991</v>
      </c>
      <c r="H40" s="644">
        <f t="shared" si="28"/>
        <v>59.668599999999991</v>
      </c>
      <c r="I40" s="651">
        <f t="shared" si="29"/>
        <v>29.174717975998622</v>
      </c>
      <c r="J40" s="654">
        <v>102260.8</v>
      </c>
    </row>
    <row r="41" spans="1:10" s="98" customFormat="1" x14ac:dyDescent="0.2">
      <c r="A41" s="639">
        <v>1335</v>
      </c>
      <c r="B41" s="640" t="s">
        <v>1032</v>
      </c>
      <c r="C41" s="652">
        <v>2000</v>
      </c>
      <c r="D41" s="652">
        <v>2000</v>
      </c>
      <c r="E41" s="652">
        <v>2133.88</v>
      </c>
      <c r="F41" s="653"/>
      <c r="G41" s="642">
        <f t="shared" si="27"/>
        <v>106.694</v>
      </c>
      <c r="H41" s="644">
        <f t="shared" si="28"/>
        <v>106.694</v>
      </c>
      <c r="I41" s="645">
        <f t="shared" si="29"/>
        <v>120.01304807540889</v>
      </c>
      <c r="J41" s="29">
        <v>1778.04</v>
      </c>
    </row>
    <row r="42" spans="1:10" s="98" customFormat="1" x14ac:dyDescent="0.2">
      <c r="A42" s="639">
        <v>1336</v>
      </c>
      <c r="B42" s="640" t="s">
        <v>1033</v>
      </c>
      <c r="C42" s="652">
        <v>0</v>
      </c>
      <c r="D42" s="652">
        <f>32200</f>
        <v>32200</v>
      </c>
      <c r="E42" s="652">
        <v>32200</v>
      </c>
      <c r="F42" s="653"/>
      <c r="G42" s="642">
        <v>0</v>
      </c>
      <c r="H42" s="644">
        <f t="shared" si="28"/>
        <v>100</v>
      </c>
      <c r="I42" s="645">
        <f t="shared" si="29"/>
        <v>383.33333333333337</v>
      </c>
      <c r="J42" s="29">
        <v>8400</v>
      </c>
    </row>
    <row r="43" spans="1:10" s="98" customFormat="1" x14ac:dyDescent="0.2">
      <c r="A43" s="639">
        <v>1341</v>
      </c>
      <c r="B43" s="640" t="s">
        <v>1034</v>
      </c>
      <c r="C43" s="652">
        <v>600000</v>
      </c>
      <c r="D43" s="652">
        <f>600000+30000</f>
        <v>630000</v>
      </c>
      <c r="E43" s="652">
        <v>665796.48</v>
      </c>
      <c r="F43" s="653"/>
      <c r="G43" s="642">
        <f t="shared" si="27"/>
        <v>110.96607999999999</v>
      </c>
      <c r="H43" s="644">
        <f t="shared" si="28"/>
        <v>105.68198095238095</v>
      </c>
      <c r="I43" s="645">
        <f t="shared" si="29"/>
        <v>107.5161241126966</v>
      </c>
      <c r="J43" s="29">
        <v>619252.68000000005</v>
      </c>
    </row>
    <row r="44" spans="1:10" s="98" customFormat="1" x14ac:dyDescent="0.2">
      <c r="A44" s="639">
        <v>1343</v>
      </c>
      <c r="B44" s="640" t="s">
        <v>1035</v>
      </c>
      <c r="C44" s="655">
        <f t="shared" ref="C44:D44" si="30">SUM(C45:C47)</f>
        <v>425000</v>
      </c>
      <c r="D44" s="655">
        <f t="shared" si="30"/>
        <v>425000</v>
      </c>
      <c r="E44" s="655">
        <v>493944</v>
      </c>
      <c r="F44" s="656">
        <f>SUM(E45:E47)</f>
        <v>493944</v>
      </c>
      <c r="G44" s="642">
        <f t="shared" si="27"/>
        <v>116.22211764705884</v>
      </c>
      <c r="H44" s="644">
        <f t="shared" si="28"/>
        <v>116.22211764705884</v>
      </c>
      <c r="I44" s="645">
        <f t="shared" si="29"/>
        <v>51.512060820323505</v>
      </c>
      <c r="J44" s="29">
        <v>958890</v>
      </c>
    </row>
    <row r="45" spans="1:10" x14ac:dyDescent="0.2">
      <c r="A45" s="657"/>
      <c r="B45" s="658" t="s">
        <v>1036</v>
      </c>
      <c r="C45" s="653">
        <v>250000</v>
      </c>
      <c r="D45" s="653">
        <v>250000</v>
      </c>
      <c r="E45" s="653">
        <v>266863</v>
      </c>
      <c r="F45" s="653"/>
      <c r="G45" s="643">
        <f t="shared" si="27"/>
        <v>106.74520000000001</v>
      </c>
      <c r="H45" s="659">
        <f t="shared" si="28"/>
        <v>106.74520000000001</v>
      </c>
      <c r="I45" s="660">
        <f t="shared" si="29"/>
        <v>64.711473875394347</v>
      </c>
      <c r="J45" s="29">
        <v>412389</v>
      </c>
    </row>
    <row r="46" spans="1:10" x14ac:dyDescent="0.2">
      <c r="A46" s="661"/>
      <c r="B46" s="658" t="s">
        <v>1037</v>
      </c>
      <c r="C46" s="653">
        <v>90000</v>
      </c>
      <c r="D46" s="653">
        <v>90000</v>
      </c>
      <c r="E46" s="653">
        <v>142697</v>
      </c>
      <c r="F46" s="653"/>
      <c r="G46" s="643">
        <f t="shared" si="27"/>
        <v>158.55222222222224</v>
      </c>
      <c r="H46" s="659">
        <f t="shared" si="28"/>
        <v>158.55222222222224</v>
      </c>
      <c r="I46" s="660">
        <f t="shared" si="29"/>
        <v>38.780468582268227</v>
      </c>
      <c r="J46" s="29">
        <v>367961</v>
      </c>
    </row>
    <row r="47" spans="1:10" x14ac:dyDescent="0.2">
      <c r="A47" s="661"/>
      <c r="B47" s="658" t="s">
        <v>1038</v>
      </c>
      <c r="C47" s="653">
        <v>85000</v>
      </c>
      <c r="D47" s="653">
        <v>85000</v>
      </c>
      <c r="E47" s="653">
        <v>84384</v>
      </c>
      <c r="F47" s="653"/>
      <c r="G47" s="643">
        <f t="shared" si="27"/>
        <v>99.275294117647064</v>
      </c>
      <c r="H47" s="659">
        <f t="shared" si="28"/>
        <v>99.275294117647064</v>
      </c>
      <c r="I47" s="660">
        <f t="shared" si="29"/>
        <v>47.26335835106979</v>
      </c>
      <c r="J47" s="29">
        <v>178540</v>
      </c>
    </row>
    <row r="48" spans="1:10" ht="25.5" x14ac:dyDescent="0.2">
      <c r="A48" s="662">
        <v>1345</v>
      </c>
      <c r="B48" s="648" t="s">
        <v>1039</v>
      </c>
      <c r="C48" s="652">
        <v>17500000</v>
      </c>
      <c r="D48" s="652">
        <v>17500000</v>
      </c>
      <c r="E48" s="652">
        <v>17385568.390000001</v>
      </c>
      <c r="F48" s="653"/>
      <c r="G48" s="642">
        <f t="shared" si="27"/>
        <v>99.346105085714285</v>
      </c>
      <c r="H48" s="644">
        <f t="shared" si="28"/>
        <v>99.346105085714285</v>
      </c>
      <c r="I48" s="651">
        <f t="shared" si="29"/>
        <v>135.90581268855968</v>
      </c>
      <c r="J48" s="654">
        <v>12792365.57</v>
      </c>
    </row>
    <row r="49" spans="1:1568" s="98" customFormat="1" ht="24.75" x14ac:dyDescent="0.2">
      <c r="A49" s="639">
        <v>1346</v>
      </c>
      <c r="B49" s="648" t="s">
        <v>1040</v>
      </c>
      <c r="C49" s="652">
        <v>180000</v>
      </c>
      <c r="D49" s="652">
        <v>180000</v>
      </c>
      <c r="E49" s="652">
        <v>257000</v>
      </c>
      <c r="F49" s="653"/>
      <c r="G49" s="642">
        <f t="shared" si="27"/>
        <v>142.77777777777777</v>
      </c>
      <c r="H49" s="644">
        <f t="shared" si="28"/>
        <v>142.77777777777777</v>
      </c>
      <c r="I49" s="651">
        <f t="shared" si="29"/>
        <v>98.467432950191565</v>
      </c>
      <c r="J49" s="654">
        <v>261000</v>
      </c>
    </row>
    <row r="50" spans="1:1568" s="98" customFormat="1" x14ac:dyDescent="0.2">
      <c r="A50" s="639">
        <v>1353</v>
      </c>
      <c r="B50" s="640" t="s">
        <v>1041</v>
      </c>
      <c r="C50" s="663">
        <v>750000</v>
      </c>
      <c r="D50" s="663">
        <f>750000+30000</f>
        <v>780000</v>
      </c>
      <c r="E50" s="652">
        <v>1013400</v>
      </c>
      <c r="F50" s="653"/>
      <c r="G50" s="642">
        <f t="shared" si="27"/>
        <v>135.12</v>
      </c>
      <c r="H50" s="644">
        <f t="shared" si="28"/>
        <v>129.92307692307691</v>
      </c>
      <c r="I50" s="645">
        <f t="shared" si="29"/>
        <v>119.26562316111568</v>
      </c>
      <c r="J50" s="29">
        <v>849700</v>
      </c>
    </row>
    <row r="51" spans="1:1568" s="98" customFormat="1" ht="12.75" customHeight="1" x14ac:dyDescent="0.2">
      <c r="A51" s="639">
        <v>1356</v>
      </c>
      <c r="B51" s="640" t="s">
        <v>1042</v>
      </c>
      <c r="C51" s="649">
        <v>250000</v>
      </c>
      <c r="D51" s="649">
        <v>250000</v>
      </c>
      <c r="E51" s="652">
        <v>242547.84</v>
      </c>
      <c r="F51" s="650"/>
      <c r="G51" s="642">
        <f t="shared" si="27"/>
        <v>97.019135999999989</v>
      </c>
      <c r="H51" s="644">
        <f t="shared" si="28"/>
        <v>97.019135999999989</v>
      </c>
      <c r="I51" s="645">
        <f t="shared" si="29"/>
        <v>100</v>
      </c>
      <c r="J51" s="29">
        <v>242547.84</v>
      </c>
    </row>
    <row r="52" spans="1:1568" s="98" customFormat="1" ht="12.75" customHeight="1" x14ac:dyDescent="0.2">
      <c r="A52" s="639">
        <v>1361</v>
      </c>
      <c r="B52" s="640" t="s">
        <v>1044</v>
      </c>
      <c r="C52" s="655">
        <f t="shared" ref="C52:D52" si="31">SUM(C53:C58)</f>
        <v>8825000</v>
      </c>
      <c r="D52" s="655">
        <f t="shared" si="31"/>
        <v>8825000</v>
      </c>
      <c r="E52" s="649">
        <v>11578050.380000001</v>
      </c>
      <c r="F52" s="656">
        <f>SUM(E53:E58)</f>
        <v>11578050.379999999</v>
      </c>
      <c r="G52" s="642">
        <f t="shared" si="27"/>
        <v>131.19603830028331</v>
      </c>
      <c r="H52" s="644">
        <f t="shared" si="28"/>
        <v>131.19603830028331</v>
      </c>
      <c r="I52" s="645">
        <f t="shared" si="29"/>
        <v>104.8678029258334</v>
      </c>
      <c r="J52" s="29">
        <v>11040615</v>
      </c>
    </row>
    <row r="53" spans="1:1568" ht="12.75" customHeight="1" x14ac:dyDescent="0.2">
      <c r="A53" s="661"/>
      <c r="B53" s="658" t="s">
        <v>1045</v>
      </c>
      <c r="C53" s="653">
        <v>5500000</v>
      </c>
      <c r="D53" s="653">
        <v>5500000</v>
      </c>
      <c r="E53" s="656">
        <v>6832240</v>
      </c>
      <c r="F53" s="653"/>
      <c r="G53" s="643">
        <f t="shared" si="27"/>
        <v>124.22254545454545</v>
      </c>
      <c r="H53" s="659">
        <f t="shared" si="28"/>
        <v>124.22254545454545</v>
      </c>
      <c r="I53" s="664">
        <f t="shared" si="29"/>
        <v>103.82791188918523</v>
      </c>
      <c r="J53" s="29">
        <v>6580350</v>
      </c>
    </row>
    <row r="54" spans="1:1568" ht="27.75" customHeight="1" x14ac:dyDescent="0.2">
      <c r="A54" s="665"/>
      <c r="B54" s="666" t="s">
        <v>1046</v>
      </c>
      <c r="C54" s="653">
        <v>416000</v>
      </c>
      <c r="D54" s="653">
        <v>416000</v>
      </c>
      <c r="E54" s="653">
        <v>476560</v>
      </c>
      <c r="F54" s="653"/>
      <c r="G54" s="643">
        <f t="shared" si="27"/>
        <v>114.55769230769231</v>
      </c>
      <c r="H54" s="659">
        <f t="shared" si="28"/>
        <v>114.55769230769231</v>
      </c>
      <c r="I54" s="664">
        <f t="shared" si="29"/>
        <v>98.257767881074614</v>
      </c>
      <c r="J54" s="654">
        <v>485010</v>
      </c>
    </row>
    <row r="55" spans="1:1568" ht="12.75" customHeight="1" x14ac:dyDescent="0.2">
      <c r="A55" s="661"/>
      <c r="B55" s="658" t="s">
        <v>1047</v>
      </c>
      <c r="C55" s="653">
        <v>1000000</v>
      </c>
      <c r="D55" s="653">
        <v>1000000</v>
      </c>
      <c r="E55" s="653">
        <v>1257500</v>
      </c>
      <c r="F55" s="650"/>
      <c r="G55" s="643">
        <f t="shared" si="27"/>
        <v>125.75</v>
      </c>
      <c r="H55" s="659">
        <f t="shared" si="28"/>
        <v>125.75</v>
      </c>
      <c r="I55" s="660">
        <f t="shared" si="29"/>
        <v>102.31063379708729</v>
      </c>
      <c r="J55" s="29">
        <v>1229100</v>
      </c>
    </row>
    <row r="56" spans="1:1568" s="126" customFormat="1" ht="24" customHeight="1" x14ac:dyDescent="0.2">
      <c r="A56" s="657"/>
      <c r="B56" s="666" t="s">
        <v>1048</v>
      </c>
      <c r="C56" s="650">
        <v>1719000</v>
      </c>
      <c r="D56" s="650">
        <v>1719000</v>
      </c>
      <c r="E56" s="650">
        <v>2689700.38</v>
      </c>
      <c r="F56" s="650"/>
      <c r="G56" s="643">
        <f t="shared" si="27"/>
        <v>156.46889936009308</v>
      </c>
      <c r="H56" s="659">
        <f t="shared" si="28"/>
        <v>156.46889936009308</v>
      </c>
      <c r="I56" s="664">
        <f t="shared" si="29"/>
        <v>107.36233956224017</v>
      </c>
      <c r="J56" s="654">
        <v>2505255</v>
      </c>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c r="AML56" s="1"/>
      <c r="AMM56" s="1"/>
      <c r="AMN56" s="1"/>
      <c r="AMO56" s="1"/>
      <c r="AMP56" s="1"/>
      <c r="AMQ56" s="1"/>
      <c r="AMR56" s="1"/>
      <c r="AMS56" s="1"/>
      <c r="AMT56" s="1"/>
      <c r="AMU56" s="1"/>
      <c r="AMV56" s="1"/>
      <c r="AMW56" s="1"/>
      <c r="AMX56" s="1"/>
      <c r="AMY56" s="1"/>
      <c r="AMZ56" s="1"/>
      <c r="ANA56" s="1"/>
      <c r="ANB56" s="1"/>
      <c r="ANC56" s="1"/>
      <c r="AND56" s="1"/>
      <c r="ANE56" s="1"/>
      <c r="ANF56" s="1"/>
      <c r="ANG56" s="1"/>
      <c r="ANH56" s="1"/>
      <c r="ANI56" s="1"/>
      <c r="ANJ56" s="1"/>
      <c r="ANK56" s="1"/>
      <c r="ANL56" s="1"/>
      <c r="ANM56" s="1"/>
      <c r="ANN56" s="1"/>
      <c r="ANO56" s="1"/>
      <c r="ANP56" s="1"/>
      <c r="ANQ56" s="1"/>
      <c r="ANR56" s="1"/>
      <c r="ANS56" s="1"/>
      <c r="ANT56" s="1"/>
      <c r="ANU56" s="1"/>
      <c r="ANV56" s="1"/>
      <c r="ANW56" s="1"/>
      <c r="ANX56" s="1"/>
      <c r="ANY56" s="1"/>
      <c r="ANZ56" s="1"/>
      <c r="AOA56" s="1"/>
      <c r="AOB56" s="1"/>
      <c r="AOC56" s="1"/>
      <c r="AOD56" s="1"/>
      <c r="AOE56" s="1"/>
      <c r="AOF56" s="1"/>
      <c r="AOG56" s="1"/>
      <c r="AOH56" s="1"/>
      <c r="AOI56" s="1"/>
      <c r="AOJ56" s="1"/>
      <c r="AOK56" s="1"/>
      <c r="AOL56" s="1"/>
      <c r="AOM56" s="1"/>
      <c r="AON56" s="1"/>
      <c r="AOO56" s="1"/>
      <c r="AOP56" s="1"/>
      <c r="AOQ56" s="1"/>
      <c r="AOR56" s="1"/>
      <c r="AOS56" s="1"/>
      <c r="AOT56" s="1"/>
      <c r="AOU56" s="1"/>
      <c r="AOV56" s="1"/>
      <c r="AOW56" s="1"/>
      <c r="AOX56" s="1"/>
      <c r="AOY56" s="1"/>
      <c r="AOZ56" s="1"/>
      <c r="APA56" s="1"/>
      <c r="APB56" s="1"/>
      <c r="APC56" s="1"/>
      <c r="APD56" s="1"/>
      <c r="APE56" s="1"/>
      <c r="APF56" s="1"/>
      <c r="APG56" s="1"/>
      <c r="APH56" s="1"/>
      <c r="API56" s="1"/>
      <c r="APJ56" s="1"/>
      <c r="APK56" s="1"/>
      <c r="APL56" s="1"/>
      <c r="APM56" s="1"/>
      <c r="APN56" s="1"/>
      <c r="APO56" s="1"/>
      <c r="APP56" s="1"/>
      <c r="APQ56" s="1"/>
      <c r="APR56" s="1"/>
      <c r="APS56" s="1"/>
      <c r="APT56" s="1"/>
      <c r="APU56" s="1"/>
      <c r="APV56" s="1"/>
      <c r="APW56" s="1"/>
      <c r="APX56" s="1"/>
      <c r="APY56" s="1"/>
      <c r="APZ56" s="1"/>
      <c r="AQA56" s="1"/>
      <c r="AQB56" s="1"/>
      <c r="AQC56" s="1"/>
      <c r="AQD56" s="1"/>
      <c r="AQE56" s="1"/>
      <c r="AQF56" s="1"/>
      <c r="AQG56" s="1"/>
      <c r="AQH56" s="1"/>
      <c r="AQI56" s="1"/>
      <c r="AQJ56" s="1"/>
      <c r="AQK56" s="1"/>
      <c r="AQL56" s="1"/>
      <c r="AQM56" s="1"/>
      <c r="AQN56" s="1"/>
      <c r="AQO56" s="1"/>
      <c r="AQP56" s="1"/>
      <c r="AQQ56" s="1"/>
      <c r="AQR56" s="1"/>
      <c r="AQS56" s="1"/>
      <c r="AQT56" s="1"/>
      <c r="AQU56" s="1"/>
      <c r="AQV56" s="1"/>
      <c r="AQW56" s="1"/>
      <c r="AQX56" s="1"/>
      <c r="AQY56" s="1"/>
      <c r="AQZ56" s="1"/>
      <c r="ARA56" s="1"/>
      <c r="ARB56" s="1"/>
      <c r="ARC56" s="1"/>
      <c r="ARD56" s="1"/>
      <c r="ARE56" s="1"/>
      <c r="ARF56" s="1"/>
      <c r="ARG56" s="1"/>
      <c r="ARH56" s="1"/>
      <c r="ARI56" s="1"/>
      <c r="ARJ56" s="1"/>
      <c r="ARK56" s="1"/>
      <c r="ARL56" s="1"/>
      <c r="ARM56" s="1"/>
      <c r="ARN56" s="1"/>
      <c r="ARO56" s="1"/>
      <c r="ARP56" s="1"/>
      <c r="ARQ56" s="1"/>
      <c r="ARR56" s="1"/>
      <c r="ARS56" s="1"/>
      <c r="ART56" s="1"/>
      <c r="ARU56" s="1"/>
      <c r="ARV56" s="1"/>
      <c r="ARW56" s="1"/>
      <c r="ARX56" s="1"/>
      <c r="ARY56" s="1"/>
      <c r="ARZ56" s="1"/>
      <c r="ASA56" s="1"/>
      <c r="ASB56" s="1"/>
      <c r="ASC56" s="1"/>
      <c r="ASD56" s="1"/>
      <c r="ASE56" s="1"/>
      <c r="ASF56" s="1"/>
      <c r="ASG56" s="1"/>
      <c r="ASH56" s="1"/>
      <c r="ASI56" s="1"/>
      <c r="ASJ56" s="1"/>
      <c r="ASK56" s="1"/>
      <c r="ASL56" s="1"/>
      <c r="ASM56" s="1"/>
      <c r="ASN56" s="1"/>
      <c r="ASO56" s="1"/>
      <c r="ASP56" s="1"/>
      <c r="ASQ56" s="1"/>
      <c r="ASR56" s="1"/>
      <c r="ASS56" s="1"/>
      <c r="AST56" s="1"/>
      <c r="ASU56" s="1"/>
      <c r="ASV56" s="1"/>
      <c r="ASW56" s="1"/>
      <c r="ASX56" s="1"/>
      <c r="ASY56" s="1"/>
      <c r="ASZ56" s="1"/>
      <c r="ATA56" s="1"/>
      <c r="ATB56" s="1"/>
      <c r="ATC56" s="1"/>
      <c r="ATD56" s="1"/>
      <c r="ATE56" s="1"/>
      <c r="ATF56" s="1"/>
      <c r="ATG56" s="1"/>
      <c r="ATH56" s="1"/>
      <c r="ATI56" s="1"/>
      <c r="ATJ56" s="1"/>
      <c r="ATK56" s="1"/>
      <c r="ATL56" s="1"/>
      <c r="ATM56" s="1"/>
      <c r="ATN56" s="1"/>
      <c r="ATO56" s="1"/>
      <c r="ATP56" s="1"/>
      <c r="ATQ56" s="1"/>
      <c r="ATR56" s="1"/>
      <c r="ATS56" s="1"/>
      <c r="ATT56" s="1"/>
      <c r="ATU56" s="1"/>
      <c r="ATV56" s="1"/>
      <c r="ATW56" s="1"/>
      <c r="ATX56" s="1"/>
      <c r="ATY56" s="1"/>
      <c r="ATZ56" s="1"/>
      <c r="AUA56" s="1"/>
      <c r="AUB56" s="1"/>
      <c r="AUC56" s="1"/>
      <c r="AUD56" s="1"/>
      <c r="AUE56" s="1"/>
      <c r="AUF56" s="1"/>
      <c r="AUG56" s="1"/>
      <c r="AUH56" s="1"/>
      <c r="AUI56" s="1"/>
      <c r="AUJ56" s="1"/>
      <c r="AUK56" s="1"/>
      <c r="AUL56" s="1"/>
      <c r="AUM56" s="1"/>
      <c r="AUN56" s="1"/>
      <c r="AUO56" s="1"/>
      <c r="AUP56" s="1"/>
      <c r="AUQ56" s="1"/>
      <c r="AUR56" s="1"/>
      <c r="AUS56" s="1"/>
      <c r="AUT56" s="1"/>
      <c r="AUU56" s="1"/>
      <c r="AUV56" s="1"/>
      <c r="AUW56" s="1"/>
      <c r="AUX56" s="1"/>
      <c r="AUY56" s="1"/>
      <c r="AUZ56" s="1"/>
      <c r="AVA56" s="1"/>
      <c r="AVB56" s="1"/>
      <c r="AVC56" s="1"/>
      <c r="AVD56" s="1"/>
      <c r="AVE56" s="1"/>
      <c r="AVF56" s="1"/>
      <c r="AVG56" s="1"/>
      <c r="AVH56" s="1"/>
      <c r="AVI56" s="1"/>
      <c r="AVJ56" s="1"/>
      <c r="AVK56" s="1"/>
      <c r="AVL56" s="1"/>
      <c r="AVM56" s="1"/>
      <c r="AVN56" s="1"/>
      <c r="AVO56" s="1"/>
      <c r="AVP56" s="1"/>
      <c r="AVQ56" s="1"/>
      <c r="AVR56" s="1"/>
      <c r="AVS56" s="1"/>
      <c r="AVT56" s="1"/>
      <c r="AVU56" s="1"/>
      <c r="AVV56" s="1"/>
      <c r="AVW56" s="1"/>
      <c r="AVX56" s="1"/>
      <c r="AVY56" s="1"/>
      <c r="AVZ56" s="1"/>
      <c r="AWA56" s="1"/>
      <c r="AWB56" s="1"/>
      <c r="AWC56" s="1"/>
      <c r="AWD56" s="1"/>
      <c r="AWE56" s="1"/>
      <c r="AWF56" s="1"/>
      <c r="AWG56" s="1"/>
      <c r="AWH56" s="1"/>
      <c r="AWI56" s="1"/>
      <c r="AWJ56" s="1"/>
      <c r="AWK56" s="1"/>
      <c r="AWL56" s="1"/>
      <c r="AWM56" s="1"/>
      <c r="AWN56" s="1"/>
      <c r="AWO56" s="1"/>
      <c r="AWP56" s="1"/>
      <c r="AWQ56" s="1"/>
      <c r="AWR56" s="1"/>
      <c r="AWS56" s="1"/>
      <c r="AWT56" s="1"/>
      <c r="AWU56" s="1"/>
      <c r="AWV56" s="1"/>
      <c r="AWW56" s="1"/>
      <c r="AWX56" s="1"/>
      <c r="AWY56" s="1"/>
      <c r="AWZ56" s="1"/>
      <c r="AXA56" s="1"/>
      <c r="AXB56" s="1"/>
      <c r="AXC56" s="1"/>
      <c r="AXD56" s="1"/>
      <c r="AXE56" s="1"/>
      <c r="AXF56" s="1"/>
      <c r="AXG56" s="1"/>
      <c r="AXH56" s="1"/>
      <c r="AXI56" s="1"/>
      <c r="AXJ56" s="1"/>
      <c r="AXK56" s="1"/>
      <c r="AXL56" s="1"/>
      <c r="AXM56" s="1"/>
      <c r="AXN56" s="1"/>
      <c r="AXO56" s="1"/>
      <c r="AXP56" s="1"/>
      <c r="AXQ56" s="1"/>
      <c r="AXR56" s="1"/>
      <c r="AXS56" s="1"/>
      <c r="AXT56" s="1"/>
      <c r="AXU56" s="1"/>
      <c r="AXV56" s="1"/>
      <c r="AXW56" s="1"/>
      <c r="AXX56" s="1"/>
      <c r="AXY56" s="1"/>
      <c r="AXZ56" s="1"/>
      <c r="AYA56" s="1"/>
      <c r="AYB56" s="1"/>
      <c r="AYC56" s="1"/>
      <c r="AYD56" s="1"/>
      <c r="AYE56" s="1"/>
      <c r="AYF56" s="1"/>
      <c r="AYG56" s="1"/>
      <c r="AYH56" s="1"/>
      <c r="AYI56" s="1"/>
      <c r="AYJ56" s="1"/>
      <c r="AYK56" s="1"/>
      <c r="AYL56" s="1"/>
      <c r="AYM56" s="1"/>
      <c r="AYN56" s="1"/>
      <c r="AYO56" s="1"/>
      <c r="AYP56" s="1"/>
      <c r="AYQ56" s="1"/>
      <c r="AYR56" s="1"/>
      <c r="AYS56" s="1"/>
      <c r="AYT56" s="1"/>
      <c r="AYU56" s="1"/>
      <c r="AYV56" s="1"/>
      <c r="AYW56" s="1"/>
      <c r="AYX56" s="1"/>
      <c r="AYY56" s="1"/>
      <c r="AYZ56" s="1"/>
      <c r="AZA56" s="1"/>
      <c r="AZB56" s="1"/>
      <c r="AZC56" s="1"/>
      <c r="AZD56" s="1"/>
      <c r="AZE56" s="1"/>
      <c r="AZF56" s="1"/>
      <c r="AZG56" s="1"/>
      <c r="AZH56" s="1"/>
      <c r="AZI56" s="1"/>
      <c r="AZJ56" s="1"/>
      <c r="AZK56" s="1"/>
      <c r="AZL56" s="1"/>
      <c r="AZM56" s="1"/>
      <c r="AZN56" s="1"/>
      <c r="AZO56" s="1"/>
      <c r="AZP56" s="1"/>
      <c r="AZQ56" s="1"/>
      <c r="AZR56" s="1"/>
      <c r="AZS56" s="1"/>
      <c r="AZT56" s="1"/>
      <c r="AZU56" s="1"/>
      <c r="AZV56" s="1"/>
      <c r="AZW56" s="1"/>
      <c r="AZX56" s="1"/>
      <c r="AZY56" s="1"/>
      <c r="AZZ56" s="1"/>
      <c r="BAA56" s="1"/>
      <c r="BAB56" s="1"/>
      <c r="BAC56" s="1"/>
      <c r="BAD56" s="1"/>
      <c r="BAE56" s="1"/>
      <c r="BAF56" s="1"/>
      <c r="BAG56" s="1"/>
      <c r="BAH56" s="1"/>
      <c r="BAI56" s="1"/>
      <c r="BAJ56" s="1"/>
      <c r="BAK56" s="1"/>
      <c r="BAL56" s="1"/>
      <c r="BAM56" s="1"/>
      <c r="BAN56" s="1"/>
      <c r="BAO56" s="1"/>
      <c r="BAP56" s="1"/>
      <c r="BAQ56" s="1"/>
      <c r="BAR56" s="1"/>
      <c r="BAS56" s="1"/>
      <c r="BAT56" s="1"/>
      <c r="BAU56" s="1"/>
      <c r="BAV56" s="1"/>
      <c r="BAW56" s="1"/>
      <c r="BAX56" s="1"/>
      <c r="BAY56" s="1"/>
      <c r="BAZ56" s="1"/>
      <c r="BBA56" s="1"/>
      <c r="BBB56" s="1"/>
      <c r="BBC56" s="1"/>
      <c r="BBD56" s="1"/>
      <c r="BBE56" s="1"/>
      <c r="BBF56" s="1"/>
      <c r="BBG56" s="1"/>
      <c r="BBH56" s="1"/>
      <c r="BBI56" s="1"/>
      <c r="BBJ56" s="1"/>
      <c r="BBK56" s="1"/>
      <c r="BBL56" s="1"/>
      <c r="BBM56" s="1"/>
      <c r="BBN56" s="1"/>
      <c r="BBO56" s="1"/>
      <c r="BBP56" s="1"/>
      <c r="BBQ56" s="1"/>
      <c r="BBR56" s="1"/>
      <c r="BBS56" s="1"/>
      <c r="BBT56" s="1"/>
      <c r="BBU56" s="1"/>
      <c r="BBV56" s="1"/>
      <c r="BBW56" s="1"/>
      <c r="BBX56" s="1"/>
      <c r="BBY56" s="1"/>
      <c r="BBZ56" s="1"/>
      <c r="BCA56" s="1"/>
      <c r="BCB56" s="1"/>
      <c r="BCC56" s="1"/>
      <c r="BCD56" s="1"/>
      <c r="BCE56" s="1"/>
      <c r="BCF56" s="1"/>
      <c r="BCG56" s="1"/>
      <c r="BCH56" s="1"/>
      <c r="BCI56" s="1"/>
      <c r="BCJ56" s="1"/>
      <c r="BCK56" s="1"/>
      <c r="BCL56" s="1"/>
      <c r="BCM56" s="1"/>
      <c r="BCN56" s="1"/>
      <c r="BCO56" s="1"/>
      <c r="BCP56" s="1"/>
      <c r="BCQ56" s="1"/>
      <c r="BCR56" s="1"/>
      <c r="BCS56" s="1"/>
      <c r="BCT56" s="1"/>
      <c r="BCU56" s="1"/>
      <c r="BCV56" s="1"/>
      <c r="BCW56" s="1"/>
      <c r="BCX56" s="1"/>
      <c r="BCY56" s="1"/>
      <c r="BCZ56" s="1"/>
      <c r="BDA56" s="1"/>
      <c r="BDB56" s="1"/>
      <c r="BDC56" s="1"/>
      <c r="BDD56" s="1"/>
      <c r="BDE56" s="1"/>
      <c r="BDF56" s="1"/>
      <c r="BDG56" s="1"/>
      <c r="BDH56" s="1"/>
      <c r="BDI56" s="1"/>
      <c r="BDJ56" s="1"/>
      <c r="BDK56" s="1"/>
      <c r="BDL56" s="1"/>
      <c r="BDM56" s="1"/>
      <c r="BDN56" s="1"/>
      <c r="BDO56" s="1"/>
      <c r="BDP56" s="1"/>
      <c r="BDQ56" s="1"/>
      <c r="BDR56" s="1"/>
      <c r="BDS56" s="1"/>
      <c r="BDT56" s="1"/>
      <c r="BDU56" s="1"/>
      <c r="BDV56" s="1"/>
      <c r="BDW56" s="1"/>
      <c r="BDX56" s="1"/>
      <c r="BDY56" s="1"/>
      <c r="BDZ56" s="1"/>
      <c r="BEA56" s="1"/>
      <c r="BEB56" s="1"/>
      <c r="BEC56" s="1"/>
      <c r="BED56" s="1"/>
      <c r="BEE56" s="1"/>
      <c r="BEF56" s="1"/>
      <c r="BEG56" s="1"/>
      <c r="BEH56" s="1"/>
      <c r="BEI56" s="1"/>
      <c r="BEJ56" s="1"/>
      <c r="BEK56" s="1"/>
      <c r="BEL56" s="1"/>
      <c r="BEM56" s="1"/>
      <c r="BEN56" s="1"/>
      <c r="BEO56" s="1"/>
      <c r="BEP56" s="1"/>
      <c r="BEQ56" s="1"/>
      <c r="BER56" s="1"/>
      <c r="BES56" s="1"/>
      <c r="BET56" s="1"/>
      <c r="BEU56" s="1"/>
      <c r="BEV56" s="1"/>
      <c r="BEW56" s="1"/>
      <c r="BEX56" s="1"/>
      <c r="BEY56" s="1"/>
      <c r="BEZ56" s="1"/>
      <c r="BFA56" s="1"/>
      <c r="BFB56" s="1"/>
      <c r="BFC56" s="1"/>
      <c r="BFD56" s="1"/>
      <c r="BFE56" s="1"/>
      <c r="BFF56" s="1"/>
      <c r="BFG56" s="1"/>
      <c r="BFH56" s="1"/>
      <c r="BFI56" s="1"/>
      <c r="BFJ56" s="1"/>
      <c r="BFK56" s="1"/>
      <c r="BFL56" s="1"/>
      <c r="BFM56" s="1"/>
      <c r="BFN56" s="1"/>
      <c r="BFO56" s="1"/>
      <c r="BFP56" s="1"/>
      <c r="BFQ56" s="1"/>
      <c r="BFR56" s="1"/>
      <c r="BFS56" s="1"/>
      <c r="BFT56" s="1"/>
      <c r="BFU56" s="1"/>
      <c r="BFV56" s="1"/>
      <c r="BFW56" s="1"/>
      <c r="BFX56" s="1"/>
      <c r="BFY56" s="1"/>
      <c r="BFZ56" s="1"/>
      <c r="BGA56" s="1"/>
      <c r="BGB56" s="1"/>
      <c r="BGC56" s="1"/>
      <c r="BGD56" s="1"/>
      <c r="BGE56" s="1"/>
      <c r="BGF56" s="1"/>
      <c r="BGG56" s="1"/>
      <c r="BGH56" s="1"/>
      <c r="BGI56" s="1"/>
      <c r="BGJ56" s="1"/>
      <c r="BGK56" s="1"/>
      <c r="BGL56" s="1"/>
      <c r="BGM56" s="1"/>
      <c r="BGN56" s="1"/>
      <c r="BGO56" s="1"/>
      <c r="BGP56" s="1"/>
      <c r="BGQ56" s="1"/>
      <c r="BGR56" s="1"/>
      <c r="BGS56" s="1"/>
      <c r="BGT56" s="1"/>
      <c r="BGU56" s="1"/>
      <c r="BGV56" s="1"/>
      <c r="BGW56" s="1"/>
      <c r="BGX56" s="1"/>
      <c r="BGY56" s="1"/>
      <c r="BGZ56" s="1"/>
      <c r="BHA56" s="1"/>
      <c r="BHB56" s="1"/>
      <c r="BHC56" s="1"/>
      <c r="BHD56" s="1"/>
      <c r="BHE56" s="1"/>
      <c r="BHF56" s="1"/>
      <c r="BHG56" s="1"/>
      <c r="BHH56" s="1"/>
    </row>
    <row r="57" spans="1:1568" ht="12.75" customHeight="1" x14ac:dyDescent="0.2">
      <c r="A57" s="661"/>
      <c r="B57" s="658" t="s">
        <v>1049</v>
      </c>
      <c r="C57" s="650">
        <v>185000</v>
      </c>
      <c r="D57" s="650">
        <v>185000</v>
      </c>
      <c r="E57" s="650">
        <v>310350</v>
      </c>
      <c r="F57" s="653"/>
      <c r="G57" s="643">
        <f t="shared" si="27"/>
        <v>167.75675675675677</v>
      </c>
      <c r="H57" s="659">
        <f t="shared" si="28"/>
        <v>167.75675675675677</v>
      </c>
      <c r="I57" s="660">
        <f t="shared" si="29"/>
        <v>131.22621564482029</v>
      </c>
      <c r="J57" s="29">
        <v>236500</v>
      </c>
    </row>
    <row r="58" spans="1:1568" ht="12.75" customHeight="1" x14ac:dyDescent="0.2">
      <c r="A58" s="665"/>
      <c r="B58" s="658" t="s">
        <v>1050</v>
      </c>
      <c r="C58" s="653">
        <v>5000</v>
      </c>
      <c r="D58" s="653">
        <v>5000</v>
      </c>
      <c r="E58" s="653">
        <v>11700</v>
      </c>
      <c r="F58" s="653"/>
      <c r="G58" s="643">
        <f t="shared" si="27"/>
        <v>234</v>
      </c>
      <c r="H58" s="659">
        <f t="shared" si="28"/>
        <v>234</v>
      </c>
      <c r="I58" s="660">
        <f t="shared" si="29"/>
        <v>265.90909090909093</v>
      </c>
      <c r="J58" s="29">
        <v>4400</v>
      </c>
    </row>
    <row r="59" spans="1:1568" ht="12.75" customHeight="1" x14ac:dyDescent="0.2">
      <c r="A59" s="667">
        <v>1381</v>
      </c>
      <c r="B59" s="640" t="s">
        <v>1051</v>
      </c>
      <c r="C59" s="652">
        <v>2640000</v>
      </c>
      <c r="D59" s="652">
        <v>2640000</v>
      </c>
      <c r="E59" s="652">
        <v>951378.29</v>
      </c>
      <c r="F59" s="653"/>
      <c r="G59" s="642">
        <f t="shared" si="27"/>
        <v>36.037056439393936</v>
      </c>
      <c r="H59" s="644">
        <f t="shared" si="28"/>
        <v>36.037056439393936</v>
      </c>
      <c r="I59" s="645">
        <f t="shared" si="29"/>
        <v>29.218479272684416</v>
      </c>
      <c r="J59" s="29">
        <v>3256084.21</v>
      </c>
    </row>
    <row r="60" spans="1:1568" ht="12.75" customHeight="1" x14ac:dyDescent="0.2">
      <c r="A60" s="667">
        <v>1382</v>
      </c>
      <c r="B60" s="640" t="s">
        <v>1832</v>
      </c>
      <c r="C60" s="652">
        <v>0</v>
      </c>
      <c r="D60" s="652">
        <v>0</v>
      </c>
      <c r="E60" s="652">
        <v>265.99</v>
      </c>
      <c r="F60" s="653"/>
      <c r="G60" s="642">
        <v>0</v>
      </c>
      <c r="H60" s="644">
        <v>0</v>
      </c>
      <c r="I60" s="645">
        <f t="shared" si="29"/>
        <v>707.60840649108798</v>
      </c>
      <c r="J60" s="29">
        <v>37.590000000000003</v>
      </c>
    </row>
    <row r="61" spans="1:1568" ht="12.75" customHeight="1" x14ac:dyDescent="0.2">
      <c r="A61" s="667">
        <v>1385</v>
      </c>
      <c r="B61" s="640" t="s">
        <v>1052</v>
      </c>
      <c r="C61" s="652">
        <v>3000000</v>
      </c>
      <c r="D61" s="652">
        <f>3000000+3000000</f>
        <v>6000000</v>
      </c>
      <c r="E61" s="652">
        <v>6164708.0499999998</v>
      </c>
      <c r="F61" s="653"/>
      <c r="G61" s="642">
        <f t="shared" si="27"/>
        <v>205.49026833333332</v>
      </c>
      <c r="H61" s="644">
        <f t="shared" si="28"/>
        <v>102.74513416666666</v>
      </c>
      <c r="I61" s="645">
        <f t="shared" si="29"/>
        <v>30.407037722306075</v>
      </c>
      <c r="J61" s="29">
        <v>20273951.399999999</v>
      </c>
    </row>
    <row r="62" spans="1:1568" ht="12.75" customHeight="1" x14ac:dyDescent="0.2">
      <c r="A62" s="667">
        <v>1386</v>
      </c>
      <c r="B62" s="640" t="s">
        <v>1053</v>
      </c>
      <c r="C62" s="652">
        <v>0</v>
      </c>
      <c r="D62" s="652">
        <f>1898021.23</f>
        <v>1898021.23</v>
      </c>
      <c r="E62" s="652">
        <v>2641146.7000000002</v>
      </c>
      <c r="F62" s="653"/>
      <c r="G62" s="642">
        <v>0</v>
      </c>
      <c r="H62" s="644">
        <f t="shared" si="28"/>
        <v>139.15264267091473</v>
      </c>
      <c r="I62" s="645">
        <v>0</v>
      </c>
      <c r="J62" s="29">
        <v>0</v>
      </c>
    </row>
    <row r="63" spans="1:1568" ht="12.75" customHeight="1" x14ac:dyDescent="0.2">
      <c r="A63" s="667">
        <v>1387</v>
      </c>
      <c r="B63" s="640" t="s">
        <v>1054</v>
      </c>
      <c r="C63" s="652">
        <v>0</v>
      </c>
      <c r="D63" s="652">
        <f>(2015699.68+890401.74)</f>
        <v>2906101.42</v>
      </c>
      <c r="E63" s="652">
        <v>4218074.7</v>
      </c>
      <c r="F63" s="653"/>
      <c r="G63" s="642">
        <v>0</v>
      </c>
      <c r="H63" s="644">
        <f t="shared" si="28"/>
        <v>145.14547465449434</v>
      </c>
      <c r="I63" s="645">
        <v>0</v>
      </c>
      <c r="J63" s="29">
        <v>0</v>
      </c>
    </row>
    <row r="64" spans="1:1568" s="98" customFormat="1" ht="12.75" customHeight="1" x14ac:dyDescent="0.2">
      <c r="A64" s="639">
        <v>1511</v>
      </c>
      <c r="B64" s="640" t="s">
        <v>1055</v>
      </c>
      <c r="C64" s="649">
        <v>23960000</v>
      </c>
      <c r="D64" s="649">
        <v>23960000</v>
      </c>
      <c r="E64" s="652">
        <v>22498311.84</v>
      </c>
      <c r="F64" s="650"/>
      <c r="G64" s="642">
        <f t="shared" si="27"/>
        <v>93.899465108514192</v>
      </c>
      <c r="H64" s="644">
        <f t="shared" si="28"/>
        <v>93.899465108514192</v>
      </c>
      <c r="I64" s="645">
        <f t="shared" si="29"/>
        <v>173.62375350119373</v>
      </c>
      <c r="J64" s="29">
        <v>12958084.01</v>
      </c>
    </row>
    <row r="65" spans="1:57" s="98" customFormat="1" ht="12.75" customHeight="1" x14ac:dyDescent="0.2">
      <c r="A65" s="668"/>
      <c r="B65" s="669"/>
      <c r="C65" s="670"/>
      <c r="D65" s="670"/>
      <c r="E65" s="670"/>
      <c r="F65" s="671"/>
      <c r="G65" s="670"/>
      <c r="H65" s="670"/>
      <c r="I65" s="672"/>
      <c r="J65" s="29"/>
    </row>
    <row r="66" spans="1:57" s="98" customFormat="1" ht="18.75" customHeight="1" x14ac:dyDescent="0.25">
      <c r="A66" s="673"/>
      <c r="B66" s="674" t="s">
        <v>10</v>
      </c>
      <c r="C66" s="363">
        <f>SUM(C67,C79:C83,C96:C97,C114:C114,C128:C130,C149:C150)</f>
        <v>163957324.72000003</v>
      </c>
      <c r="D66" s="363">
        <f>SUM(D67,D79:D83,D96:D97,D114:D114,D128:D130,D149:D150)</f>
        <v>182538913.91000003</v>
      </c>
      <c r="E66" s="675">
        <v>290543202.69</v>
      </c>
      <c r="F66" s="1214">
        <f>SUM(E67,E79:E83,E96:E97,E114,E127:E130,E149:E150)</f>
        <v>290543202.69000006</v>
      </c>
      <c r="G66" s="631">
        <f t="shared" si="27"/>
        <v>177.2066012824852</v>
      </c>
      <c r="H66" s="631">
        <f t="shared" si="28"/>
        <v>159.16781603798245</v>
      </c>
      <c r="I66" s="677">
        <f t="shared" si="29"/>
        <v>174.0097685415131</v>
      </c>
      <c r="J66" s="29">
        <v>166969478.28</v>
      </c>
    </row>
    <row r="67" spans="1:57" s="98" customFormat="1" ht="12.75" customHeight="1" x14ac:dyDescent="0.2">
      <c r="A67" s="678">
        <v>2111</v>
      </c>
      <c r="B67" s="635" t="s">
        <v>1056</v>
      </c>
      <c r="C67" s="679">
        <f>SUM(C68:C78)</f>
        <v>16515400</v>
      </c>
      <c r="D67" s="679">
        <f>SUM(D68:D78)</f>
        <v>16665400</v>
      </c>
      <c r="E67" s="680">
        <v>22469478.949999999</v>
      </c>
      <c r="F67" s="681">
        <f>SUM(E68:E78)</f>
        <v>22469478.950000003</v>
      </c>
      <c r="G67" s="642">
        <f t="shared" si="27"/>
        <v>136.05167873620985</v>
      </c>
      <c r="H67" s="644">
        <f t="shared" si="28"/>
        <v>134.82712056116264</v>
      </c>
      <c r="I67" s="645">
        <f t="shared" si="29"/>
        <v>116.17814839681391</v>
      </c>
      <c r="J67" s="29">
        <v>19340538.010000002</v>
      </c>
    </row>
    <row r="68" spans="1:57" s="98" customFormat="1" ht="12.75" customHeight="1" x14ac:dyDescent="0.2">
      <c r="A68" s="678"/>
      <c r="B68" s="682" t="s">
        <v>1057</v>
      </c>
      <c r="C68" s="653">
        <v>0</v>
      </c>
      <c r="D68" s="653">
        <v>0</v>
      </c>
      <c r="E68" s="653">
        <v>660</v>
      </c>
      <c r="F68" s="653"/>
      <c r="G68" s="643">
        <v>0</v>
      </c>
      <c r="H68" s="659">
        <v>0</v>
      </c>
      <c r="I68" s="660">
        <f t="shared" si="29"/>
        <v>183.33333333333331</v>
      </c>
      <c r="J68" s="29">
        <v>360</v>
      </c>
    </row>
    <row r="69" spans="1:57" ht="12.75" customHeight="1" x14ac:dyDescent="0.2">
      <c r="A69" s="683"/>
      <c r="B69" s="658" t="s">
        <v>1058</v>
      </c>
      <c r="C69" s="653">
        <v>800000</v>
      </c>
      <c r="D69" s="653">
        <v>800000</v>
      </c>
      <c r="E69" s="653">
        <v>855249.74</v>
      </c>
      <c r="F69" s="653"/>
      <c r="G69" s="643">
        <f t="shared" si="27"/>
        <v>106.9062175</v>
      </c>
      <c r="H69" s="659">
        <f t="shared" si="28"/>
        <v>106.9062175</v>
      </c>
      <c r="I69" s="660">
        <f t="shared" si="29"/>
        <v>104.01449871946893</v>
      </c>
      <c r="J69" s="29">
        <v>822240.89</v>
      </c>
    </row>
    <row r="70" spans="1:57" ht="12.75" customHeight="1" x14ac:dyDescent="0.2">
      <c r="A70" s="684"/>
      <c r="B70" s="658" t="s">
        <v>1059</v>
      </c>
      <c r="C70" s="653">
        <v>950000</v>
      </c>
      <c r="D70" s="653">
        <f>950000+150000</f>
        <v>1100000</v>
      </c>
      <c r="E70" s="653">
        <v>1501529.5</v>
      </c>
      <c r="F70" s="653"/>
      <c r="G70" s="643">
        <f t="shared" si="27"/>
        <v>158.05573684210526</v>
      </c>
      <c r="H70" s="659">
        <f t="shared" si="28"/>
        <v>136.50268181818183</v>
      </c>
      <c r="I70" s="660">
        <f t="shared" si="29"/>
        <v>107.90023999229486</v>
      </c>
      <c r="J70" s="29">
        <v>1391590.51</v>
      </c>
    </row>
    <row r="71" spans="1:57" ht="12.75" customHeight="1" x14ac:dyDescent="0.2">
      <c r="A71" s="684"/>
      <c r="B71" s="658" t="s">
        <v>1060</v>
      </c>
      <c r="C71" s="653">
        <v>0</v>
      </c>
      <c r="D71" s="653">
        <v>0</v>
      </c>
      <c r="E71" s="653">
        <v>23500</v>
      </c>
      <c r="F71" s="653"/>
      <c r="G71" s="643">
        <v>0</v>
      </c>
      <c r="H71" s="659">
        <v>0</v>
      </c>
      <c r="I71" s="660">
        <f t="shared" si="29"/>
        <v>117.5</v>
      </c>
      <c r="J71" s="29">
        <v>20000</v>
      </c>
    </row>
    <row r="72" spans="1:57" s="685" customFormat="1" ht="12.75" customHeight="1" x14ac:dyDescent="0.2">
      <c r="A72" s="684"/>
      <c r="B72" s="686" t="s">
        <v>1061</v>
      </c>
      <c r="C72" s="687">
        <v>6700000</v>
      </c>
      <c r="D72" s="687">
        <v>6700000</v>
      </c>
      <c r="E72" s="653">
        <v>10015475.33</v>
      </c>
      <c r="F72" s="653"/>
      <c r="G72" s="643">
        <f t="shared" si="27"/>
        <v>149.48470641791044</v>
      </c>
      <c r="H72" s="659">
        <f t="shared" si="28"/>
        <v>149.48470641791044</v>
      </c>
      <c r="I72" s="660">
        <f t="shared" si="29"/>
        <v>116.87266888162088</v>
      </c>
      <c r="J72" s="29">
        <v>8569561.5800000001</v>
      </c>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row>
    <row r="73" spans="1:57" s="685" customFormat="1" ht="12.75" customHeight="1" x14ac:dyDescent="0.2">
      <c r="A73" s="684"/>
      <c r="B73" s="686" t="s">
        <v>1062</v>
      </c>
      <c r="C73" s="687">
        <v>2049000</v>
      </c>
      <c r="D73" s="687">
        <v>2049000</v>
      </c>
      <c r="E73" s="653">
        <v>2320641.83</v>
      </c>
      <c r="F73" s="653"/>
      <c r="G73" s="643">
        <f t="shared" si="27"/>
        <v>113.2572879453392</v>
      </c>
      <c r="H73" s="659">
        <f t="shared" si="28"/>
        <v>113.2572879453392</v>
      </c>
      <c r="I73" s="660">
        <f t="shared" si="29"/>
        <v>130.47868204220524</v>
      </c>
      <c r="J73" s="29">
        <v>1778560.14</v>
      </c>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row>
    <row r="74" spans="1:57" s="685" customFormat="1" ht="12.75" customHeight="1" x14ac:dyDescent="0.2">
      <c r="A74" s="684"/>
      <c r="B74" s="686" t="s">
        <v>1063</v>
      </c>
      <c r="C74" s="687">
        <v>2955900</v>
      </c>
      <c r="D74" s="687">
        <v>2955900</v>
      </c>
      <c r="E74" s="653">
        <v>1982632.55</v>
      </c>
      <c r="F74" s="653"/>
      <c r="G74" s="643">
        <f t="shared" si="27"/>
        <v>67.073735579688091</v>
      </c>
      <c r="H74" s="659">
        <f t="shared" si="28"/>
        <v>67.073735579688091</v>
      </c>
      <c r="I74" s="660">
        <f t="shared" si="29"/>
        <v>73.829074682844791</v>
      </c>
      <c r="J74" s="29">
        <v>2685436</v>
      </c>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row>
    <row r="75" spans="1:57" s="685" customFormat="1" ht="12.75" customHeight="1" x14ac:dyDescent="0.2">
      <c r="A75" s="684"/>
      <c r="B75" s="686" t="s">
        <v>1064</v>
      </c>
      <c r="C75" s="687">
        <v>0</v>
      </c>
      <c r="D75" s="687">
        <v>0</v>
      </c>
      <c r="E75" s="653">
        <v>1516816</v>
      </c>
      <c r="F75" s="653"/>
      <c r="G75" s="643">
        <v>0</v>
      </c>
      <c r="H75" s="659">
        <v>0</v>
      </c>
      <c r="I75" s="660">
        <v>0</v>
      </c>
      <c r="J75" s="29">
        <v>0</v>
      </c>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row>
    <row r="76" spans="1:57" ht="12.75" customHeight="1" x14ac:dyDescent="0.2">
      <c r="A76" s="684"/>
      <c r="B76" s="686" t="s">
        <v>1065</v>
      </c>
      <c r="C76" s="687">
        <v>3000000</v>
      </c>
      <c r="D76" s="687">
        <v>3000000</v>
      </c>
      <c r="E76" s="653">
        <v>4189057</v>
      </c>
      <c r="F76" s="653"/>
      <c r="G76" s="643">
        <f t="shared" si="27"/>
        <v>139.63523333333333</v>
      </c>
      <c r="H76" s="659">
        <f t="shared" si="28"/>
        <v>139.63523333333333</v>
      </c>
      <c r="I76" s="660">
        <f t="shared" si="29"/>
        <v>108.01037236127212</v>
      </c>
      <c r="J76" s="29">
        <v>3878384</v>
      </c>
    </row>
    <row r="77" spans="1:57" ht="12.75" customHeight="1" x14ac:dyDescent="0.2">
      <c r="A77" s="684"/>
      <c r="B77" s="686" t="s">
        <v>1066</v>
      </c>
      <c r="C77" s="687">
        <v>60000</v>
      </c>
      <c r="D77" s="687">
        <v>60000</v>
      </c>
      <c r="E77" s="653">
        <v>63000</v>
      </c>
      <c r="F77" s="653"/>
      <c r="G77" s="643">
        <f t="shared" si="27"/>
        <v>105</v>
      </c>
      <c r="H77" s="659">
        <f t="shared" si="28"/>
        <v>105</v>
      </c>
      <c r="I77" s="660">
        <f t="shared" si="29"/>
        <v>104.65116279069768</v>
      </c>
      <c r="J77" s="29">
        <v>60200</v>
      </c>
    </row>
    <row r="78" spans="1:57" ht="12.75" customHeight="1" x14ac:dyDescent="0.2">
      <c r="A78" s="684"/>
      <c r="B78" s="686" t="s">
        <v>1067</v>
      </c>
      <c r="C78" s="687">
        <v>500</v>
      </c>
      <c r="D78" s="687">
        <v>500</v>
      </c>
      <c r="E78" s="653">
        <v>917</v>
      </c>
      <c r="F78" s="653"/>
      <c r="G78" s="643">
        <f t="shared" si="27"/>
        <v>183.4</v>
      </c>
      <c r="H78" s="659">
        <f t="shared" si="28"/>
        <v>183.4</v>
      </c>
      <c r="I78" s="660">
        <f t="shared" si="29"/>
        <v>21.540991308433171</v>
      </c>
      <c r="J78" s="29">
        <v>4257</v>
      </c>
    </row>
    <row r="79" spans="1:57" s="688" customFormat="1" ht="12.75" customHeight="1" x14ac:dyDescent="0.2">
      <c r="A79" s="683">
        <v>2119</v>
      </c>
      <c r="B79" s="689" t="s">
        <v>1068</v>
      </c>
      <c r="C79" s="663">
        <v>3000000</v>
      </c>
      <c r="D79" s="663">
        <v>3000000</v>
      </c>
      <c r="E79" s="652">
        <v>278721.08</v>
      </c>
      <c r="F79" s="653"/>
      <c r="G79" s="642">
        <f t="shared" si="27"/>
        <v>9.2907026666666663</v>
      </c>
      <c r="H79" s="644">
        <f t="shared" si="28"/>
        <v>9.2907026666666663</v>
      </c>
      <c r="I79" s="645">
        <f t="shared" si="29"/>
        <v>11.97465960125535</v>
      </c>
      <c r="J79" s="29">
        <v>2327590.84</v>
      </c>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98"/>
      <c r="BA79" s="98"/>
      <c r="BB79" s="98"/>
      <c r="BC79" s="98"/>
      <c r="BD79" s="98"/>
      <c r="BE79" s="98"/>
    </row>
    <row r="80" spans="1:57" s="98" customFormat="1" ht="12.75" customHeight="1" x14ac:dyDescent="0.2">
      <c r="A80" s="683">
        <v>2122</v>
      </c>
      <c r="B80" s="690" t="s">
        <v>1069</v>
      </c>
      <c r="C80" s="691">
        <f>SUM(355760+288696.24+157064+934180+398227+74093+156477+126060+522020+175356+962729.12)</f>
        <v>4150662.3600000003</v>
      </c>
      <c r="D80" s="691">
        <f>SUM(355760+288696.24+157064+934180+398227+74093+156477+126060+522020+175356+962729.12)+192228+(1009024.72+835189.98)-1196+32936+173723</f>
        <v>6392568.0600000005</v>
      </c>
      <c r="E80" s="692">
        <v>6392568.0599999996</v>
      </c>
      <c r="F80" s="693"/>
      <c r="G80" s="642">
        <f t="shared" si="27"/>
        <v>154.01320332882963</v>
      </c>
      <c r="H80" s="644">
        <f t="shared" si="28"/>
        <v>99.999999999999986</v>
      </c>
      <c r="I80" s="645">
        <f t="shared" si="29"/>
        <v>160.31091042797917</v>
      </c>
      <c r="J80" s="29">
        <v>3987606.36</v>
      </c>
    </row>
    <row r="81" spans="1:57" s="98" customFormat="1" ht="12.75" customHeight="1" x14ac:dyDescent="0.2">
      <c r="A81" s="683">
        <v>2123</v>
      </c>
      <c r="B81" s="690" t="s">
        <v>1833</v>
      </c>
      <c r="C81" s="691">
        <v>0</v>
      </c>
      <c r="D81" s="691">
        <v>88500</v>
      </c>
      <c r="E81" s="692">
        <v>88500</v>
      </c>
      <c r="F81" s="693"/>
      <c r="G81" s="642">
        <v>0</v>
      </c>
      <c r="H81" s="644">
        <f t="shared" si="28"/>
        <v>100</v>
      </c>
      <c r="I81" s="645">
        <v>0</v>
      </c>
      <c r="J81" s="29">
        <v>0</v>
      </c>
    </row>
    <row r="82" spans="1:57" s="98" customFormat="1" ht="12.75" customHeight="1" x14ac:dyDescent="0.2">
      <c r="A82" s="683">
        <v>2131</v>
      </c>
      <c r="B82" s="689" t="s">
        <v>1070</v>
      </c>
      <c r="C82" s="663">
        <v>1000000</v>
      </c>
      <c r="D82" s="663">
        <v>1000000</v>
      </c>
      <c r="E82" s="652">
        <v>1603325.72</v>
      </c>
      <c r="F82" s="653"/>
      <c r="G82" s="642">
        <f t="shared" si="27"/>
        <v>160.332572</v>
      </c>
      <c r="H82" s="644">
        <f t="shared" si="28"/>
        <v>160.332572</v>
      </c>
      <c r="I82" s="651">
        <f t="shared" si="29"/>
        <v>112.90079738667541</v>
      </c>
      <c r="J82" s="29">
        <v>1420119.04</v>
      </c>
    </row>
    <row r="83" spans="1:57" s="98" customFormat="1" ht="12.75" customHeight="1" x14ac:dyDescent="0.2">
      <c r="A83" s="683">
        <v>2132</v>
      </c>
      <c r="B83" s="690" t="s">
        <v>1071</v>
      </c>
      <c r="C83" s="694">
        <f>SUM(C84:C95)</f>
        <v>105248875</v>
      </c>
      <c r="D83" s="694">
        <f>SUM(D84:D95)</f>
        <v>105538208</v>
      </c>
      <c r="E83" s="649">
        <v>117486796.47</v>
      </c>
      <c r="F83" s="650">
        <f>SUM(E84:E95)</f>
        <v>117486796.47000001</v>
      </c>
      <c r="G83" s="642">
        <f t="shared" si="27"/>
        <v>111.62760311689792</v>
      </c>
      <c r="H83" s="644">
        <f t="shared" si="28"/>
        <v>111.32157604002523</v>
      </c>
      <c r="I83" s="645">
        <f t="shared" si="29"/>
        <v>114.40766072343449</v>
      </c>
      <c r="J83" s="29">
        <v>102691372</v>
      </c>
    </row>
    <row r="84" spans="1:57" ht="12.75" customHeight="1" x14ac:dyDescent="0.2">
      <c r="A84" s="684"/>
      <c r="B84" s="686" t="s">
        <v>1072</v>
      </c>
      <c r="C84" s="687">
        <v>810000</v>
      </c>
      <c r="D84" s="687">
        <v>810000</v>
      </c>
      <c r="E84" s="653">
        <v>875364</v>
      </c>
      <c r="F84" s="653"/>
      <c r="G84" s="643">
        <f t="shared" si="27"/>
        <v>108.06962962962963</v>
      </c>
      <c r="H84" s="659">
        <f t="shared" si="28"/>
        <v>108.06962962962963</v>
      </c>
      <c r="I84" s="660">
        <f t="shared" si="29"/>
        <v>113.47841727784494</v>
      </c>
      <c r="J84" s="29">
        <v>771392.5</v>
      </c>
    </row>
    <row r="85" spans="1:57" ht="12.75" customHeight="1" x14ac:dyDescent="0.2">
      <c r="A85" s="684"/>
      <c r="B85" s="686" t="s">
        <v>1073</v>
      </c>
      <c r="C85" s="687">
        <v>7000</v>
      </c>
      <c r="D85" s="687">
        <v>7000</v>
      </c>
      <c r="E85" s="653">
        <v>20078</v>
      </c>
      <c r="F85" s="653"/>
      <c r="G85" s="643">
        <f t="shared" si="27"/>
        <v>286.82857142857142</v>
      </c>
      <c r="H85" s="659">
        <f t="shared" si="28"/>
        <v>286.82857142857142</v>
      </c>
      <c r="I85" s="660">
        <f t="shared" si="29"/>
        <v>366.32001459587667</v>
      </c>
      <c r="J85" s="29">
        <v>5481</v>
      </c>
    </row>
    <row r="86" spans="1:57" ht="12.75" customHeight="1" x14ac:dyDescent="0.2">
      <c r="A86" s="684"/>
      <c r="B86" s="686" t="s">
        <v>1074</v>
      </c>
      <c r="C86" s="687">
        <v>600000</v>
      </c>
      <c r="D86" s="687">
        <v>600000</v>
      </c>
      <c r="E86" s="653">
        <v>1149333.1000000001</v>
      </c>
      <c r="F86" s="653"/>
      <c r="G86" s="643">
        <f t="shared" si="27"/>
        <v>191.55551666666668</v>
      </c>
      <c r="H86" s="659">
        <f t="shared" si="28"/>
        <v>191.55551666666668</v>
      </c>
      <c r="I86" s="660">
        <f t="shared" si="29"/>
        <v>158.8170977731867</v>
      </c>
      <c r="J86" s="29">
        <v>723683.48</v>
      </c>
    </row>
    <row r="87" spans="1:57" s="685" customFormat="1" ht="12.75" customHeight="1" x14ac:dyDescent="0.2">
      <c r="A87" s="684"/>
      <c r="B87" s="686" t="s">
        <v>1075</v>
      </c>
      <c r="C87" s="687">
        <v>340000</v>
      </c>
      <c r="D87" s="687">
        <v>340000</v>
      </c>
      <c r="E87" s="653">
        <v>345109.16</v>
      </c>
      <c r="F87" s="653"/>
      <c r="G87" s="643">
        <f t="shared" si="27"/>
        <v>101.50269411764705</v>
      </c>
      <c r="H87" s="659">
        <f t="shared" si="28"/>
        <v>101.50269411764705</v>
      </c>
      <c r="I87" s="660">
        <f t="shared" si="29"/>
        <v>111.68810027726457</v>
      </c>
      <c r="J87" s="29">
        <v>308993.67</v>
      </c>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row>
    <row r="88" spans="1:57" s="685" customFormat="1" ht="12.75" customHeight="1" x14ac:dyDescent="0.2">
      <c r="A88" s="684"/>
      <c r="B88" s="695" t="s">
        <v>1076</v>
      </c>
      <c r="C88" s="687">
        <v>75480000</v>
      </c>
      <c r="D88" s="687">
        <v>75480000</v>
      </c>
      <c r="E88" s="653">
        <v>82521332.579999998</v>
      </c>
      <c r="F88" s="653"/>
      <c r="G88" s="643">
        <f t="shared" si="27"/>
        <v>109.32873950715421</v>
      </c>
      <c r="H88" s="659">
        <f t="shared" si="28"/>
        <v>109.32873950715421</v>
      </c>
      <c r="I88" s="664">
        <f t="shared" si="29"/>
        <v>117.28361861156122</v>
      </c>
      <c r="J88" s="29">
        <v>70360493.269999996</v>
      </c>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row>
    <row r="89" spans="1:57" ht="12.75" customHeight="1" x14ac:dyDescent="0.2">
      <c r="A89" s="684"/>
      <c r="B89" s="695" t="s">
        <v>1077</v>
      </c>
      <c r="C89" s="687">
        <v>180875</v>
      </c>
      <c r="D89" s="687">
        <v>180875</v>
      </c>
      <c r="E89" s="653">
        <v>127330.69</v>
      </c>
      <c r="F89" s="653"/>
      <c r="G89" s="643">
        <f t="shared" si="27"/>
        <v>70.397064270905318</v>
      </c>
      <c r="H89" s="659">
        <f t="shared" si="28"/>
        <v>70.397064270905318</v>
      </c>
      <c r="I89" s="660">
        <f t="shared" si="29"/>
        <v>109.53188940926218</v>
      </c>
      <c r="J89" s="29">
        <v>116249.88</v>
      </c>
    </row>
    <row r="90" spans="1:57" ht="12.75" customHeight="1" x14ac:dyDescent="0.2">
      <c r="A90" s="684"/>
      <c r="B90" s="686" t="s">
        <v>1834</v>
      </c>
      <c r="C90" s="687">
        <v>100000</v>
      </c>
      <c r="D90" s="687">
        <v>100000</v>
      </c>
      <c r="E90" s="653">
        <v>126048.12</v>
      </c>
      <c r="F90" s="653"/>
      <c r="G90" s="643">
        <f t="shared" si="27"/>
        <v>126.04811999999998</v>
      </c>
      <c r="H90" s="659">
        <f t="shared" si="28"/>
        <v>126.04811999999998</v>
      </c>
      <c r="I90" s="660">
        <f t="shared" si="29"/>
        <v>23.478763016378899</v>
      </c>
      <c r="J90" s="29">
        <v>536860.14</v>
      </c>
    </row>
    <row r="91" spans="1:57" s="685" customFormat="1" ht="24.75" x14ac:dyDescent="0.2">
      <c r="A91" s="684"/>
      <c r="B91" s="696" t="s">
        <v>1079</v>
      </c>
      <c r="C91" s="687">
        <v>15796000</v>
      </c>
      <c r="D91" s="687">
        <v>15796000</v>
      </c>
      <c r="E91" s="653">
        <v>20077884.649999999</v>
      </c>
      <c r="F91" s="653"/>
      <c r="G91" s="643">
        <f t="shared" si="27"/>
        <v>127.10739839199796</v>
      </c>
      <c r="H91" s="659">
        <f t="shared" si="28"/>
        <v>127.10739839199796</v>
      </c>
      <c r="I91" s="664">
        <f t="shared" si="29"/>
        <v>109.65032488538098</v>
      </c>
      <c r="J91" s="654">
        <v>18310830.059999999</v>
      </c>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row>
    <row r="92" spans="1:57" s="685" customFormat="1" ht="12.75" customHeight="1" x14ac:dyDescent="0.2">
      <c r="A92" s="684"/>
      <c r="B92" s="686" t="s">
        <v>1080</v>
      </c>
      <c r="C92" s="687">
        <v>11500000</v>
      </c>
      <c r="D92" s="687">
        <f>11500000+289333</f>
        <v>11789333</v>
      </c>
      <c r="E92" s="653">
        <v>11789333</v>
      </c>
      <c r="F92" s="653"/>
      <c r="G92" s="643">
        <f t="shared" si="27"/>
        <v>102.51593913043477</v>
      </c>
      <c r="H92" s="659">
        <f t="shared" si="28"/>
        <v>100</v>
      </c>
      <c r="I92" s="664">
        <f t="shared" si="29"/>
        <v>102.51593913043477</v>
      </c>
      <c r="J92" s="29">
        <v>11500000</v>
      </c>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row>
    <row r="93" spans="1:57" s="685" customFormat="1" ht="12.75" customHeight="1" x14ac:dyDescent="0.2">
      <c r="A93" s="684"/>
      <c r="B93" s="686" t="s">
        <v>1835</v>
      </c>
      <c r="C93" s="687">
        <v>400000</v>
      </c>
      <c r="D93" s="687">
        <v>400000</v>
      </c>
      <c r="E93" s="653">
        <v>391845.17</v>
      </c>
      <c r="F93" s="653"/>
      <c r="G93" s="643">
        <f t="shared" si="27"/>
        <v>97.961292499999999</v>
      </c>
      <c r="H93" s="659">
        <f t="shared" si="28"/>
        <v>97.961292499999999</v>
      </c>
      <c r="I93" s="664">
        <v>0</v>
      </c>
      <c r="J93" s="29">
        <v>0</v>
      </c>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row>
    <row r="94" spans="1:57" s="685" customFormat="1" ht="12.75" customHeight="1" x14ac:dyDescent="0.2">
      <c r="A94" s="684"/>
      <c r="B94" s="686" t="s">
        <v>1082</v>
      </c>
      <c r="C94" s="687">
        <v>20000</v>
      </c>
      <c r="D94" s="687">
        <v>20000</v>
      </c>
      <c r="E94" s="653">
        <v>27100</v>
      </c>
      <c r="F94" s="653"/>
      <c r="G94" s="643">
        <f t="shared" si="27"/>
        <v>135.5</v>
      </c>
      <c r="H94" s="659">
        <f t="shared" si="28"/>
        <v>135.5</v>
      </c>
      <c r="I94" s="660">
        <f t="shared" si="29"/>
        <v>95.759717314487631</v>
      </c>
      <c r="J94" s="29">
        <v>28300</v>
      </c>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row>
    <row r="95" spans="1:57" ht="12.75" customHeight="1" x14ac:dyDescent="0.2">
      <c r="A95" s="697"/>
      <c r="B95" s="686" t="s">
        <v>1083</v>
      </c>
      <c r="C95" s="687">
        <v>15000</v>
      </c>
      <c r="D95" s="687">
        <v>15000</v>
      </c>
      <c r="E95" s="653">
        <v>36038</v>
      </c>
      <c r="F95" s="653"/>
      <c r="G95" s="643">
        <f t="shared" si="27"/>
        <v>240.25333333333333</v>
      </c>
      <c r="H95" s="659">
        <f t="shared" si="28"/>
        <v>240.25333333333333</v>
      </c>
      <c r="I95" s="660">
        <f t="shared" si="29"/>
        <v>123.89301430143014</v>
      </c>
      <c r="J95" s="29">
        <v>29088</v>
      </c>
    </row>
    <row r="96" spans="1:57" s="98" customFormat="1" ht="12.75" customHeight="1" x14ac:dyDescent="0.2">
      <c r="A96" s="698">
        <v>2141</v>
      </c>
      <c r="B96" s="690" t="s">
        <v>118</v>
      </c>
      <c r="C96" s="663">
        <v>10000</v>
      </c>
      <c r="D96" s="663">
        <f>10000+63011.99</f>
        <v>73011.989999999991</v>
      </c>
      <c r="E96" s="652">
        <v>2789316.83</v>
      </c>
      <c r="F96" s="653"/>
      <c r="G96" s="642">
        <f t="shared" ref="G96:G137" si="32">E96/C96*100</f>
        <v>27893.168300000001</v>
      </c>
      <c r="H96" s="644">
        <f t="shared" ref="H96:H133" si="33">E96/D96*100</f>
        <v>3820.3544787643787</v>
      </c>
      <c r="I96" s="645">
        <f t="shared" ref="I96:I138" si="34">E96/J96*100</f>
        <v>87973.860948331872</v>
      </c>
      <c r="J96" s="29">
        <v>3170.62</v>
      </c>
    </row>
    <row r="97" spans="1:57" s="98" customFormat="1" ht="12.75" customHeight="1" x14ac:dyDescent="0.2">
      <c r="A97" s="698">
        <v>2212</v>
      </c>
      <c r="B97" s="690" t="s">
        <v>1084</v>
      </c>
      <c r="C97" s="694">
        <f>SUM(C98:C113)</f>
        <v>11730000</v>
      </c>
      <c r="D97" s="694">
        <f>SUM(D98:D113)</f>
        <v>11780700</v>
      </c>
      <c r="E97" s="649">
        <v>21738246.41</v>
      </c>
      <c r="F97" s="650">
        <f>SUM(E98:E113)</f>
        <v>21738246.41</v>
      </c>
      <c r="G97" s="642">
        <f t="shared" si="32"/>
        <v>185.32179377664107</v>
      </c>
      <c r="H97" s="644">
        <f t="shared" si="33"/>
        <v>184.52423378916362</v>
      </c>
      <c r="I97" s="645">
        <f t="shared" si="34"/>
        <v>163.42318972892943</v>
      </c>
      <c r="J97" s="29">
        <v>13301812.58</v>
      </c>
    </row>
    <row r="98" spans="1:57" ht="12.75" customHeight="1" x14ac:dyDescent="0.2">
      <c r="A98" s="699"/>
      <c r="B98" s="686" t="s">
        <v>1085</v>
      </c>
      <c r="C98" s="687">
        <v>15000</v>
      </c>
      <c r="D98" s="687">
        <v>15000</v>
      </c>
      <c r="E98" s="653">
        <v>20000</v>
      </c>
      <c r="F98" s="653"/>
      <c r="G98" s="643">
        <f t="shared" si="32"/>
        <v>133.33333333333331</v>
      </c>
      <c r="H98" s="659">
        <f t="shared" si="33"/>
        <v>133.33333333333331</v>
      </c>
      <c r="I98" s="660">
        <f t="shared" si="34"/>
        <v>58.997050147492622</v>
      </c>
      <c r="J98" s="29">
        <v>33900</v>
      </c>
    </row>
    <row r="99" spans="1:57" ht="12.75" customHeight="1" x14ac:dyDescent="0.2">
      <c r="A99" s="697"/>
      <c r="B99" s="686" t="s">
        <v>121</v>
      </c>
      <c r="C99" s="687">
        <v>100000</v>
      </c>
      <c r="D99" s="687">
        <v>100000</v>
      </c>
      <c r="E99" s="653">
        <v>61400</v>
      </c>
      <c r="F99" s="653"/>
      <c r="G99" s="643">
        <f t="shared" si="32"/>
        <v>61.4</v>
      </c>
      <c r="H99" s="659">
        <f t="shared" si="33"/>
        <v>61.4</v>
      </c>
      <c r="I99" s="660">
        <f t="shared" si="34"/>
        <v>50.81729774467204</v>
      </c>
      <c r="J99" s="29">
        <v>120825</v>
      </c>
    </row>
    <row r="100" spans="1:57" ht="12.75" customHeight="1" x14ac:dyDescent="0.2">
      <c r="A100" s="697"/>
      <c r="B100" s="686" t="s">
        <v>1086</v>
      </c>
      <c r="C100" s="687">
        <v>0</v>
      </c>
      <c r="D100" s="687">
        <v>0</v>
      </c>
      <c r="E100" s="700">
        <v>121449.64</v>
      </c>
      <c r="F100" s="700"/>
      <c r="G100" s="643">
        <v>0</v>
      </c>
      <c r="H100" s="659">
        <v>0</v>
      </c>
      <c r="I100" s="660">
        <v>0</v>
      </c>
      <c r="J100" s="29">
        <v>0</v>
      </c>
    </row>
    <row r="101" spans="1:57" ht="12.75" customHeight="1" x14ac:dyDescent="0.2">
      <c r="A101" s="697"/>
      <c r="B101" s="686" t="s">
        <v>1087</v>
      </c>
      <c r="C101" s="701">
        <v>2500000</v>
      </c>
      <c r="D101" s="701">
        <v>2500000</v>
      </c>
      <c r="E101" s="700">
        <v>2475942.41</v>
      </c>
      <c r="F101" s="700"/>
      <c r="G101" s="643">
        <f t="shared" si="32"/>
        <v>99.037696400000002</v>
      </c>
      <c r="H101" s="659">
        <f t="shared" si="33"/>
        <v>99.037696400000002</v>
      </c>
      <c r="I101" s="660">
        <f t="shared" si="34"/>
        <v>107.45095487583329</v>
      </c>
      <c r="J101" s="29">
        <v>2304253.52</v>
      </c>
    </row>
    <row r="102" spans="1:57" ht="12.75" customHeight="1" x14ac:dyDescent="0.2">
      <c r="A102" s="697"/>
      <c r="B102" s="686" t="s">
        <v>1088</v>
      </c>
      <c r="C102" s="701">
        <v>7500000</v>
      </c>
      <c r="D102" s="701">
        <v>7500000</v>
      </c>
      <c r="E102" s="700">
        <v>16598394.039999999</v>
      </c>
      <c r="F102" s="700"/>
      <c r="G102" s="643">
        <f t="shared" si="32"/>
        <v>221.31192053333334</v>
      </c>
      <c r="H102" s="659">
        <f t="shared" si="33"/>
        <v>221.31192053333334</v>
      </c>
      <c r="I102" s="660">
        <f t="shared" si="34"/>
        <v>185.33959854591529</v>
      </c>
      <c r="J102" s="29">
        <v>8955665.2599999998</v>
      </c>
    </row>
    <row r="103" spans="1:57" ht="12.75" customHeight="1" x14ac:dyDescent="0.2">
      <c r="A103" s="697"/>
      <c r="B103" s="702" t="s">
        <v>1089</v>
      </c>
      <c r="C103" s="701">
        <v>150000</v>
      </c>
      <c r="D103" s="701">
        <v>150000</v>
      </c>
      <c r="E103" s="700">
        <v>39500</v>
      </c>
      <c r="F103" s="700"/>
      <c r="G103" s="643">
        <f t="shared" si="32"/>
        <v>26.333333333333332</v>
      </c>
      <c r="H103" s="659">
        <f t="shared" si="33"/>
        <v>26.333333333333332</v>
      </c>
      <c r="I103" s="660">
        <f t="shared" si="34"/>
        <v>21.134296415195291</v>
      </c>
      <c r="J103" s="29">
        <v>186900</v>
      </c>
    </row>
    <row r="104" spans="1:57" s="685" customFormat="1" ht="12.75" customHeight="1" x14ac:dyDescent="0.2">
      <c r="A104" s="697"/>
      <c r="B104" s="686" t="s">
        <v>1090</v>
      </c>
      <c r="C104" s="687">
        <v>0</v>
      </c>
      <c r="D104" s="687">
        <v>0</v>
      </c>
      <c r="E104" s="653">
        <v>23996</v>
      </c>
      <c r="F104" s="653"/>
      <c r="G104" s="643">
        <v>0</v>
      </c>
      <c r="H104" s="659">
        <v>0</v>
      </c>
      <c r="I104" s="660">
        <v>0</v>
      </c>
      <c r="J104" s="29">
        <v>0</v>
      </c>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row>
    <row r="105" spans="1:57" s="685" customFormat="1" ht="12.75" customHeight="1" x14ac:dyDescent="0.2">
      <c r="A105" s="697"/>
      <c r="B105" s="686" t="s">
        <v>1091</v>
      </c>
      <c r="C105" s="687">
        <v>400000</v>
      </c>
      <c r="D105" s="687">
        <v>400000</v>
      </c>
      <c r="E105" s="653">
        <v>1000</v>
      </c>
      <c r="F105" s="653"/>
      <c r="G105" s="643">
        <f t="shared" si="32"/>
        <v>0.25</v>
      </c>
      <c r="H105" s="659">
        <f t="shared" si="33"/>
        <v>0.25</v>
      </c>
      <c r="I105" s="660">
        <f t="shared" si="34"/>
        <v>2.5398244473342002</v>
      </c>
      <c r="J105" s="29">
        <v>39372.800000000003</v>
      </c>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row>
    <row r="106" spans="1:57" s="685" customFormat="1" ht="12.75" customHeight="1" x14ac:dyDescent="0.2">
      <c r="A106" s="697"/>
      <c r="B106" s="686" t="s">
        <v>1092</v>
      </c>
      <c r="C106" s="687">
        <v>50000</v>
      </c>
      <c r="D106" s="687">
        <v>50000</v>
      </c>
      <c r="E106" s="653">
        <v>0</v>
      </c>
      <c r="F106" s="653"/>
      <c r="G106" s="643">
        <f>E106/C106*100</f>
        <v>0</v>
      </c>
      <c r="H106" s="659">
        <f>E106/D106*100</f>
        <v>0</v>
      </c>
      <c r="I106" s="660">
        <v>0</v>
      </c>
      <c r="J106" s="29">
        <v>115755.68</v>
      </c>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row>
    <row r="107" spans="1:57" s="685" customFormat="1" ht="12.75" customHeight="1" x14ac:dyDescent="0.2">
      <c r="A107" s="697"/>
      <c r="B107" s="686" t="s">
        <v>1836</v>
      </c>
      <c r="C107" s="687">
        <v>0</v>
      </c>
      <c r="D107" s="687">
        <v>0</v>
      </c>
      <c r="E107" s="653">
        <v>31353.3</v>
      </c>
      <c r="F107" s="653"/>
      <c r="G107" s="643">
        <v>0</v>
      </c>
      <c r="H107" s="659">
        <v>0</v>
      </c>
      <c r="I107" s="660">
        <v>0</v>
      </c>
      <c r="J107" s="29">
        <v>0</v>
      </c>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row>
    <row r="108" spans="1:57" ht="12.75" customHeight="1" x14ac:dyDescent="0.2">
      <c r="A108" s="697"/>
      <c r="B108" s="686" t="s">
        <v>126</v>
      </c>
      <c r="C108" s="687">
        <v>0</v>
      </c>
      <c r="D108" s="687">
        <v>50700</v>
      </c>
      <c r="E108" s="653">
        <v>54200</v>
      </c>
      <c r="F108" s="653"/>
      <c r="G108" s="643">
        <v>0</v>
      </c>
      <c r="H108" s="659">
        <f t="shared" si="33"/>
        <v>106.9033530571992</v>
      </c>
      <c r="I108" s="660">
        <f t="shared" si="34"/>
        <v>148.49315068493149</v>
      </c>
      <c r="J108" s="29">
        <v>36500</v>
      </c>
    </row>
    <row r="109" spans="1:57" ht="12.75" customHeight="1" x14ac:dyDescent="0.2">
      <c r="A109" s="697"/>
      <c r="B109" s="686" t="s">
        <v>1093</v>
      </c>
      <c r="C109" s="687">
        <v>650000</v>
      </c>
      <c r="D109" s="687">
        <v>650000</v>
      </c>
      <c r="E109" s="653">
        <v>750269.47</v>
      </c>
      <c r="F109" s="653"/>
      <c r="G109" s="643">
        <f t="shared" si="32"/>
        <v>115.42607230769231</v>
      </c>
      <c r="H109" s="659">
        <f t="shared" si="33"/>
        <v>115.42607230769231</v>
      </c>
      <c r="I109" s="660">
        <f t="shared" si="34"/>
        <v>114.46450006743352</v>
      </c>
      <c r="J109" s="29">
        <v>655460.4</v>
      </c>
    </row>
    <row r="110" spans="1:57" ht="12.75" customHeight="1" x14ac:dyDescent="0.2">
      <c r="A110" s="697"/>
      <c r="B110" s="686" t="s">
        <v>1094</v>
      </c>
      <c r="C110" s="701">
        <v>350000</v>
      </c>
      <c r="D110" s="701">
        <v>350000</v>
      </c>
      <c r="E110" s="653">
        <v>349432.77</v>
      </c>
      <c r="F110" s="653"/>
      <c r="G110" s="643">
        <f t="shared" si="32"/>
        <v>99.837934285714297</v>
      </c>
      <c r="H110" s="659">
        <f t="shared" si="33"/>
        <v>99.837934285714297</v>
      </c>
      <c r="I110" s="660">
        <f t="shared" si="34"/>
        <v>96.670123392238764</v>
      </c>
      <c r="J110" s="29">
        <v>361469.25</v>
      </c>
    </row>
    <row r="111" spans="1:57" s="126" customFormat="1" ht="12.75" customHeight="1" x14ac:dyDescent="0.2">
      <c r="A111" s="699"/>
      <c r="B111" s="686" t="s">
        <v>1095</v>
      </c>
      <c r="C111" s="687">
        <v>15000</v>
      </c>
      <c r="D111" s="687">
        <v>15000</v>
      </c>
      <c r="E111" s="653">
        <v>14050</v>
      </c>
      <c r="F111" s="653"/>
      <c r="G111" s="643">
        <f t="shared" si="32"/>
        <v>93.666666666666671</v>
      </c>
      <c r="H111" s="659">
        <f t="shared" si="33"/>
        <v>93.666666666666671</v>
      </c>
      <c r="I111" s="660">
        <f t="shared" si="34"/>
        <v>93.046357615894038</v>
      </c>
      <c r="J111" s="29">
        <v>15100</v>
      </c>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row>
    <row r="112" spans="1:57" s="126" customFormat="1" ht="12.75" customHeight="1" x14ac:dyDescent="0.2">
      <c r="A112" s="699"/>
      <c r="B112" s="686" t="s">
        <v>1096</v>
      </c>
      <c r="C112" s="687">
        <v>0</v>
      </c>
      <c r="D112" s="687">
        <v>0</v>
      </c>
      <c r="E112" s="653">
        <v>97800</v>
      </c>
      <c r="F112" s="653"/>
      <c r="G112" s="643">
        <v>0</v>
      </c>
      <c r="H112" s="659">
        <v>0</v>
      </c>
      <c r="I112" s="660">
        <f t="shared" si="34"/>
        <v>145.38643357267091</v>
      </c>
      <c r="J112" s="29">
        <v>67269</v>
      </c>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row>
    <row r="113" spans="1:57" s="126" customFormat="1" ht="12.75" customHeight="1" x14ac:dyDescent="0.2">
      <c r="A113" s="699"/>
      <c r="B113" s="686" t="s">
        <v>1837</v>
      </c>
      <c r="C113" s="687">
        <v>0</v>
      </c>
      <c r="D113" s="687">
        <v>0</v>
      </c>
      <c r="E113" s="653">
        <v>1099458.78</v>
      </c>
      <c r="F113" s="653"/>
      <c r="G113" s="643">
        <v>0</v>
      </c>
      <c r="H113" s="659">
        <v>0</v>
      </c>
      <c r="I113" s="660">
        <v>0</v>
      </c>
      <c r="J113" s="29">
        <v>0</v>
      </c>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row>
    <row r="114" spans="1:57" ht="12.75" customHeight="1" x14ac:dyDescent="0.2">
      <c r="A114" s="698">
        <v>2229</v>
      </c>
      <c r="B114" s="690" t="s">
        <v>1097</v>
      </c>
      <c r="C114" s="694">
        <f>SUM(C115:C126)</f>
        <v>1000000</v>
      </c>
      <c r="D114" s="694">
        <f>SUM(D115:D126)</f>
        <v>9221893.7899999991</v>
      </c>
      <c r="E114" s="649">
        <v>9238459.3399999999</v>
      </c>
      <c r="F114" s="703">
        <f>SUM(E115:E126)</f>
        <v>9238459.2400000002</v>
      </c>
      <c r="G114" s="642">
        <f t="shared" si="32"/>
        <v>923.84593400000006</v>
      </c>
      <c r="H114" s="644">
        <f t="shared" si="33"/>
        <v>100.17963284307139</v>
      </c>
      <c r="I114" s="645">
        <f t="shared" si="34"/>
        <v>94.823089379059851</v>
      </c>
      <c r="J114" s="29">
        <v>9742837.3200000003</v>
      </c>
    </row>
    <row r="115" spans="1:57" s="2" customFormat="1" ht="12.75" customHeight="1" x14ac:dyDescent="0.2">
      <c r="A115" s="704"/>
      <c r="B115" s="702" t="s">
        <v>1098</v>
      </c>
      <c r="C115" s="687">
        <v>0</v>
      </c>
      <c r="D115" s="687">
        <v>1600000</v>
      </c>
      <c r="E115" s="653">
        <v>1600000</v>
      </c>
      <c r="F115" s="653"/>
      <c r="G115" s="643">
        <v>0</v>
      </c>
      <c r="H115" s="659">
        <f t="shared" si="33"/>
        <v>100</v>
      </c>
      <c r="I115" s="660">
        <v>0</v>
      </c>
      <c r="J115" s="88">
        <v>0</v>
      </c>
    </row>
    <row r="116" spans="1:57" ht="12.75" customHeight="1" x14ac:dyDescent="0.2">
      <c r="A116" s="697"/>
      <c r="B116" s="686" t="s">
        <v>1099</v>
      </c>
      <c r="C116" s="687">
        <v>0</v>
      </c>
      <c r="D116" s="687">
        <f>(13779.02+87878.61+201127.47)</f>
        <v>302785.09999999998</v>
      </c>
      <c r="E116" s="653">
        <v>302785.09999999998</v>
      </c>
      <c r="F116" s="653"/>
      <c r="G116" s="643">
        <v>0</v>
      </c>
      <c r="H116" s="659">
        <f t="shared" si="33"/>
        <v>100</v>
      </c>
      <c r="I116" s="660">
        <f>E116/J116*100</f>
        <v>120.76934496637077</v>
      </c>
      <c r="J116" s="29">
        <v>250713.54</v>
      </c>
    </row>
    <row r="117" spans="1:57" ht="12.75" customHeight="1" x14ac:dyDescent="0.2">
      <c r="A117" s="697"/>
      <c r="B117" s="686" t="s">
        <v>1100</v>
      </c>
      <c r="C117" s="687">
        <v>0</v>
      </c>
      <c r="D117" s="687">
        <v>236709.36</v>
      </c>
      <c r="E117" s="653">
        <v>236709.36</v>
      </c>
      <c r="F117" s="653"/>
      <c r="G117" s="643">
        <v>0</v>
      </c>
      <c r="H117" s="659">
        <f t="shared" si="33"/>
        <v>100</v>
      </c>
      <c r="I117" s="660">
        <f t="shared" si="34"/>
        <v>792.01869451571326</v>
      </c>
      <c r="J117" s="29">
        <v>29886.84</v>
      </c>
    </row>
    <row r="118" spans="1:57" ht="12.75" customHeight="1" x14ac:dyDescent="0.2">
      <c r="A118" s="697"/>
      <c r="B118" s="686" t="s">
        <v>1101</v>
      </c>
      <c r="C118" s="687">
        <v>0</v>
      </c>
      <c r="D118" s="687">
        <v>159713.54999999999</v>
      </c>
      <c r="E118" s="653">
        <v>159713.54999999999</v>
      </c>
      <c r="F118" s="653"/>
      <c r="G118" s="643">
        <v>0</v>
      </c>
      <c r="H118" s="659">
        <f t="shared" si="33"/>
        <v>100</v>
      </c>
      <c r="I118" s="660">
        <f t="shared" si="34"/>
        <v>52.262141941031906</v>
      </c>
      <c r="J118" s="29">
        <v>305600.84999999998</v>
      </c>
    </row>
    <row r="119" spans="1:57" ht="12.75" customHeight="1" x14ac:dyDescent="0.2">
      <c r="A119" s="697"/>
      <c r="B119" s="686" t="s">
        <v>1102</v>
      </c>
      <c r="C119" s="687">
        <v>0</v>
      </c>
      <c r="D119" s="687">
        <v>391374.39</v>
      </c>
      <c r="E119" s="653">
        <v>391374.39</v>
      </c>
      <c r="F119" s="653"/>
      <c r="G119" s="643">
        <v>0</v>
      </c>
      <c r="H119" s="659">
        <f t="shared" si="33"/>
        <v>100</v>
      </c>
      <c r="I119" s="660">
        <f t="shared" si="34"/>
        <v>258.71326480751111</v>
      </c>
      <c r="J119" s="29">
        <v>151277.28</v>
      </c>
    </row>
    <row r="120" spans="1:57" ht="12.75" customHeight="1" x14ac:dyDescent="0.2">
      <c r="A120" s="697"/>
      <c r="B120" s="686" t="s">
        <v>1103</v>
      </c>
      <c r="C120" s="687">
        <v>1000000</v>
      </c>
      <c r="D120" s="687">
        <f>1000000+3226272.84</f>
        <v>4226272.84</v>
      </c>
      <c r="E120" s="653">
        <v>4226272.84</v>
      </c>
      <c r="F120" s="653"/>
      <c r="G120" s="643">
        <f t="shared" si="32"/>
        <v>422.62728400000003</v>
      </c>
      <c r="H120" s="659">
        <f t="shared" si="33"/>
        <v>100</v>
      </c>
      <c r="I120" s="660">
        <f t="shared" si="34"/>
        <v>74.056198128677579</v>
      </c>
      <c r="J120" s="29">
        <v>5706845.54</v>
      </c>
    </row>
    <row r="121" spans="1:57" ht="12.75" customHeight="1" x14ac:dyDescent="0.2">
      <c r="A121" s="697"/>
      <c r="B121" s="686" t="s">
        <v>1838</v>
      </c>
      <c r="C121" s="705">
        <v>0</v>
      </c>
      <c r="D121" s="705">
        <f>25251</f>
        <v>25251</v>
      </c>
      <c r="E121" s="653">
        <v>31826</v>
      </c>
      <c r="F121" s="653"/>
      <c r="G121" s="643">
        <v>0</v>
      </c>
      <c r="H121" s="659">
        <f t="shared" si="33"/>
        <v>126.03857272979289</v>
      </c>
      <c r="I121" s="660">
        <f t="shared" si="34"/>
        <v>11.868149062848424</v>
      </c>
      <c r="J121" s="29">
        <v>268163.13</v>
      </c>
    </row>
    <row r="122" spans="1:57" ht="12.75" customHeight="1" x14ac:dyDescent="0.2">
      <c r="A122" s="697"/>
      <c r="B122" s="686" t="s">
        <v>1839</v>
      </c>
      <c r="C122" s="687">
        <v>0</v>
      </c>
      <c r="D122" s="687">
        <f>(74693.5+40293)+1119873.05+35000</f>
        <v>1269859.55</v>
      </c>
      <c r="E122" s="653">
        <v>1279850</v>
      </c>
      <c r="F122" s="653"/>
      <c r="G122" s="643">
        <v>0</v>
      </c>
      <c r="H122" s="659">
        <f t="shared" si="33"/>
        <v>100.78673661193476</v>
      </c>
      <c r="I122" s="660">
        <f t="shared" si="34"/>
        <v>100.95777003963222</v>
      </c>
      <c r="J122" s="29">
        <v>1267708.27</v>
      </c>
    </row>
    <row r="123" spans="1:57" s="2" customFormat="1" ht="12.75" customHeight="1" x14ac:dyDescent="0.2">
      <c r="A123" s="704"/>
      <c r="B123" s="702" t="s">
        <v>1107</v>
      </c>
      <c r="C123" s="687">
        <v>0</v>
      </c>
      <c r="D123" s="687">
        <v>900000</v>
      </c>
      <c r="E123" s="653">
        <v>900000</v>
      </c>
      <c r="F123" s="653"/>
      <c r="G123" s="643">
        <v>0</v>
      </c>
      <c r="H123" s="659">
        <f t="shared" si="33"/>
        <v>100</v>
      </c>
      <c r="I123" s="660">
        <v>0</v>
      </c>
      <c r="J123" s="88">
        <v>0</v>
      </c>
    </row>
    <row r="124" spans="1:57" ht="12.75" customHeight="1" x14ac:dyDescent="0.2">
      <c r="A124" s="697"/>
      <c r="B124" s="706" t="s">
        <v>1108</v>
      </c>
      <c r="C124" s="687">
        <v>0</v>
      </c>
      <c r="D124" s="687">
        <f>(1835.4+16518.6)</f>
        <v>18354</v>
      </c>
      <c r="E124" s="707">
        <v>18354</v>
      </c>
      <c r="F124" s="707"/>
      <c r="G124" s="643">
        <v>0</v>
      </c>
      <c r="H124" s="659">
        <f t="shared" si="33"/>
        <v>100</v>
      </c>
      <c r="I124" s="660">
        <v>0</v>
      </c>
      <c r="J124" s="29">
        <v>0</v>
      </c>
    </row>
    <row r="125" spans="1:57" ht="12.75" customHeight="1" x14ac:dyDescent="0.2">
      <c r="A125" s="706"/>
      <c r="B125" s="706" t="s">
        <v>1109</v>
      </c>
      <c r="C125" s="708">
        <v>0</v>
      </c>
      <c r="D125" s="708">
        <f>(5068.4+45615.6)</f>
        <v>50684</v>
      </c>
      <c r="E125" s="707">
        <v>50684</v>
      </c>
      <c r="F125" s="707"/>
      <c r="G125" s="643">
        <v>0</v>
      </c>
      <c r="H125" s="659">
        <f t="shared" si="33"/>
        <v>100</v>
      </c>
      <c r="I125" s="660">
        <v>0</v>
      </c>
      <c r="J125" s="709">
        <v>0</v>
      </c>
      <c r="K125" s="29"/>
      <c r="L125" s="150"/>
    </row>
    <row r="126" spans="1:57" ht="12.75" customHeight="1" x14ac:dyDescent="0.2">
      <c r="A126" s="706"/>
      <c r="B126" s="706" t="s">
        <v>1110</v>
      </c>
      <c r="C126" s="708">
        <v>0</v>
      </c>
      <c r="D126" s="708">
        <f>(4089+36801)</f>
        <v>40890</v>
      </c>
      <c r="E126" s="707">
        <v>40890</v>
      </c>
      <c r="F126" s="707"/>
      <c r="G126" s="643">
        <v>0</v>
      </c>
      <c r="H126" s="659">
        <f t="shared" si="33"/>
        <v>100</v>
      </c>
      <c r="I126" s="660">
        <v>0</v>
      </c>
      <c r="J126" s="709">
        <v>0</v>
      </c>
      <c r="K126" s="29"/>
      <c r="L126" s="150"/>
    </row>
    <row r="127" spans="1:57" ht="12.75" customHeight="1" x14ac:dyDescent="0.2">
      <c r="A127" s="698">
        <v>2310</v>
      </c>
      <c r="B127" s="702" t="s">
        <v>1111</v>
      </c>
      <c r="C127" s="663">
        <v>0</v>
      </c>
      <c r="D127" s="663">
        <v>0</v>
      </c>
      <c r="E127" s="710">
        <v>6675</v>
      </c>
      <c r="F127" s="707"/>
      <c r="G127" s="642">
        <v>0</v>
      </c>
      <c r="H127" s="644">
        <v>0</v>
      </c>
      <c r="I127" s="645">
        <v>0</v>
      </c>
      <c r="J127" s="29">
        <v>0</v>
      </c>
    </row>
    <row r="128" spans="1:57" ht="12.75" customHeight="1" x14ac:dyDescent="0.2">
      <c r="A128" s="698">
        <v>2321</v>
      </c>
      <c r="B128" s="690" t="s">
        <v>1112</v>
      </c>
      <c r="C128" s="663">
        <v>100000</v>
      </c>
      <c r="D128" s="663">
        <v>100000</v>
      </c>
      <c r="E128" s="710">
        <v>105000</v>
      </c>
      <c r="F128" s="707"/>
      <c r="G128" s="642">
        <f t="shared" si="32"/>
        <v>105</v>
      </c>
      <c r="H128" s="644">
        <f t="shared" si="33"/>
        <v>105</v>
      </c>
      <c r="I128" s="645">
        <f t="shared" si="34"/>
        <v>100</v>
      </c>
      <c r="J128" s="29">
        <v>105000</v>
      </c>
    </row>
    <row r="129" spans="1:57" s="685" customFormat="1" ht="12.75" customHeight="1" x14ac:dyDescent="0.2">
      <c r="A129" s="698">
        <v>2322</v>
      </c>
      <c r="B129" s="690" t="s">
        <v>1113</v>
      </c>
      <c r="C129" s="663">
        <v>100000</v>
      </c>
      <c r="D129" s="663">
        <f>100000+112397+186860+315085+93877</f>
        <v>808219</v>
      </c>
      <c r="E129" s="652">
        <v>1110514</v>
      </c>
      <c r="F129" s="653"/>
      <c r="G129" s="642">
        <f t="shared" si="32"/>
        <v>1110.5140000000001</v>
      </c>
      <c r="H129" s="644">
        <f t="shared" si="33"/>
        <v>137.40260993616829</v>
      </c>
      <c r="I129" s="645">
        <f t="shared" si="34"/>
        <v>208.73303184430836</v>
      </c>
      <c r="J129" s="29">
        <v>532026</v>
      </c>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row>
    <row r="130" spans="1:57" s="98" customFormat="1" ht="12.75" customHeight="1" x14ac:dyDescent="0.2">
      <c r="A130" s="698">
        <v>2324</v>
      </c>
      <c r="B130" s="690" t="s">
        <v>1114</v>
      </c>
      <c r="C130" s="694">
        <f>SUM(C131:C148)</f>
        <v>3408000</v>
      </c>
      <c r="D130" s="694">
        <f>SUM(D131:D148)</f>
        <v>4641146.8</v>
      </c>
      <c r="E130" s="652">
        <v>7994381.25</v>
      </c>
      <c r="F130" s="653">
        <f>SUM(E131:E148)</f>
        <v>7994381.2499999991</v>
      </c>
      <c r="G130" s="642">
        <f t="shared" si="32"/>
        <v>234.57691461267606</v>
      </c>
      <c r="H130" s="644">
        <f t="shared" si="33"/>
        <v>172.25012684364995</v>
      </c>
      <c r="I130" s="645">
        <f t="shared" si="34"/>
        <v>133.68946788945169</v>
      </c>
      <c r="J130" s="29">
        <v>5979813.7999999998</v>
      </c>
    </row>
    <row r="131" spans="1:57" s="98" customFormat="1" ht="12.75" customHeight="1" x14ac:dyDescent="0.2">
      <c r="A131" s="711"/>
      <c r="B131" s="702" t="s">
        <v>1115</v>
      </c>
      <c r="C131" s="687">
        <v>15000</v>
      </c>
      <c r="D131" s="687">
        <v>15000</v>
      </c>
      <c r="E131" s="653">
        <v>5118.8</v>
      </c>
      <c r="F131" s="653"/>
      <c r="G131" s="643">
        <f t="shared" si="32"/>
        <v>34.125333333333337</v>
      </c>
      <c r="H131" s="659">
        <f t="shared" si="33"/>
        <v>34.125333333333337</v>
      </c>
      <c r="I131" s="660">
        <f t="shared" si="34"/>
        <v>39.922226997027749</v>
      </c>
      <c r="J131" s="29">
        <v>12821.93</v>
      </c>
    </row>
    <row r="132" spans="1:57" s="98" customFormat="1" ht="12.75" customHeight="1" x14ac:dyDescent="0.2">
      <c r="A132" s="698"/>
      <c r="B132" s="702" t="s">
        <v>1840</v>
      </c>
      <c r="C132" s="687">
        <v>0</v>
      </c>
      <c r="D132" s="687">
        <v>0</v>
      </c>
      <c r="E132" s="653">
        <v>260</v>
      </c>
      <c r="F132" s="653"/>
      <c r="G132" s="643">
        <v>0</v>
      </c>
      <c r="H132" s="659">
        <v>0</v>
      </c>
      <c r="I132" s="660">
        <v>0</v>
      </c>
      <c r="J132" s="29">
        <v>0</v>
      </c>
    </row>
    <row r="133" spans="1:57" s="98" customFormat="1" ht="12.75" customHeight="1" x14ac:dyDescent="0.2">
      <c r="A133" s="698"/>
      <c r="B133" s="702" t="s">
        <v>1116</v>
      </c>
      <c r="C133" s="687">
        <v>30000</v>
      </c>
      <c r="D133" s="687">
        <v>30000</v>
      </c>
      <c r="E133" s="653">
        <v>34500</v>
      </c>
      <c r="F133" s="653"/>
      <c r="G133" s="643">
        <f t="shared" si="32"/>
        <v>114.99999999999999</v>
      </c>
      <c r="H133" s="659">
        <f t="shared" si="33"/>
        <v>114.99999999999999</v>
      </c>
      <c r="I133" s="660">
        <f t="shared" si="34"/>
        <v>76.666666666666671</v>
      </c>
      <c r="J133" s="29">
        <v>45000</v>
      </c>
    </row>
    <row r="134" spans="1:57" s="98" customFormat="1" ht="12.75" customHeight="1" x14ac:dyDescent="0.2">
      <c r="A134" s="698"/>
      <c r="B134" s="702" t="s">
        <v>1117</v>
      </c>
      <c r="C134" s="687">
        <v>0</v>
      </c>
      <c r="D134" s="687">
        <v>0</v>
      </c>
      <c r="E134" s="653">
        <v>1000</v>
      </c>
      <c r="F134" s="653"/>
      <c r="G134" s="643">
        <v>0</v>
      </c>
      <c r="H134" s="659">
        <v>0</v>
      </c>
      <c r="I134" s="660">
        <v>0</v>
      </c>
      <c r="J134" s="29">
        <v>0</v>
      </c>
    </row>
    <row r="135" spans="1:57" s="98" customFormat="1" ht="12.75" customHeight="1" x14ac:dyDescent="0.2">
      <c r="A135" s="698"/>
      <c r="B135" s="702" t="s">
        <v>1118</v>
      </c>
      <c r="C135" s="687">
        <v>100000</v>
      </c>
      <c r="D135" s="687">
        <v>100000</v>
      </c>
      <c r="E135" s="653">
        <v>148172.59</v>
      </c>
      <c r="F135" s="653"/>
      <c r="G135" s="643">
        <f>E135/C135*100</f>
        <v>148.17259000000001</v>
      </c>
      <c r="H135" s="659">
        <f t="shared" ref="H135:H198" si="35">E135/D135*100</f>
        <v>148.17259000000001</v>
      </c>
      <c r="I135" s="660">
        <f>E135/J135*100</f>
        <v>151.113022753244</v>
      </c>
      <c r="J135" s="29">
        <v>98054.15</v>
      </c>
    </row>
    <row r="136" spans="1:57" s="98" customFormat="1" ht="12.75" customHeight="1" x14ac:dyDescent="0.2">
      <c r="A136" s="698"/>
      <c r="B136" s="702" t="s">
        <v>1841</v>
      </c>
      <c r="C136" s="687">
        <v>0</v>
      </c>
      <c r="D136" s="687">
        <v>0</v>
      </c>
      <c r="E136" s="653">
        <v>5000</v>
      </c>
      <c r="F136" s="653"/>
      <c r="G136" s="643">
        <v>0</v>
      </c>
      <c r="H136" s="659">
        <v>0</v>
      </c>
      <c r="I136" s="660">
        <v>0</v>
      </c>
      <c r="J136" s="29">
        <v>0</v>
      </c>
    </row>
    <row r="137" spans="1:57" s="688" customFormat="1" ht="12.75" customHeight="1" x14ac:dyDescent="0.2">
      <c r="A137" s="698"/>
      <c r="B137" s="702" t="s">
        <v>1119</v>
      </c>
      <c r="C137" s="687">
        <v>150000</v>
      </c>
      <c r="D137" s="687">
        <f>150000+180000</f>
        <v>330000</v>
      </c>
      <c r="E137" s="653">
        <v>726480.46</v>
      </c>
      <c r="F137" s="653"/>
      <c r="G137" s="643">
        <f t="shared" si="32"/>
        <v>484.32030666666668</v>
      </c>
      <c r="H137" s="659">
        <f t="shared" si="35"/>
        <v>220.14559393939393</v>
      </c>
      <c r="I137" s="660">
        <f t="shared" si="34"/>
        <v>245.78951407002657</v>
      </c>
      <c r="J137" s="29">
        <v>295570.15999999997</v>
      </c>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8"/>
      <c r="AN137" s="98"/>
      <c r="AO137" s="98"/>
      <c r="AP137" s="98"/>
      <c r="AQ137" s="98"/>
      <c r="AR137" s="98"/>
      <c r="AS137" s="98"/>
    </row>
    <row r="138" spans="1:57" s="688" customFormat="1" ht="12.75" customHeight="1" x14ac:dyDescent="0.2">
      <c r="A138" s="698"/>
      <c r="B138" s="702" t="s">
        <v>1120</v>
      </c>
      <c r="C138" s="687">
        <v>15000</v>
      </c>
      <c r="D138" s="687">
        <v>15000</v>
      </c>
      <c r="E138" s="653">
        <v>62320.63</v>
      </c>
      <c r="F138" s="653"/>
      <c r="G138" s="643">
        <f t="shared" ref="G138:G198" si="36">E138/C138*100</f>
        <v>415.47086666666661</v>
      </c>
      <c r="H138" s="659">
        <f t="shared" si="35"/>
        <v>415.47086666666661</v>
      </c>
      <c r="I138" s="660">
        <f t="shared" si="34"/>
        <v>4388.7767605633799</v>
      </c>
      <c r="J138" s="29">
        <v>1420</v>
      </c>
      <c r="K138" s="98"/>
      <c r="L138" s="98"/>
      <c r="M138" s="98"/>
      <c r="N138" s="98"/>
      <c r="O138" s="98"/>
      <c r="P138" s="98"/>
      <c r="Q138" s="98"/>
      <c r="R138" s="98"/>
      <c r="S138" s="98"/>
      <c r="T138" s="98"/>
      <c r="U138" s="98"/>
      <c r="V138" s="98"/>
      <c r="W138" s="98"/>
      <c r="X138" s="98"/>
      <c r="Y138" s="98"/>
      <c r="Z138" s="98"/>
      <c r="AA138" s="98"/>
      <c r="AB138" s="98"/>
      <c r="AC138" s="98"/>
      <c r="AD138" s="98"/>
      <c r="AE138" s="98"/>
      <c r="AF138" s="98"/>
      <c r="AG138" s="98"/>
      <c r="AH138" s="98"/>
      <c r="AI138" s="98"/>
      <c r="AJ138" s="98"/>
      <c r="AK138" s="98"/>
      <c r="AL138" s="98"/>
      <c r="AM138" s="98"/>
      <c r="AN138" s="98"/>
      <c r="AO138" s="98"/>
      <c r="AP138" s="98"/>
      <c r="AQ138" s="98"/>
      <c r="AR138" s="98"/>
      <c r="AS138" s="98"/>
    </row>
    <row r="139" spans="1:57" s="688" customFormat="1" ht="12.75" customHeight="1" x14ac:dyDescent="0.2">
      <c r="A139" s="698"/>
      <c r="B139" s="702" t="s">
        <v>1121</v>
      </c>
      <c r="C139" s="687">
        <v>0</v>
      </c>
      <c r="D139" s="687">
        <v>250000</v>
      </c>
      <c r="E139" s="653">
        <v>250000</v>
      </c>
      <c r="F139" s="653"/>
      <c r="G139" s="643">
        <v>0</v>
      </c>
      <c r="H139" s="659">
        <f t="shared" si="35"/>
        <v>100</v>
      </c>
      <c r="I139" s="660">
        <v>0</v>
      </c>
      <c r="J139" s="29">
        <v>0</v>
      </c>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c r="AP139" s="98"/>
      <c r="AQ139" s="98"/>
      <c r="AR139" s="98"/>
      <c r="AS139" s="98"/>
    </row>
    <row r="140" spans="1:57" ht="12.75" customHeight="1" x14ac:dyDescent="0.2">
      <c r="A140" s="712"/>
      <c r="B140" s="713" t="s">
        <v>1122</v>
      </c>
      <c r="C140" s="687">
        <v>5000</v>
      </c>
      <c r="D140" s="687">
        <v>5000</v>
      </c>
      <c r="E140" s="653">
        <v>2434.02</v>
      </c>
      <c r="F140" s="653"/>
      <c r="G140" s="643">
        <f t="shared" si="36"/>
        <v>48.680399999999999</v>
      </c>
      <c r="H140" s="659">
        <f t="shared" si="35"/>
        <v>48.680399999999999</v>
      </c>
      <c r="I140" s="660">
        <f t="shared" ref="I140:I201" si="37">E140/J140*100</f>
        <v>554.99008140091655</v>
      </c>
      <c r="J140" s="29">
        <v>438.57</v>
      </c>
    </row>
    <row r="141" spans="1:57" s="158" customFormat="1" ht="12.75" customHeight="1" x14ac:dyDescent="0.2">
      <c r="A141" s="697"/>
      <c r="B141" s="686" t="s">
        <v>1123</v>
      </c>
      <c r="C141" s="687">
        <v>3000000</v>
      </c>
      <c r="D141" s="687">
        <f>3000000-3000000</f>
        <v>0</v>
      </c>
      <c r="E141" s="653">
        <v>41600</v>
      </c>
      <c r="F141" s="653"/>
      <c r="G141" s="643">
        <f t="shared" si="36"/>
        <v>1.3866666666666667</v>
      </c>
      <c r="H141" s="659">
        <v>0</v>
      </c>
      <c r="I141" s="660">
        <v>0</v>
      </c>
      <c r="J141" s="654">
        <v>0</v>
      </c>
    </row>
    <row r="142" spans="1:57" s="158" customFormat="1" ht="12.75" customHeight="1" x14ac:dyDescent="0.2">
      <c r="A142" s="697"/>
      <c r="B142" s="686" t="s">
        <v>1124</v>
      </c>
      <c r="C142" s="687">
        <v>0</v>
      </c>
      <c r="D142" s="687">
        <f>3000000+802146.8</f>
        <v>3802146.8</v>
      </c>
      <c r="E142" s="653">
        <v>6563919.1699999999</v>
      </c>
      <c r="F142" s="653"/>
      <c r="G142" s="643">
        <v>0</v>
      </c>
      <c r="H142" s="659">
        <f t="shared" si="35"/>
        <v>172.63718407716399</v>
      </c>
      <c r="I142" s="660">
        <f t="shared" si="37"/>
        <v>240.38785461225044</v>
      </c>
      <c r="J142" s="654">
        <v>2730553.58</v>
      </c>
    </row>
    <row r="143" spans="1:57" s="158" customFormat="1" ht="12.75" customHeight="1" x14ac:dyDescent="0.2">
      <c r="A143" s="697"/>
      <c r="B143" s="686" t="s">
        <v>1125</v>
      </c>
      <c r="C143" s="687">
        <v>0</v>
      </c>
      <c r="D143" s="687">
        <v>1000</v>
      </c>
      <c r="E143" s="653">
        <v>16394.099999999999</v>
      </c>
      <c r="F143" s="653"/>
      <c r="G143" s="643">
        <v>0</v>
      </c>
      <c r="H143" s="659">
        <f t="shared" si="35"/>
        <v>1639.4099999999999</v>
      </c>
      <c r="I143" s="660">
        <f t="shared" si="37"/>
        <v>546.46999999999991</v>
      </c>
      <c r="J143" s="654">
        <v>3000</v>
      </c>
    </row>
    <row r="144" spans="1:57" s="158" customFormat="1" ht="12.75" customHeight="1" x14ac:dyDescent="0.2">
      <c r="A144" s="697"/>
      <c r="B144" s="686" t="s">
        <v>1126</v>
      </c>
      <c r="C144" s="687">
        <v>3000</v>
      </c>
      <c r="D144" s="687">
        <v>3000</v>
      </c>
      <c r="E144" s="653">
        <v>3775</v>
      </c>
      <c r="F144" s="653"/>
      <c r="G144" s="643">
        <f t="shared" si="36"/>
        <v>125.83333333333333</v>
      </c>
      <c r="H144" s="659">
        <f t="shared" si="35"/>
        <v>125.83333333333333</v>
      </c>
      <c r="I144" s="660">
        <f t="shared" si="37"/>
        <v>213.51689187278353</v>
      </c>
      <c r="J144" s="654">
        <v>1768.01</v>
      </c>
    </row>
    <row r="145" spans="1:45" s="158" customFormat="1" ht="12.75" customHeight="1" x14ac:dyDescent="0.2">
      <c r="A145" s="697"/>
      <c r="B145" s="686" t="s">
        <v>1127</v>
      </c>
      <c r="C145" s="687">
        <v>60000</v>
      </c>
      <c r="D145" s="687">
        <v>60000</v>
      </c>
      <c r="E145" s="653">
        <v>59023.97</v>
      </c>
      <c r="F145" s="653"/>
      <c r="G145" s="643">
        <f t="shared" si="36"/>
        <v>98.373283333333333</v>
      </c>
      <c r="H145" s="659">
        <f t="shared" si="35"/>
        <v>98.373283333333333</v>
      </c>
      <c r="I145" s="660">
        <f t="shared" si="37"/>
        <v>101.8644672416968</v>
      </c>
      <c r="J145" s="654">
        <v>57943.63</v>
      </c>
    </row>
    <row r="146" spans="1:45" s="158" customFormat="1" ht="12.75" customHeight="1" x14ac:dyDescent="0.2">
      <c r="A146" s="697"/>
      <c r="B146" s="686" t="s">
        <v>1128</v>
      </c>
      <c r="C146" s="687">
        <v>0</v>
      </c>
      <c r="D146" s="687">
        <v>0</v>
      </c>
      <c r="E146" s="653">
        <v>12108.27</v>
      </c>
      <c r="F146" s="653"/>
      <c r="G146" s="643">
        <v>0</v>
      </c>
      <c r="H146" s="659">
        <v>0</v>
      </c>
      <c r="I146" s="660">
        <v>0</v>
      </c>
      <c r="J146" s="654">
        <v>0</v>
      </c>
    </row>
    <row r="147" spans="1:45" s="158" customFormat="1" ht="12.75" customHeight="1" x14ac:dyDescent="0.2">
      <c r="A147" s="711"/>
      <c r="B147" s="686" t="s">
        <v>1129</v>
      </c>
      <c r="C147" s="687">
        <v>30000</v>
      </c>
      <c r="D147" s="687">
        <v>30000</v>
      </c>
      <c r="E147" s="653">
        <v>61324.480000000003</v>
      </c>
      <c r="F147" s="653"/>
      <c r="G147" s="643">
        <f t="shared" si="36"/>
        <v>204.41493333333335</v>
      </c>
      <c r="H147" s="659">
        <f t="shared" si="35"/>
        <v>204.41493333333335</v>
      </c>
      <c r="I147" s="660">
        <f t="shared" si="37"/>
        <v>180.96025273567301</v>
      </c>
      <c r="J147" s="654">
        <v>33888.370000000003</v>
      </c>
    </row>
    <row r="148" spans="1:45" s="158" customFormat="1" ht="12.75" customHeight="1" x14ac:dyDescent="0.2">
      <c r="A148" s="711"/>
      <c r="B148" s="686" t="s">
        <v>1842</v>
      </c>
      <c r="C148" s="687">
        <v>0</v>
      </c>
      <c r="D148" s="687">
        <v>0</v>
      </c>
      <c r="E148" s="653">
        <v>949.76</v>
      </c>
      <c r="F148" s="653"/>
      <c r="G148" s="643">
        <v>0</v>
      </c>
      <c r="H148" s="659">
        <v>0</v>
      </c>
      <c r="I148" s="660">
        <v>0</v>
      </c>
      <c r="J148" s="654">
        <v>0</v>
      </c>
    </row>
    <row r="149" spans="1:45" s="158" customFormat="1" ht="13.5" customHeight="1" x14ac:dyDescent="0.2">
      <c r="A149" s="714">
        <v>2328</v>
      </c>
      <c r="B149" s="689" t="s">
        <v>1130</v>
      </c>
      <c r="C149" s="663">
        <v>0</v>
      </c>
      <c r="D149" s="663">
        <v>0</v>
      </c>
      <c r="E149" s="649">
        <v>14919.83</v>
      </c>
      <c r="F149" s="650"/>
      <c r="G149" s="642">
        <v>0</v>
      </c>
      <c r="H149" s="644">
        <v>0</v>
      </c>
      <c r="I149" s="645">
        <f t="shared" si="37"/>
        <v>342.49644185299115</v>
      </c>
      <c r="J149" s="654">
        <v>4356.2</v>
      </c>
    </row>
    <row r="150" spans="1:45" s="98" customFormat="1" ht="12.75" customHeight="1" x14ac:dyDescent="0.2">
      <c r="A150" s="698">
        <v>2329</v>
      </c>
      <c r="B150" s="690" t="s">
        <v>164</v>
      </c>
      <c r="C150" s="694">
        <f>SUM(C151:C169)</f>
        <v>17694387.359999999</v>
      </c>
      <c r="D150" s="694">
        <f>SUM(D151:D169)</f>
        <v>23229266.27</v>
      </c>
      <c r="E150" s="649">
        <v>99226299.75</v>
      </c>
      <c r="F150" s="650">
        <f>SUM(E151:E169)</f>
        <v>99226299.75</v>
      </c>
      <c r="G150" s="642">
        <f t="shared" si="36"/>
        <v>560.77838543487155</v>
      </c>
      <c r="H150" s="644">
        <f t="shared" si="35"/>
        <v>427.16071440512184</v>
      </c>
      <c r="I150" s="645">
        <f t="shared" si="37"/>
        <v>1317.1803226746463</v>
      </c>
      <c r="J150" s="29">
        <v>7533235.8099999996</v>
      </c>
    </row>
    <row r="151" spans="1:45" s="98" customFormat="1" ht="12.75" customHeight="1" x14ac:dyDescent="0.2">
      <c r="A151" s="698"/>
      <c r="B151" s="702" t="s">
        <v>1131</v>
      </c>
      <c r="C151" s="687">
        <v>200000</v>
      </c>
      <c r="D151" s="687">
        <f>200000-200000</f>
        <v>0</v>
      </c>
      <c r="E151" s="653">
        <v>0</v>
      </c>
      <c r="F151" s="653"/>
      <c r="G151" s="643">
        <f t="shared" si="36"/>
        <v>0</v>
      </c>
      <c r="H151" s="659">
        <v>0</v>
      </c>
      <c r="I151" s="660">
        <v>0</v>
      </c>
      <c r="J151" s="29">
        <v>0</v>
      </c>
    </row>
    <row r="152" spans="1:45" ht="12.75" customHeight="1" x14ac:dyDescent="0.2">
      <c r="A152" s="697"/>
      <c r="B152" s="686" t="s">
        <v>1132</v>
      </c>
      <c r="C152" s="687">
        <v>0</v>
      </c>
      <c r="D152" s="687">
        <v>0</v>
      </c>
      <c r="E152" s="653">
        <v>530</v>
      </c>
      <c r="F152" s="653"/>
      <c r="G152" s="643">
        <v>0</v>
      </c>
      <c r="H152" s="659">
        <v>0</v>
      </c>
      <c r="I152" s="660">
        <v>0</v>
      </c>
      <c r="J152" s="29">
        <v>0</v>
      </c>
    </row>
    <row r="153" spans="1:45" ht="12.75" customHeight="1" x14ac:dyDescent="0.2">
      <c r="A153" s="697"/>
      <c r="B153" s="686" t="s">
        <v>1133</v>
      </c>
      <c r="C153" s="687">
        <v>5000</v>
      </c>
      <c r="D153" s="687">
        <v>5000</v>
      </c>
      <c r="E153" s="653">
        <v>0</v>
      </c>
      <c r="F153" s="653"/>
      <c r="G153" s="643">
        <f t="shared" si="36"/>
        <v>0</v>
      </c>
      <c r="H153" s="659">
        <f t="shared" si="35"/>
        <v>0</v>
      </c>
      <c r="I153" s="660">
        <v>0</v>
      </c>
      <c r="J153" s="29">
        <v>0</v>
      </c>
    </row>
    <row r="154" spans="1:45" ht="12.75" customHeight="1" x14ac:dyDescent="0.2">
      <c r="A154" s="697"/>
      <c r="B154" s="686" t="s">
        <v>1134</v>
      </c>
      <c r="C154" s="687">
        <v>0</v>
      </c>
      <c r="D154" s="687">
        <v>250000</v>
      </c>
      <c r="E154" s="653">
        <v>294500</v>
      </c>
      <c r="F154" s="653"/>
      <c r="G154" s="643">
        <v>0</v>
      </c>
      <c r="H154" s="659">
        <f t="shared" si="35"/>
        <v>117.8</v>
      </c>
      <c r="I154" s="660">
        <f t="shared" si="37"/>
        <v>110.09345794392524</v>
      </c>
      <c r="J154" s="29">
        <v>267500</v>
      </c>
    </row>
    <row r="155" spans="1:45" s="685" customFormat="1" ht="12.75" customHeight="1" x14ac:dyDescent="0.2">
      <c r="A155" s="697"/>
      <c r="B155" s="686" t="s">
        <v>1135</v>
      </c>
      <c r="C155" s="687">
        <v>500000</v>
      </c>
      <c r="D155" s="687">
        <v>500000</v>
      </c>
      <c r="E155" s="653">
        <v>833347.09</v>
      </c>
      <c r="F155" s="653"/>
      <c r="G155" s="643">
        <f t="shared" si="36"/>
        <v>166.66941799999998</v>
      </c>
      <c r="H155" s="659">
        <f t="shared" si="35"/>
        <v>166.66941799999998</v>
      </c>
      <c r="I155" s="660">
        <f t="shared" si="37"/>
        <v>122.94283252659577</v>
      </c>
      <c r="J155" s="29">
        <v>677833</v>
      </c>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row>
    <row r="156" spans="1:45" s="685" customFormat="1" ht="12.75" customHeight="1" x14ac:dyDescent="0.2">
      <c r="A156" s="697"/>
      <c r="B156" s="686" t="s">
        <v>1064</v>
      </c>
      <c r="C156" s="687">
        <v>20000</v>
      </c>
      <c r="D156" s="687">
        <v>20000</v>
      </c>
      <c r="E156" s="653">
        <v>887.06</v>
      </c>
      <c r="F156" s="653"/>
      <c r="G156" s="643">
        <f t="shared" si="36"/>
        <v>4.4352999999999998</v>
      </c>
      <c r="H156" s="659">
        <f t="shared" si="35"/>
        <v>4.4352999999999998</v>
      </c>
      <c r="I156" s="660">
        <v>0</v>
      </c>
      <c r="J156" s="29">
        <v>0</v>
      </c>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row>
    <row r="157" spans="1:45" ht="12.75" customHeight="1" x14ac:dyDescent="0.2">
      <c r="A157" s="697"/>
      <c r="B157" s="686" t="s">
        <v>1136</v>
      </c>
      <c r="C157" s="687">
        <v>250000</v>
      </c>
      <c r="D157" s="687">
        <f>250000-250000</f>
        <v>0</v>
      </c>
      <c r="E157" s="653">
        <v>144481.67000000001</v>
      </c>
      <c r="F157" s="653"/>
      <c r="G157" s="643">
        <f t="shared" si="36"/>
        <v>57.792668000000006</v>
      </c>
      <c r="H157" s="659">
        <v>0</v>
      </c>
      <c r="I157" s="660">
        <v>0</v>
      </c>
      <c r="J157" s="29">
        <v>0</v>
      </c>
    </row>
    <row r="158" spans="1:45" ht="12.75" customHeight="1" x14ac:dyDescent="0.2">
      <c r="A158" s="697"/>
      <c r="B158" s="686" t="s">
        <v>1137</v>
      </c>
      <c r="C158" s="687">
        <v>0</v>
      </c>
      <c r="D158" s="687">
        <v>0</v>
      </c>
      <c r="E158" s="653">
        <v>2541</v>
      </c>
      <c r="F158" s="653"/>
      <c r="G158" s="643">
        <v>0</v>
      </c>
      <c r="H158" s="659">
        <v>0</v>
      </c>
      <c r="I158" s="660">
        <v>0</v>
      </c>
      <c r="J158" s="29">
        <v>0</v>
      </c>
    </row>
    <row r="159" spans="1:45" ht="12.75" customHeight="1" x14ac:dyDescent="0.2">
      <c r="A159" s="697"/>
      <c r="B159" s="686" t="s">
        <v>1138</v>
      </c>
      <c r="C159" s="687">
        <v>50000</v>
      </c>
      <c r="D159" s="687">
        <v>50000</v>
      </c>
      <c r="E159" s="653">
        <v>120477.3</v>
      </c>
      <c r="F159" s="653"/>
      <c r="G159" s="643">
        <f t="shared" si="36"/>
        <v>240.95460000000003</v>
      </c>
      <c r="H159" s="659">
        <f t="shared" si="35"/>
        <v>240.95460000000003</v>
      </c>
      <c r="I159" s="660">
        <f t="shared" si="37"/>
        <v>219.61564577798237</v>
      </c>
      <c r="J159" s="29">
        <v>54858.25</v>
      </c>
    </row>
    <row r="160" spans="1:45" ht="12.75" customHeight="1" x14ac:dyDescent="0.2">
      <c r="A160" s="697"/>
      <c r="B160" s="686" t="s">
        <v>1139</v>
      </c>
      <c r="C160" s="701">
        <v>40000</v>
      </c>
      <c r="D160" s="701">
        <v>40000</v>
      </c>
      <c r="E160" s="650">
        <v>45360</v>
      </c>
      <c r="F160" s="650"/>
      <c r="G160" s="643">
        <f t="shared" si="36"/>
        <v>113.39999999999999</v>
      </c>
      <c r="H160" s="659">
        <f t="shared" si="35"/>
        <v>113.39999999999999</v>
      </c>
      <c r="I160" s="660">
        <f t="shared" si="37"/>
        <v>100.62111801242236</v>
      </c>
      <c r="J160" s="29">
        <v>45080</v>
      </c>
    </row>
    <row r="161" spans="1:45" ht="12.75" customHeight="1" x14ac:dyDescent="0.2">
      <c r="A161" s="697"/>
      <c r="B161" s="695" t="s">
        <v>1140</v>
      </c>
      <c r="C161" s="715">
        <v>5500000</v>
      </c>
      <c r="D161" s="715">
        <v>5500000</v>
      </c>
      <c r="E161" s="653">
        <v>0</v>
      </c>
      <c r="F161" s="653"/>
      <c r="G161" s="643">
        <f t="shared" si="36"/>
        <v>0</v>
      </c>
      <c r="H161" s="659">
        <f t="shared" si="35"/>
        <v>0</v>
      </c>
      <c r="I161" s="664">
        <v>0</v>
      </c>
      <c r="J161" s="29">
        <v>0</v>
      </c>
    </row>
    <row r="162" spans="1:45" ht="12.75" customHeight="1" x14ac:dyDescent="0.2">
      <c r="A162" s="697"/>
      <c r="B162" s="695" t="s">
        <v>1843</v>
      </c>
      <c r="C162" s="715">
        <v>0</v>
      </c>
      <c r="D162" s="715">
        <v>0</v>
      </c>
      <c r="E162" s="653">
        <v>1616</v>
      </c>
      <c r="F162" s="653"/>
      <c r="G162" s="643">
        <v>0</v>
      </c>
      <c r="H162" s="659">
        <v>0</v>
      </c>
      <c r="I162" s="660">
        <f t="shared" si="37"/>
        <v>28.970957332377196</v>
      </c>
      <c r="J162" s="29">
        <v>5578</v>
      </c>
    </row>
    <row r="163" spans="1:45" ht="24.75" x14ac:dyDescent="0.2">
      <c r="A163" s="697"/>
      <c r="B163" s="695" t="s">
        <v>1844</v>
      </c>
      <c r="C163" s="687">
        <v>8304000</v>
      </c>
      <c r="D163" s="687">
        <f>8304000-8304000</f>
        <v>0</v>
      </c>
      <c r="E163" s="650">
        <v>0</v>
      </c>
      <c r="F163" s="650"/>
      <c r="G163" s="643">
        <f t="shared" si="36"/>
        <v>0</v>
      </c>
      <c r="H163" s="659">
        <v>0</v>
      </c>
      <c r="I163" s="664">
        <v>0</v>
      </c>
      <c r="J163" s="654">
        <v>0</v>
      </c>
    </row>
    <row r="164" spans="1:45" ht="24.75" x14ac:dyDescent="0.2">
      <c r="A164" s="697"/>
      <c r="B164" s="695" t="s">
        <v>1845</v>
      </c>
      <c r="C164" s="715">
        <v>1000000</v>
      </c>
      <c r="D164" s="715">
        <f>1000000-1000000</f>
        <v>0</v>
      </c>
      <c r="E164" s="653">
        <v>0</v>
      </c>
      <c r="F164" s="653"/>
      <c r="G164" s="643">
        <f t="shared" si="36"/>
        <v>0</v>
      </c>
      <c r="H164" s="659">
        <v>0</v>
      </c>
      <c r="I164" s="664">
        <v>0</v>
      </c>
      <c r="J164" s="654">
        <v>0</v>
      </c>
    </row>
    <row r="165" spans="1:45" ht="24.75" x14ac:dyDescent="0.2">
      <c r="A165" s="716"/>
      <c r="B165" s="717" t="s">
        <v>1846</v>
      </c>
      <c r="C165" s="718">
        <v>700000</v>
      </c>
      <c r="D165" s="718">
        <v>700000</v>
      </c>
      <c r="E165" s="653">
        <v>0</v>
      </c>
      <c r="F165" s="653"/>
      <c r="G165" s="643">
        <f t="shared" si="36"/>
        <v>0</v>
      </c>
      <c r="H165" s="659">
        <f t="shared" si="35"/>
        <v>0</v>
      </c>
      <c r="I165" s="664">
        <v>0</v>
      </c>
      <c r="J165" s="654">
        <v>0</v>
      </c>
    </row>
    <row r="166" spans="1:45" x14ac:dyDescent="0.2">
      <c r="A166" s="711"/>
      <c r="B166" s="686" t="s">
        <v>1144</v>
      </c>
      <c r="C166" s="701">
        <v>125387.36</v>
      </c>
      <c r="D166" s="701">
        <f>125387.36-125387.36</f>
        <v>0</v>
      </c>
      <c r="E166" s="653">
        <v>0</v>
      </c>
      <c r="F166" s="653"/>
      <c r="G166" s="643">
        <f t="shared" si="36"/>
        <v>0</v>
      </c>
      <c r="H166" s="659">
        <v>0</v>
      </c>
      <c r="I166" s="660">
        <v>0</v>
      </c>
      <c r="J166" s="29">
        <v>0</v>
      </c>
    </row>
    <row r="167" spans="1:45" ht="12.75" customHeight="1" x14ac:dyDescent="0.2">
      <c r="A167" s="697"/>
      <c r="B167" s="686" t="s">
        <v>1847</v>
      </c>
      <c r="C167" s="701">
        <v>0</v>
      </c>
      <c r="D167" s="701">
        <v>0</v>
      </c>
      <c r="E167" s="708">
        <v>58309.18</v>
      </c>
      <c r="F167" s="708"/>
      <c r="G167" s="643">
        <v>0</v>
      </c>
      <c r="H167" s="659">
        <v>0</v>
      </c>
      <c r="I167" s="660">
        <f t="shared" si="37"/>
        <v>118.54006033410023</v>
      </c>
      <c r="J167" s="29">
        <v>49189.43</v>
      </c>
    </row>
    <row r="168" spans="1:45" ht="12.75" customHeight="1" x14ac:dyDescent="0.2">
      <c r="A168" s="719"/>
      <c r="B168" s="720" t="s">
        <v>1146</v>
      </c>
      <c r="C168" s="721">
        <v>1000000</v>
      </c>
      <c r="D168" s="721">
        <f>1000000-500000-500000</f>
        <v>0</v>
      </c>
      <c r="E168" s="722">
        <v>0</v>
      </c>
      <c r="F168" s="722"/>
      <c r="G168" s="643">
        <f t="shared" si="36"/>
        <v>0</v>
      </c>
      <c r="H168" s="659">
        <v>0</v>
      </c>
      <c r="I168" s="660">
        <v>0</v>
      </c>
      <c r="J168" s="29">
        <v>0</v>
      </c>
    </row>
    <row r="169" spans="1:45" ht="12.75" customHeight="1" x14ac:dyDescent="0.2">
      <c r="A169" s="719"/>
      <c r="B169" s="720" t="s">
        <v>1147</v>
      </c>
      <c r="C169" s="721">
        <v>0</v>
      </c>
      <c r="D169" s="721">
        <v>16164266.27</v>
      </c>
      <c r="E169" s="722">
        <v>97724250.450000003</v>
      </c>
      <c r="F169" s="722"/>
      <c r="G169" s="643">
        <v>0</v>
      </c>
      <c r="H169" s="659">
        <f t="shared" si="35"/>
        <v>604.56966507270988</v>
      </c>
      <c r="I169" s="660">
        <v>0</v>
      </c>
      <c r="J169" s="29">
        <v>0</v>
      </c>
    </row>
    <row r="170" spans="1:45" ht="12.75" customHeight="1" x14ac:dyDescent="0.2">
      <c r="A170" s="723"/>
      <c r="B170" s="720"/>
      <c r="C170" s="724"/>
      <c r="D170" s="724"/>
      <c r="E170" s="725"/>
      <c r="F170" s="725"/>
      <c r="G170" s="725"/>
      <c r="H170" s="725"/>
      <c r="I170" s="726"/>
      <c r="J170" s="29"/>
    </row>
    <row r="171" spans="1:45" s="98" customFormat="1" ht="18.75" customHeight="1" x14ac:dyDescent="0.25">
      <c r="A171" s="727"/>
      <c r="B171" s="728" t="s">
        <v>11</v>
      </c>
      <c r="C171" s="729">
        <f>SUM(C172:C174,C181:C181,C182,C184)</f>
        <v>72976820.010000005</v>
      </c>
      <c r="D171" s="729">
        <f>SUM(D172:D174,D181:D181,D182,D184)</f>
        <v>112782862</v>
      </c>
      <c r="E171" s="730">
        <v>109636687.27</v>
      </c>
      <c r="F171" s="1215">
        <f>SUM(E172:E174,E181:E182,E184)</f>
        <v>109636687.27</v>
      </c>
      <c r="G171" s="631">
        <f t="shared" si="36"/>
        <v>150.23494755591776</v>
      </c>
      <c r="H171" s="631">
        <f t="shared" si="35"/>
        <v>97.210414176224745</v>
      </c>
      <c r="I171" s="677">
        <f t="shared" si="37"/>
        <v>158.35803476276214</v>
      </c>
      <c r="J171" s="29">
        <v>69233422.5</v>
      </c>
    </row>
    <row r="172" spans="1:45" s="98" customFormat="1" ht="24.75" x14ac:dyDescent="0.2">
      <c r="A172" s="732">
        <v>3111</v>
      </c>
      <c r="B172" s="733" t="s">
        <v>1148</v>
      </c>
      <c r="C172" s="734">
        <v>49200000</v>
      </c>
      <c r="D172" s="734">
        <f>49200000+57566790</f>
        <v>106766790</v>
      </c>
      <c r="E172" s="652">
        <v>106007013.31999999</v>
      </c>
      <c r="F172" s="653"/>
      <c r="G172" s="642">
        <f t="shared" si="36"/>
        <v>215.46140918699183</v>
      </c>
      <c r="H172" s="644">
        <f t="shared" si="35"/>
        <v>99.288377331565357</v>
      </c>
      <c r="I172" s="651">
        <f t="shared" si="37"/>
        <v>171.1678311539122</v>
      </c>
      <c r="J172" s="654">
        <v>61931621.5</v>
      </c>
    </row>
    <row r="173" spans="1:45" s="98" customFormat="1" x14ac:dyDescent="0.2">
      <c r="A173" s="732">
        <v>3111</v>
      </c>
      <c r="B173" s="733" t="s">
        <v>1149</v>
      </c>
      <c r="C173" s="663">
        <v>600000</v>
      </c>
      <c r="D173" s="663">
        <v>600000</v>
      </c>
      <c r="E173" s="652">
        <v>224360</v>
      </c>
      <c r="F173" s="653"/>
      <c r="G173" s="642">
        <f t="shared" si="36"/>
        <v>37.393333333333331</v>
      </c>
      <c r="H173" s="644">
        <f t="shared" si="35"/>
        <v>37.393333333333331</v>
      </c>
      <c r="I173" s="645">
        <f t="shared" si="37"/>
        <v>3.4197622506169321</v>
      </c>
      <c r="J173" s="29">
        <v>6560690</v>
      </c>
    </row>
    <row r="174" spans="1:45" s="98" customFormat="1" x14ac:dyDescent="0.2">
      <c r="A174" s="698">
        <v>3112</v>
      </c>
      <c r="B174" s="690" t="s">
        <v>1150</v>
      </c>
      <c r="C174" s="694">
        <f>SUM(C175:C180)</f>
        <v>14648000</v>
      </c>
      <c r="D174" s="694">
        <f>SUM(D175:D180)</f>
        <v>1097520</v>
      </c>
      <c r="E174" s="649">
        <v>1097520</v>
      </c>
      <c r="F174" s="650">
        <f>SUM(E175:E176)</f>
        <v>0</v>
      </c>
      <c r="G174" s="642">
        <f t="shared" si="36"/>
        <v>7.4926269797924636</v>
      </c>
      <c r="H174" s="644">
        <f t="shared" si="35"/>
        <v>100</v>
      </c>
      <c r="I174" s="645">
        <v>0</v>
      </c>
      <c r="J174" s="29">
        <v>0</v>
      </c>
    </row>
    <row r="175" spans="1:45" s="688" customFormat="1" x14ac:dyDescent="0.2">
      <c r="A175" s="698"/>
      <c r="B175" s="720" t="s">
        <v>1151</v>
      </c>
      <c r="C175" s="715">
        <v>3306000</v>
      </c>
      <c r="D175" s="715">
        <f>3306000-3306000</f>
        <v>0</v>
      </c>
      <c r="E175" s="650">
        <v>0</v>
      </c>
      <c r="F175" s="650"/>
      <c r="G175" s="643">
        <f t="shared" si="36"/>
        <v>0</v>
      </c>
      <c r="H175" s="659">
        <v>0</v>
      </c>
      <c r="I175" s="660">
        <v>0</v>
      </c>
      <c r="J175" s="29">
        <v>0</v>
      </c>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98"/>
      <c r="AH175" s="98"/>
      <c r="AI175" s="98"/>
      <c r="AJ175" s="98"/>
      <c r="AK175" s="98"/>
      <c r="AL175" s="98"/>
      <c r="AM175" s="98"/>
      <c r="AN175" s="98"/>
      <c r="AO175" s="98"/>
      <c r="AP175" s="98"/>
      <c r="AQ175" s="98"/>
      <c r="AR175" s="98"/>
      <c r="AS175" s="98"/>
    </row>
    <row r="176" spans="1:45" s="688" customFormat="1" x14ac:dyDescent="0.2">
      <c r="A176" s="698"/>
      <c r="B176" s="720" t="s">
        <v>1152</v>
      </c>
      <c r="C176" s="687">
        <v>4200000</v>
      </c>
      <c r="D176" s="687">
        <f>4200000-4200000</f>
        <v>0</v>
      </c>
      <c r="E176" s="653">
        <v>0</v>
      </c>
      <c r="F176" s="653"/>
      <c r="G176" s="643">
        <f t="shared" si="36"/>
        <v>0</v>
      </c>
      <c r="H176" s="659">
        <v>0</v>
      </c>
      <c r="I176" s="660">
        <v>0</v>
      </c>
      <c r="J176" s="29">
        <v>0</v>
      </c>
      <c r="K176" s="98"/>
      <c r="L176" s="98"/>
      <c r="M176" s="98"/>
      <c r="N176" s="98"/>
      <c r="O176" s="98"/>
      <c r="P176" s="98"/>
      <c r="Q176" s="98"/>
      <c r="R176" s="98"/>
      <c r="S176" s="98"/>
      <c r="T176" s="98"/>
      <c r="U176" s="98"/>
      <c r="V176" s="98"/>
      <c r="W176" s="98"/>
      <c r="X176" s="98"/>
      <c r="Y176" s="98"/>
      <c r="Z176" s="98"/>
      <c r="AA176" s="98"/>
      <c r="AB176" s="98"/>
      <c r="AC176" s="98"/>
      <c r="AD176" s="98"/>
      <c r="AE176" s="98"/>
      <c r="AF176" s="98"/>
      <c r="AG176" s="98"/>
      <c r="AH176" s="98"/>
      <c r="AI176" s="98"/>
      <c r="AJ176" s="98"/>
      <c r="AK176" s="98"/>
      <c r="AL176" s="98"/>
      <c r="AM176" s="98"/>
      <c r="AN176" s="98"/>
      <c r="AO176" s="98"/>
      <c r="AP176" s="98"/>
      <c r="AQ176" s="98"/>
      <c r="AR176" s="98"/>
      <c r="AS176" s="98"/>
    </row>
    <row r="177" spans="1:45" s="688" customFormat="1" x14ac:dyDescent="0.2">
      <c r="A177" s="698"/>
      <c r="B177" s="720" t="s">
        <v>1153</v>
      </c>
      <c r="C177" s="687">
        <v>5690000</v>
      </c>
      <c r="D177" s="687">
        <f>5690000-5690000</f>
        <v>0</v>
      </c>
      <c r="E177" s="653">
        <v>0</v>
      </c>
      <c r="F177" s="653"/>
      <c r="G177" s="643">
        <f t="shared" si="36"/>
        <v>0</v>
      </c>
      <c r="H177" s="659">
        <v>0</v>
      </c>
      <c r="I177" s="660">
        <v>0</v>
      </c>
      <c r="J177" s="29">
        <v>0</v>
      </c>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8"/>
      <c r="AJ177" s="98"/>
      <c r="AK177" s="98"/>
      <c r="AL177" s="98"/>
      <c r="AM177" s="98"/>
      <c r="AN177" s="98"/>
      <c r="AO177" s="98"/>
      <c r="AP177" s="98"/>
      <c r="AQ177" s="98"/>
      <c r="AR177" s="98"/>
      <c r="AS177" s="98"/>
    </row>
    <row r="178" spans="1:45" s="688" customFormat="1" x14ac:dyDescent="0.2">
      <c r="A178" s="698"/>
      <c r="B178" s="720" t="s">
        <v>1154</v>
      </c>
      <c r="C178" s="687">
        <v>842000</v>
      </c>
      <c r="D178" s="687">
        <f>842000+51260</f>
        <v>893260</v>
      </c>
      <c r="E178" s="653">
        <v>893260</v>
      </c>
      <c r="F178" s="653"/>
      <c r="G178" s="643">
        <f t="shared" si="36"/>
        <v>106.08788598574822</v>
      </c>
      <c r="H178" s="659">
        <f t="shared" si="35"/>
        <v>100</v>
      </c>
      <c r="I178" s="660">
        <v>0</v>
      </c>
      <c r="J178" s="29">
        <v>0</v>
      </c>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row>
    <row r="179" spans="1:45" s="688" customFormat="1" x14ac:dyDescent="0.2">
      <c r="A179" s="698"/>
      <c r="B179" s="720" t="s">
        <v>1848</v>
      </c>
      <c r="C179" s="687">
        <v>0</v>
      </c>
      <c r="D179" s="687">
        <v>204260</v>
      </c>
      <c r="E179" s="653">
        <v>204260</v>
      </c>
      <c r="F179" s="653"/>
      <c r="G179" s="643">
        <v>0</v>
      </c>
      <c r="H179" s="659">
        <f t="shared" si="35"/>
        <v>100</v>
      </c>
      <c r="I179" s="660">
        <v>0</v>
      </c>
      <c r="J179" s="29">
        <v>0</v>
      </c>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8"/>
      <c r="AJ179" s="98"/>
      <c r="AK179" s="98"/>
      <c r="AL179" s="98"/>
      <c r="AM179" s="98"/>
      <c r="AN179" s="98"/>
      <c r="AO179" s="98"/>
      <c r="AP179" s="98"/>
      <c r="AQ179" s="98"/>
      <c r="AR179" s="98"/>
      <c r="AS179" s="98"/>
    </row>
    <row r="180" spans="1:45" s="688" customFormat="1" x14ac:dyDescent="0.2">
      <c r="A180" s="698"/>
      <c r="B180" s="720" t="s">
        <v>1155</v>
      </c>
      <c r="C180" s="687">
        <v>610000</v>
      </c>
      <c r="D180" s="687">
        <f>610000-610000</f>
        <v>0</v>
      </c>
      <c r="E180" s="653">
        <v>0</v>
      </c>
      <c r="F180" s="653"/>
      <c r="G180" s="643">
        <f t="shared" si="36"/>
        <v>0</v>
      </c>
      <c r="H180" s="659">
        <v>0</v>
      </c>
      <c r="I180" s="660">
        <v>0</v>
      </c>
      <c r="J180" s="29">
        <v>0</v>
      </c>
      <c r="K180" s="98"/>
      <c r="L180" s="98"/>
      <c r="M180" s="98"/>
      <c r="N180" s="98"/>
      <c r="O180" s="98"/>
      <c r="P180" s="98"/>
      <c r="Q180" s="98"/>
      <c r="R180" s="98"/>
      <c r="S180" s="98"/>
      <c r="T180" s="98"/>
      <c r="U180" s="98"/>
      <c r="V180" s="98"/>
      <c r="W180" s="98"/>
      <c r="X180" s="98"/>
      <c r="Y180" s="98"/>
      <c r="Z180" s="98"/>
      <c r="AA180" s="98"/>
      <c r="AB180" s="98"/>
      <c r="AC180" s="98"/>
      <c r="AD180" s="98"/>
      <c r="AE180" s="98"/>
      <c r="AF180" s="98"/>
      <c r="AG180" s="98"/>
      <c r="AH180" s="98"/>
      <c r="AI180" s="98"/>
      <c r="AJ180" s="98"/>
      <c r="AK180" s="98"/>
      <c r="AL180" s="98"/>
      <c r="AM180" s="98"/>
      <c r="AN180" s="98"/>
      <c r="AO180" s="98"/>
      <c r="AP180" s="98"/>
      <c r="AQ180" s="98"/>
      <c r="AR180" s="98"/>
      <c r="AS180" s="98"/>
    </row>
    <row r="181" spans="1:45" s="98" customFormat="1" x14ac:dyDescent="0.2">
      <c r="A181" s="698">
        <v>3113</v>
      </c>
      <c r="B181" s="690" t="s">
        <v>1156</v>
      </c>
      <c r="C181" s="663">
        <v>50000</v>
      </c>
      <c r="D181" s="663">
        <v>50000</v>
      </c>
      <c r="E181" s="652">
        <v>69300</v>
      </c>
      <c r="F181" s="653"/>
      <c r="G181" s="642">
        <f t="shared" si="36"/>
        <v>138.6</v>
      </c>
      <c r="H181" s="644">
        <f t="shared" si="35"/>
        <v>138.6</v>
      </c>
      <c r="I181" s="645">
        <f t="shared" si="37"/>
        <v>57.220235981867873</v>
      </c>
      <c r="J181" s="29">
        <v>121111</v>
      </c>
    </row>
    <row r="182" spans="1:45" s="98" customFormat="1" x14ac:dyDescent="0.2">
      <c r="A182" s="698">
        <v>3122</v>
      </c>
      <c r="B182" s="689" t="s">
        <v>1157</v>
      </c>
      <c r="C182" s="663">
        <f t="shared" ref="C182:D182" si="38">C183</f>
        <v>2372552</v>
      </c>
      <c r="D182" s="663">
        <f t="shared" si="38"/>
        <v>2372552</v>
      </c>
      <c r="E182" s="735">
        <v>2238493.9500000002</v>
      </c>
      <c r="F182" s="708"/>
      <c r="G182" s="642">
        <f t="shared" si="36"/>
        <v>94.349626478155173</v>
      </c>
      <c r="H182" s="644">
        <f t="shared" si="35"/>
        <v>94.349626478155173</v>
      </c>
      <c r="I182" s="645">
        <v>0</v>
      </c>
      <c r="J182" s="29">
        <v>0</v>
      </c>
    </row>
    <row r="183" spans="1:45" s="98" customFormat="1" x14ac:dyDescent="0.2">
      <c r="A183" s="698"/>
      <c r="B183" s="689" t="s">
        <v>1158</v>
      </c>
      <c r="C183" s="701">
        <v>2372552</v>
      </c>
      <c r="D183" s="701">
        <v>2372552</v>
      </c>
      <c r="E183" s="722">
        <v>2238493.9500000002</v>
      </c>
      <c r="F183" s="722"/>
      <c r="G183" s="643">
        <f t="shared" si="36"/>
        <v>94.349626478155173</v>
      </c>
      <c r="H183" s="659">
        <f t="shared" si="35"/>
        <v>94.349626478155173</v>
      </c>
      <c r="I183" s="736">
        <v>0</v>
      </c>
      <c r="J183" s="29">
        <v>0</v>
      </c>
    </row>
    <row r="184" spans="1:45" s="98" customFormat="1" ht="12.75" customHeight="1" x14ac:dyDescent="0.2">
      <c r="A184" s="698">
        <v>3129</v>
      </c>
      <c r="B184" s="690" t="s">
        <v>191</v>
      </c>
      <c r="C184" s="694">
        <f>SUM(C185:C190)</f>
        <v>6106268.0099999998</v>
      </c>
      <c r="D184" s="694">
        <f>SUM(D185:D190)</f>
        <v>1896000</v>
      </c>
      <c r="E184" s="652">
        <v>0</v>
      </c>
      <c r="F184" s="653">
        <f>SUM(E185:E190)</f>
        <v>0</v>
      </c>
      <c r="G184" s="642">
        <f t="shared" si="36"/>
        <v>0</v>
      </c>
      <c r="H184" s="644">
        <f t="shared" si="35"/>
        <v>0</v>
      </c>
      <c r="I184" s="645">
        <v>0</v>
      </c>
      <c r="J184" s="29">
        <v>0</v>
      </c>
    </row>
    <row r="185" spans="1:45" s="98" customFormat="1" ht="12.75" customHeight="1" x14ac:dyDescent="0.2">
      <c r="A185" s="737"/>
      <c r="B185" s="738" t="s">
        <v>1159</v>
      </c>
      <c r="C185" s="739">
        <v>1896000</v>
      </c>
      <c r="D185" s="739">
        <v>1896000</v>
      </c>
      <c r="E185" s="722">
        <v>0</v>
      </c>
      <c r="F185" s="722"/>
      <c r="G185" s="643">
        <f t="shared" si="36"/>
        <v>0</v>
      </c>
      <c r="H185" s="659">
        <f t="shared" si="35"/>
        <v>0</v>
      </c>
      <c r="I185" s="660">
        <v>0</v>
      </c>
      <c r="J185" s="29">
        <v>0</v>
      </c>
    </row>
    <row r="186" spans="1:45" s="98" customFormat="1" ht="12.75" customHeight="1" x14ac:dyDescent="0.2">
      <c r="A186" s="737"/>
      <c r="B186" s="740" t="s">
        <v>1160</v>
      </c>
      <c r="C186" s="741">
        <v>522932</v>
      </c>
      <c r="D186" s="741">
        <f>522932-522932</f>
        <v>0</v>
      </c>
      <c r="E186" s="722">
        <v>0</v>
      </c>
      <c r="F186" s="722"/>
      <c r="G186" s="643">
        <f t="shared" si="36"/>
        <v>0</v>
      </c>
      <c r="H186" s="659">
        <v>0</v>
      </c>
      <c r="I186" s="736">
        <v>0</v>
      </c>
      <c r="J186" s="29">
        <v>0</v>
      </c>
    </row>
    <row r="187" spans="1:45" s="98" customFormat="1" ht="12.75" customHeight="1" x14ac:dyDescent="0.2">
      <c r="A187" s="737"/>
      <c r="B187" s="742" t="s">
        <v>1161</v>
      </c>
      <c r="C187" s="741">
        <v>400000</v>
      </c>
      <c r="D187" s="741">
        <f>400000-400000</f>
        <v>0</v>
      </c>
      <c r="E187" s="722">
        <v>0</v>
      </c>
      <c r="F187" s="722"/>
      <c r="G187" s="643">
        <f t="shared" si="36"/>
        <v>0</v>
      </c>
      <c r="H187" s="659">
        <v>0</v>
      </c>
      <c r="I187" s="660">
        <v>0</v>
      </c>
      <c r="J187" s="29">
        <v>0</v>
      </c>
    </row>
    <row r="188" spans="1:45" s="98" customFormat="1" ht="12.75" customHeight="1" x14ac:dyDescent="0.2">
      <c r="A188" s="737"/>
      <c r="B188" s="742" t="s">
        <v>1162</v>
      </c>
      <c r="C188" s="741">
        <v>1002336.01</v>
      </c>
      <c r="D188" s="741">
        <f>1002336.01-1002336.01</f>
        <v>0</v>
      </c>
      <c r="E188" s="708">
        <v>0</v>
      </c>
      <c r="F188" s="708"/>
      <c r="G188" s="643">
        <f t="shared" si="36"/>
        <v>0</v>
      </c>
      <c r="H188" s="659">
        <v>0</v>
      </c>
      <c r="I188" s="660">
        <v>0</v>
      </c>
      <c r="J188" s="29">
        <v>0</v>
      </c>
    </row>
    <row r="189" spans="1:45" s="98" customFormat="1" ht="12.75" customHeight="1" x14ac:dyDescent="0.2">
      <c r="A189" s="743"/>
      <c r="B189" s="744" t="s">
        <v>1163</v>
      </c>
      <c r="C189" s="741">
        <v>1700000</v>
      </c>
      <c r="D189" s="741">
        <f>1700000-1700000</f>
        <v>0</v>
      </c>
      <c r="E189" s="722">
        <v>0</v>
      </c>
      <c r="F189" s="722"/>
      <c r="G189" s="643">
        <f t="shared" si="36"/>
        <v>0</v>
      </c>
      <c r="H189" s="659">
        <v>0</v>
      </c>
      <c r="I189" s="736">
        <v>0</v>
      </c>
      <c r="J189" s="29">
        <v>0</v>
      </c>
    </row>
    <row r="190" spans="1:45" s="98" customFormat="1" x14ac:dyDescent="0.2">
      <c r="A190" s="745"/>
      <c r="B190" s="742" t="s">
        <v>1164</v>
      </c>
      <c r="C190" s="746">
        <v>585000</v>
      </c>
      <c r="D190" s="746">
        <f>585000-585000</f>
        <v>0</v>
      </c>
      <c r="E190" s="722">
        <v>0</v>
      </c>
      <c r="F190" s="722"/>
      <c r="G190" s="643">
        <f t="shared" si="36"/>
        <v>0</v>
      </c>
      <c r="H190" s="659">
        <v>0</v>
      </c>
      <c r="I190" s="736">
        <v>0</v>
      </c>
      <c r="J190" s="29">
        <v>0</v>
      </c>
    </row>
    <row r="191" spans="1:45" s="98" customFormat="1" x14ac:dyDescent="0.2">
      <c r="A191" s="747"/>
      <c r="B191" s="742"/>
      <c r="C191" s="748"/>
      <c r="D191" s="748"/>
      <c r="E191" s="671"/>
      <c r="F191" s="671"/>
      <c r="G191" s="671"/>
      <c r="H191" s="671"/>
      <c r="I191" s="749"/>
      <c r="J191" s="29"/>
    </row>
    <row r="192" spans="1:45" s="98" customFormat="1" ht="18" x14ac:dyDescent="0.25">
      <c r="A192" s="727"/>
      <c r="B192" s="750" t="s">
        <v>196</v>
      </c>
      <c r="C192" s="751">
        <f>SUM(C193,C197,C198,C207,C216,C230,C233:C234,C237,C245)</f>
        <v>56420206.439999998</v>
      </c>
      <c r="D192" s="751">
        <f>SUM(D193,D197,D198,D207,D216,D230,D233:D234,D237,D245)</f>
        <v>115276937.27999999</v>
      </c>
      <c r="E192" s="752">
        <v>116246413.66</v>
      </c>
      <c r="F192" s="963">
        <f>SUM(E193,E197:E198,E207,E216,E230,E233:E234,E237,E245)</f>
        <v>116246413.65999998</v>
      </c>
      <c r="G192" s="631">
        <f t="shared" si="36"/>
        <v>206.03684565320069</v>
      </c>
      <c r="H192" s="631">
        <f t="shared" si="35"/>
        <v>100.84099769032311</v>
      </c>
      <c r="I192" s="677">
        <f t="shared" si="37"/>
        <v>109.58347459346085</v>
      </c>
      <c r="J192" s="29">
        <v>106080240.73999999</v>
      </c>
    </row>
    <row r="193" spans="1:11" s="98" customFormat="1" x14ac:dyDescent="0.2">
      <c r="A193" s="754">
        <v>4111</v>
      </c>
      <c r="B193" s="755" t="s">
        <v>197</v>
      </c>
      <c r="C193" s="756">
        <f>SUM(C194:C196)</f>
        <v>0</v>
      </c>
      <c r="D193" s="756">
        <f>SUM(D194:D196)</f>
        <v>1561612.6400000001</v>
      </c>
      <c r="E193" s="757">
        <v>1561612.64</v>
      </c>
      <c r="F193" s="758">
        <f>SUM(E194:E196)</f>
        <v>1561612.6400000001</v>
      </c>
      <c r="G193" s="642">
        <v>0</v>
      </c>
      <c r="H193" s="644">
        <f t="shared" si="35"/>
        <v>99.999999999999986</v>
      </c>
      <c r="I193" s="651">
        <f t="shared" si="37"/>
        <v>179.92889801205408</v>
      </c>
      <c r="J193" s="29">
        <v>867905.41</v>
      </c>
    </row>
    <row r="194" spans="1:11" s="98" customFormat="1" x14ac:dyDescent="0.2">
      <c r="A194" s="759"/>
      <c r="B194" s="760" t="s">
        <v>1165</v>
      </c>
      <c r="C194" s="761">
        <v>0</v>
      </c>
      <c r="D194" s="761">
        <v>124612.64</v>
      </c>
      <c r="E194" s="762">
        <v>124612.64</v>
      </c>
      <c r="F194" s="762"/>
      <c r="G194" s="643">
        <v>0</v>
      </c>
      <c r="H194" s="659">
        <f t="shared" si="35"/>
        <v>100</v>
      </c>
      <c r="I194" s="660">
        <f t="shared" si="37"/>
        <v>14.419421430224485</v>
      </c>
      <c r="J194" s="29">
        <v>864200</v>
      </c>
    </row>
    <row r="195" spans="1:11" s="98" customFormat="1" x14ac:dyDescent="0.2">
      <c r="A195" s="759"/>
      <c r="B195" s="760" t="s">
        <v>1849</v>
      </c>
      <c r="C195" s="761">
        <v>0</v>
      </c>
      <c r="D195" s="761">
        <v>713000</v>
      </c>
      <c r="E195" s="762">
        <v>713000</v>
      </c>
      <c r="F195" s="762"/>
      <c r="G195" s="643">
        <v>0</v>
      </c>
      <c r="H195" s="659">
        <f t="shared" si="35"/>
        <v>100</v>
      </c>
      <c r="I195" s="660">
        <f t="shared" si="37"/>
        <v>19242.135148337162</v>
      </c>
      <c r="J195" s="29">
        <v>3705.41</v>
      </c>
    </row>
    <row r="196" spans="1:11" s="98" customFormat="1" x14ac:dyDescent="0.2">
      <c r="A196" s="759"/>
      <c r="B196" s="760" t="s">
        <v>1166</v>
      </c>
      <c r="C196" s="761">
        <v>0</v>
      </c>
      <c r="D196" s="761">
        <v>724000</v>
      </c>
      <c r="E196" s="762">
        <v>724000</v>
      </c>
      <c r="F196" s="762"/>
      <c r="G196" s="643">
        <v>0</v>
      </c>
      <c r="H196" s="659">
        <f t="shared" si="35"/>
        <v>100</v>
      </c>
      <c r="I196" s="660">
        <v>0</v>
      </c>
      <c r="J196" s="29">
        <v>0</v>
      </c>
    </row>
    <row r="197" spans="1:11" ht="25.5" x14ac:dyDescent="0.2">
      <c r="A197" s="732">
        <v>4112</v>
      </c>
      <c r="B197" s="733" t="s">
        <v>1167</v>
      </c>
      <c r="C197" s="663">
        <f>(1016932+736317+467712+420864+713728+43008+4253687+8154340+23444493+795804+17710+1525000+1296966+241392+782383+86001+2624+348336+27880+12045)-22</f>
        <v>44387200</v>
      </c>
      <c r="D197" s="663">
        <f>(1016932+736317+467712+420864+713728+43008+4253687+8154340+23444493+795804+17710+1525000+1296966+241392+782383+86001+2624+348336+27880+12045)-22</f>
        <v>44387200</v>
      </c>
      <c r="E197" s="652">
        <v>44387200</v>
      </c>
      <c r="F197" s="653"/>
      <c r="G197" s="642">
        <f t="shared" si="36"/>
        <v>100</v>
      </c>
      <c r="H197" s="644">
        <f t="shared" si="35"/>
        <v>100</v>
      </c>
      <c r="I197" s="651">
        <f t="shared" si="37"/>
        <v>96.142574634866932</v>
      </c>
      <c r="J197" s="654">
        <v>46168100</v>
      </c>
    </row>
    <row r="198" spans="1:11" s="98" customFormat="1" x14ac:dyDescent="0.2">
      <c r="A198" s="698">
        <v>4116</v>
      </c>
      <c r="B198" s="690" t="s">
        <v>201</v>
      </c>
      <c r="C198" s="694">
        <f>SUM(C200:C206)</f>
        <v>100000</v>
      </c>
      <c r="D198" s="694">
        <f>SUM(D199:D206)</f>
        <v>15785593.690000001</v>
      </c>
      <c r="E198" s="649">
        <v>15785593.689999999</v>
      </c>
      <c r="F198" s="650">
        <f>SUM(E199:E206)</f>
        <v>15785593.690000001</v>
      </c>
      <c r="G198" s="642">
        <f t="shared" si="36"/>
        <v>15785.59369</v>
      </c>
      <c r="H198" s="644">
        <f t="shared" si="35"/>
        <v>99.999999999999986</v>
      </c>
      <c r="I198" s="645">
        <f t="shared" si="37"/>
        <v>65.417885780610888</v>
      </c>
      <c r="J198" s="29">
        <v>24130394.16</v>
      </c>
    </row>
    <row r="199" spans="1:11" ht="12.75" customHeight="1" x14ac:dyDescent="0.2">
      <c r="A199" s="684"/>
      <c r="B199" s="658" t="s">
        <v>1850</v>
      </c>
      <c r="C199" s="653">
        <v>0</v>
      </c>
      <c r="D199" s="653">
        <v>1067803</v>
      </c>
      <c r="E199" s="653">
        <v>1067803</v>
      </c>
      <c r="F199" s="653"/>
      <c r="G199" s="643">
        <v>0</v>
      </c>
      <c r="H199" s="659">
        <f t="shared" ref="H199:H262" si="39">E199/D199*100</f>
        <v>100</v>
      </c>
      <c r="I199" s="660">
        <f t="shared" si="37"/>
        <v>100.77435027246182</v>
      </c>
      <c r="J199" s="29">
        <v>1059598</v>
      </c>
    </row>
    <row r="200" spans="1:11" ht="12.75" customHeight="1" x14ac:dyDescent="0.2">
      <c r="A200" s="763"/>
      <c r="B200" s="702" t="s">
        <v>1851</v>
      </c>
      <c r="C200" s="687">
        <v>0</v>
      </c>
      <c r="D200" s="687">
        <f>625431.35-114563.55</f>
        <v>510867.8</v>
      </c>
      <c r="E200" s="653">
        <v>510867.8</v>
      </c>
      <c r="F200" s="653"/>
      <c r="G200" s="643">
        <v>0</v>
      </c>
      <c r="H200" s="659">
        <f t="shared" si="39"/>
        <v>100</v>
      </c>
      <c r="I200" s="660">
        <v>0</v>
      </c>
      <c r="J200" s="29">
        <v>0</v>
      </c>
    </row>
    <row r="201" spans="1:11" ht="12.75" customHeight="1" x14ac:dyDescent="0.2">
      <c r="A201" s="763"/>
      <c r="B201" s="702" t="s">
        <v>1852</v>
      </c>
      <c r="C201" s="687">
        <v>0</v>
      </c>
      <c r="D201" s="687">
        <v>8122800</v>
      </c>
      <c r="E201" s="653">
        <v>8122800</v>
      </c>
      <c r="F201" s="653"/>
      <c r="G201" s="643">
        <v>0</v>
      </c>
      <c r="H201" s="659">
        <f t="shared" si="39"/>
        <v>100</v>
      </c>
      <c r="I201" s="660">
        <f t="shared" si="37"/>
        <v>97.817919075144516</v>
      </c>
      <c r="J201" s="29">
        <v>8304000</v>
      </c>
    </row>
    <row r="202" spans="1:11" s="98" customFormat="1" ht="12.75" customHeight="1" x14ac:dyDescent="0.2">
      <c r="A202" s="763"/>
      <c r="B202" s="702" t="s">
        <v>1170</v>
      </c>
      <c r="C202" s="687">
        <v>0</v>
      </c>
      <c r="D202" s="687">
        <f>261245.45+4441172.63</f>
        <v>4702418.08</v>
      </c>
      <c r="E202" s="653">
        <v>4702418.08</v>
      </c>
      <c r="F202" s="653"/>
      <c r="G202" s="643">
        <v>0</v>
      </c>
      <c r="H202" s="659">
        <f t="shared" si="39"/>
        <v>100</v>
      </c>
      <c r="I202" s="660">
        <v>0</v>
      </c>
      <c r="J202" s="29">
        <v>0</v>
      </c>
    </row>
    <row r="203" spans="1:11" s="98" customFormat="1" ht="12.75" customHeight="1" x14ac:dyDescent="0.2">
      <c r="A203" s="763"/>
      <c r="B203" s="702" t="s">
        <v>1171</v>
      </c>
      <c r="C203" s="687">
        <v>0</v>
      </c>
      <c r="D203" s="687">
        <v>61704.81</v>
      </c>
      <c r="E203" s="653">
        <v>61704.81</v>
      </c>
      <c r="F203" s="653"/>
      <c r="G203" s="643">
        <v>0</v>
      </c>
      <c r="H203" s="659">
        <f t="shared" si="39"/>
        <v>100</v>
      </c>
      <c r="I203" s="660">
        <v>0</v>
      </c>
      <c r="J203" s="29">
        <v>0</v>
      </c>
    </row>
    <row r="204" spans="1:11" s="98" customFormat="1" ht="12.75" customHeight="1" x14ac:dyDescent="0.2">
      <c r="A204" s="763"/>
      <c r="B204" s="702" t="s">
        <v>1172</v>
      </c>
      <c r="C204" s="687">
        <v>0</v>
      </c>
      <c r="D204" s="687">
        <v>400000</v>
      </c>
      <c r="E204" s="653">
        <v>400000</v>
      </c>
      <c r="F204" s="653"/>
      <c r="G204" s="643">
        <v>0</v>
      </c>
      <c r="H204" s="659">
        <f t="shared" si="39"/>
        <v>100</v>
      </c>
      <c r="I204" s="660">
        <v>0</v>
      </c>
      <c r="J204" s="29">
        <v>0</v>
      </c>
    </row>
    <row r="205" spans="1:11" s="98" customFormat="1" ht="12.75" customHeight="1" x14ac:dyDescent="0.2">
      <c r="A205" s="763"/>
      <c r="B205" s="702" t="s">
        <v>1173</v>
      </c>
      <c r="C205" s="687">
        <v>100000</v>
      </c>
      <c r="D205" s="687">
        <f>100000-100000</f>
        <v>0</v>
      </c>
      <c r="E205" s="653">
        <v>0</v>
      </c>
      <c r="F205" s="653"/>
      <c r="G205" s="643">
        <f t="shared" ref="G205:G265" si="40">E205/C205*100</f>
        <v>0</v>
      </c>
      <c r="H205" s="659">
        <v>0</v>
      </c>
      <c r="I205" s="660">
        <v>0</v>
      </c>
      <c r="J205" s="29">
        <v>0</v>
      </c>
    </row>
    <row r="206" spans="1:11" s="98" customFormat="1" ht="12.75" customHeight="1" x14ac:dyDescent="0.2">
      <c r="A206" s="1090"/>
      <c r="B206" s="666" t="s">
        <v>1853</v>
      </c>
      <c r="C206" s="653">
        <v>0</v>
      </c>
      <c r="D206" s="653">
        <v>920000</v>
      </c>
      <c r="E206" s="1173">
        <v>920000</v>
      </c>
      <c r="F206" s="1173"/>
      <c r="G206" s="643">
        <v>0</v>
      </c>
      <c r="H206" s="659">
        <f t="shared" si="39"/>
        <v>100</v>
      </c>
      <c r="I206" s="660">
        <v>0</v>
      </c>
      <c r="J206" s="29">
        <v>0</v>
      </c>
      <c r="K206" s="150"/>
    </row>
    <row r="207" spans="1:11" x14ac:dyDescent="0.2">
      <c r="A207" s="698">
        <v>4121</v>
      </c>
      <c r="B207" s="690" t="s">
        <v>213</v>
      </c>
      <c r="C207" s="694">
        <f>SUM(C208:C215)</f>
        <v>3747689</v>
      </c>
      <c r="D207" s="694">
        <f>SUM(D208:D215)</f>
        <v>3546238.74</v>
      </c>
      <c r="E207" s="652">
        <v>3546238.74</v>
      </c>
      <c r="F207" s="653">
        <f>SUM(E208:E215)</f>
        <v>3474878</v>
      </c>
      <c r="G207" s="642">
        <f t="shared" si="40"/>
        <v>94.624680436396943</v>
      </c>
      <c r="H207" s="644">
        <f t="shared" si="39"/>
        <v>100</v>
      </c>
      <c r="I207" s="645">
        <f t="shared" ref="I207:I266" si="41">E207/J207*100</f>
        <v>153.625363893452</v>
      </c>
      <c r="J207" s="29">
        <v>2308368</v>
      </c>
    </row>
    <row r="208" spans="1:11" x14ac:dyDescent="0.2">
      <c r="A208" s="698"/>
      <c r="B208" s="702" t="s">
        <v>1174</v>
      </c>
      <c r="C208" s="687">
        <v>420000</v>
      </c>
      <c r="D208" s="687">
        <f>420000+7500</f>
        <v>427500</v>
      </c>
      <c r="E208" s="653">
        <v>427500</v>
      </c>
      <c r="F208" s="653"/>
      <c r="G208" s="643">
        <f t="shared" si="40"/>
        <v>101.78571428571428</v>
      </c>
      <c r="H208" s="659">
        <f t="shared" si="39"/>
        <v>100</v>
      </c>
      <c r="I208" s="660">
        <f t="shared" si="41"/>
        <v>100</v>
      </c>
      <c r="J208" s="29">
        <v>427500</v>
      </c>
    </row>
    <row r="209" spans="1:11" x14ac:dyDescent="0.2">
      <c r="A209" s="698"/>
      <c r="B209" s="702" t="s">
        <v>1175</v>
      </c>
      <c r="C209" s="687">
        <v>3000</v>
      </c>
      <c r="D209" s="687">
        <f>3000-1131</f>
        <v>1869</v>
      </c>
      <c r="E209" s="653">
        <v>1869</v>
      </c>
      <c r="F209" s="653"/>
      <c r="G209" s="643">
        <f t="shared" si="40"/>
        <v>62.3</v>
      </c>
      <c r="H209" s="659">
        <f t="shared" si="39"/>
        <v>100</v>
      </c>
      <c r="I209" s="660">
        <f t="shared" si="41"/>
        <v>66.845493562231766</v>
      </c>
      <c r="J209" s="29">
        <v>2796</v>
      </c>
    </row>
    <row r="210" spans="1:11" ht="12.75" customHeight="1" x14ac:dyDescent="0.2">
      <c r="A210" s="698"/>
      <c r="B210" s="702" t="s">
        <v>1176</v>
      </c>
      <c r="C210" s="764">
        <v>1459028</v>
      </c>
      <c r="D210" s="764">
        <f>1459028-83296</f>
        <v>1375732</v>
      </c>
      <c r="E210" s="653">
        <v>1375732</v>
      </c>
      <c r="F210" s="653"/>
      <c r="G210" s="643">
        <f t="shared" si="40"/>
        <v>94.290993730072344</v>
      </c>
      <c r="H210" s="659">
        <f t="shared" si="39"/>
        <v>100</v>
      </c>
      <c r="I210" s="660">
        <f t="shared" si="41"/>
        <v>163.33311962919959</v>
      </c>
      <c r="J210" s="29">
        <v>842286</v>
      </c>
    </row>
    <row r="211" spans="1:11" ht="12.75" customHeight="1" x14ac:dyDescent="0.2">
      <c r="A211" s="698"/>
      <c r="B211" s="702" t="s">
        <v>1177</v>
      </c>
      <c r="C211" s="765">
        <v>1203095</v>
      </c>
      <c r="D211" s="765">
        <f>1203095-205034</f>
        <v>998061</v>
      </c>
      <c r="E211" s="653">
        <v>998061</v>
      </c>
      <c r="F211" s="653"/>
      <c r="G211" s="643">
        <f t="shared" si="40"/>
        <v>82.957788038351083</v>
      </c>
      <c r="H211" s="659">
        <f t="shared" si="39"/>
        <v>100</v>
      </c>
      <c r="I211" s="660">
        <f t="shared" si="41"/>
        <v>165.77021135240625</v>
      </c>
      <c r="J211" s="29">
        <v>602075</v>
      </c>
    </row>
    <row r="212" spans="1:11" ht="12.75" customHeight="1" x14ac:dyDescent="0.2">
      <c r="A212" s="698"/>
      <c r="B212" s="702" t="s">
        <v>1178</v>
      </c>
      <c r="C212" s="766">
        <v>354926</v>
      </c>
      <c r="D212" s="766">
        <v>354926</v>
      </c>
      <c r="E212" s="653">
        <v>354926</v>
      </c>
      <c r="F212" s="653"/>
      <c r="G212" s="643">
        <f t="shared" si="40"/>
        <v>100</v>
      </c>
      <c r="H212" s="659">
        <f t="shared" si="39"/>
        <v>100</v>
      </c>
      <c r="I212" s="660">
        <f t="shared" si="41"/>
        <v>281.52866242038215</v>
      </c>
      <c r="J212" s="29">
        <v>126071</v>
      </c>
    </row>
    <row r="213" spans="1:11" ht="12.75" customHeight="1" x14ac:dyDescent="0.2">
      <c r="A213" s="698"/>
      <c r="B213" s="702" t="s">
        <v>1179</v>
      </c>
      <c r="C213" s="687">
        <v>307340</v>
      </c>
      <c r="D213" s="687">
        <f>307340+65724.92+312975.82-53340-254000</f>
        <v>378700.74</v>
      </c>
      <c r="E213" s="653">
        <v>307340</v>
      </c>
      <c r="F213" s="653"/>
      <c r="G213" s="643">
        <f t="shared" si="40"/>
        <v>100</v>
      </c>
      <c r="H213" s="659">
        <f t="shared" si="39"/>
        <v>81.156429744499576</v>
      </c>
      <c r="I213" s="660">
        <f t="shared" si="41"/>
        <v>100</v>
      </c>
      <c r="J213" s="29">
        <v>307340</v>
      </c>
    </row>
    <row r="214" spans="1:11" x14ac:dyDescent="0.2">
      <c r="A214" s="698"/>
      <c r="B214" s="702" t="s">
        <v>1180</v>
      </c>
      <c r="C214" s="687">
        <v>300</v>
      </c>
      <c r="D214" s="687">
        <f>300+150</f>
        <v>450</v>
      </c>
      <c r="E214" s="650">
        <v>450</v>
      </c>
      <c r="F214" s="650"/>
      <c r="G214" s="643">
        <f t="shared" si="40"/>
        <v>150</v>
      </c>
      <c r="H214" s="659">
        <f t="shared" si="39"/>
        <v>100</v>
      </c>
      <c r="I214" s="660">
        <f t="shared" si="41"/>
        <v>150</v>
      </c>
      <c r="J214" s="29">
        <v>300</v>
      </c>
    </row>
    <row r="215" spans="1:11" x14ac:dyDescent="0.2">
      <c r="A215" s="698"/>
      <c r="B215" s="702" t="s">
        <v>1181</v>
      </c>
      <c r="C215" s="687">
        <v>0</v>
      </c>
      <c r="D215" s="687">
        <v>9000</v>
      </c>
      <c r="E215" s="650">
        <v>9000</v>
      </c>
      <c r="F215" s="650"/>
      <c r="G215" s="643">
        <v>0</v>
      </c>
      <c r="H215" s="659">
        <f t="shared" si="39"/>
        <v>100</v>
      </c>
      <c r="I215" s="660">
        <v>0</v>
      </c>
      <c r="J215" s="29">
        <v>0</v>
      </c>
    </row>
    <row r="216" spans="1:11" ht="12.75" customHeight="1" x14ac:dyDescent="0.2">
      <c r="A216" s="698">
        <v>4122</v>
      </c>
      <c r="B216" s="689" t="s">
        <v>221</v>
      </c>
      <c r="C216" s="694">
        <f>SUM(C217:C229)</f>
        <v>0</v>
      </c>
      <c r="D216" s="694">
        <f>SUM(D217:D229)</f>
        <v>12402579</v>
      </c>
      <c r="E216" s="652">
        <v>12402579</v>
      </c>
      <c r="F216" s="653">
        <f>SUM(E217:E229)</f>
        <v>12402579</v>
      </c>
      <c r="G216" s="642">
        <v>0</v>
      </c>
      <c r="H216" s="644">
        <f t="shared" si="39"/>
        <v>100</v>
      </c>
      <c r="I216" s="645">
        <f t="shared" si="41"/>
        <v>109.73192440875863</v>
      </c>
      <c r="J216" s="29">
        <v>11302616.869999999</v>
      </c>
    </row>
    <row r="217" spans="1:11" s="98" customFormat="1" ht="12.75" customHeight="1" x14ac:dyDescent="0.2">
      <c r="A217" s="763"/>
      <c r="B217" s="767" t="s">
        <v>1182</v>
      </c>
      <c r="C217" s="687">
        <v>0</v>
      </c>
      <c r="D217" s="687">
        <v>4743000</v>
      </c>
      <c r="E217" s="653">
        <v>4743000</v>
      </c>
      <c r="F217" s="653"/>
      <c r="G217" s="643">
        <v>0</v>
      </c>
      <c r="H217" s="659">
        <f t="shared" si="39"/>
        <v>100</v>
      </c>
      <c r="I217" s="660">
        <f t="shared" si="41"/>
        <v>104.2188529993408</v>
      </c>
      <c r="J217" s="29">
        <v>4551000</v>
      </c>
    </row>
    <row r="218" spans="1:11" s="98" customFormat="1" ht="12.75" customHeight="1" x14ac:dyDescent="0.2">
      <c r="A218" s="763"/>
      <c r="B218" s="767" t="s">
        <v>1854</v>
      </c>
      <c r="C218" s="687">
        <v>0</v>
      </c>
      <c r="D218" s="687">
        <f>80000</f>
        <v>80000</v>
      </c>
      <c r="E218" s="653">
        <v>80000</v>
      </c>
      <c r="F218" s="653"/>
      <c r="G218" s="643">
        <v>0</v>
      </c>
      <c r="H218" s="659">
        <f t="shared" si="39"/>
        <v>100</v>
      </c>
      <c r="I218" s="660">
        <f t="shared" si="41"/>
        <v>100</v>
      </c>
      <c r="J218" s="29">
        <v>80000</v>
      </c>
    </row>
    <row r="219" spans="1:11" s="98" customFormat="1" ht="12.75" customHeight="1" x14ac:dyDescent="0.2">
      <c r="A219" s="737"/>
      <c r="B219" s="767" t="s">
        <v>1855</v>
      </c>
      <c r="C219" s="687">
        <v>0</v>
      </c>
      <c r="D219" s="687">
        <v>500000</v>
      </c>
      <c r="E219" s="653">
        <v>500000</v>
      </c>
      <c r="F219" s="653"/>
      <c r="G219" s="643">
        <v>0</v>
      </c>
      <c r="H219" s="659">
        <f t="shared" si="39"/>
        <v>100</v>
      </c>
      <c r="I219" s="660">
        <v>0</v>
      </c>
      <c r="J219" s="29">
        <v>0</v>
      </c>
    </row>
    <row r="220" spans="1:11" s="98" customFormat="1" ht="12.75" customHeight="1" x14ac:dyDescent="0.2">
      <c r="A220" s="737"/>
      <c r="B220" s="767" t="s">
        <v>1184</v>
      </c>
      <c r="C220" s="687">
        <v>0</v>
      </c>
      <c r="D220" s="687">
        <v>210200</v>
      </c>
      <c r="E220" s="653">
        <v>210200</v>
      </c>
      <c r="F220" s="653"/>
      <c r="G220" s="643">
        <v>0</v>
      </c>
      <c r="H220" s="659">
        <f t="shared" si="39"/>
        <v>100</v>
      </c>
      <c r="I220" s="660">
        <f t="shared" si="41"/>
        <v>100</v>
      </c>
      <c r="J220" s="29">
        <v>210200</v>
      </c>
    </row>
    <row r="221" spans="1:11" s="98" customFormat="1" ht="12.75" customHeight="1" x14ac:dyDescent="0.2">
      <c r="A221" s="763"/>
      <c r="B221" s="767" t="s">
        <v>1185</v>
      </c>
      <c r="C221" s="687">
        <v>0</v>
      </c>
      <c r="D221" s="687">
        <f>(3419.6+30776.4)+(-1303.8-11734.2)+(12834+115506)</f>
        <v>149498</v>
      </c>
      <c r="E221" s="653">
        <v>149498</v>
      </c>
      <c r="F221" s="653"/>
      <c r="G221" s="643">
        <v>0</v>
      </c>
      <c r="H221" s="659">
        <f t="shared" si="39"/>
        <v>100</v>
      </c>
      <c r="I221" s="660">
        <v>0</v>
      </c>
      <c r="J221" s="29">
        <v>0</v>
      </c>
    </row>
    <row r="222" spans="1:11" s="98" customFormat="1" ht="12.75" customHeight="1" x14ac:dyDescent="0.2">
      <c r="A222" s="763"/>
      <c r="B222" s="767" t="s">
        <v>1186</v>
      </c>
      <c r="C222" s="687">
        <v>0</v>
      </c>
      <c r="D222" s="687">
        <f>(4890+44010)+(-1607.2-14464.8)+(9850+88650)</f>
        <v>131328</v>
      </c>
      <c r="E222" s="653">
        <v>131328</v>
      </c>
      <c r="F222" s="653"/>
      <c r="G222" s="643">
        <v>0</v>
      </c>
      <c r="H222" s="659">
        <f t="shared" si="39"/>
        <v>100</v>
      </c>
      <c r="I222" s="660">
        <f t="shared" si="41"/>
        <v>626.21682128015675</v>
      </c>
      <c r="J222" s="29">
        <v>20971.65</v>
      </c>
    </row>
    <row r="223" spans="1:11" s="98" customFormat="1" ht="12.75" customHeight="1" x14ac:dyDescent="0.2">
      <c r="A223" s="763"/>
      <c r="B223" s="767" t="s">
        <v>1187</v>
      </c>
      <c r="C223" s="687">
        <v>0</v>
      </c>
      <c r="D223" s="687">
        <f>(7519+67671)+(-5202.4-46821.6)+(17098.2+153883.8)</f>
        <v>194148</v>
      </c>
      <c r="E223" s="653">
        <v>194148</v>
      </c>
      <c r="F223" s="653"/>
      <c r="G223" s="643">
        <v>0</v>
      </c>
      <c r="H223" s="659">
        <f t="shared" si="39"/>
        <v>100</v>
      </c>
      <c r="I223" s="660">
        <f t="shared" si="41"/>
        <v>3860.9909614294666</v>
      </c>
      <c r="J223" s="29">
        <v>5028.45</v>
      </c>
    </row>
    <row r="224" spans="1:11" s="98" customFormat="1" ht="12.75" customHeight="1" x14ac:dyDescent="0.2">
      <c r="A224" s="763"/>
      <c r="B224" s="767" t="s">
        <v>1188</v>
      </c>
      <c r="C224" s="687">
        <v>0</v>
      </c>
      <c r="D224" s="687">
        <f>(6180+55620)+(-4116-37044)+(9159.75+82437.75)</f>
        <v>112237.5</v>
      </c>
      <c r="E224" s="653">
        <v>112237.5</v>
      </c>
      <c r="F224" s="653"/>
      <c r="G224" s="643">
        <v>0</v>
      </c>
      <c r="H224" s="659">
        <f t="shared" si="39"/>
        <v>100</v>
      </c>
      <c r="I224" s="660">
        <f t="shared" si="41"/>
        <v>304.14383527307029</v>
      </c>
      <c r="J224" s="29">
        <v>36902.769999999997</v>
      </c>
      <c r="K224" s="88">
        <f>SUM(J221:J224)</f>
        <v>62902.869999999995</v>
      </c>
    </row>
    <row r="225" spans="1:11" s="98" customFormat="1" ht="12.75" customHeight="1" x14ac:dyDescent="0.2">
      <c r="A225" s="763"/>
      <c r="B225" s="767" t="s">
        <v>1856</v>
      </c>
      <c r="C225" s="687">
        <v>0</v>
      </c>
      <c r="D225" s="687">
        <f>(11663.45+104971.05)</f>
        <v>116634.5</v>
      </c>
      <c r="E225" s="653">
        <v>116634.5</v>
      </c>
      <c r="F225" s="653"/>
      <c r="G225" s="643">
        <v>0</v>
      </c>
      <c r="H225" s="659">
        <f t="shared" si="39"/>
        <v>100</v>
      </c>
      <c r="I225" s="660">
        <v>0</v>
      </c>
      <c r="J225" s="29">
        <v>0</v>
      </c>
      <c r="K225" s="88"/>
    </row>
    <row r="226" spans="1:11" s="98" customFormat="1" ht="12.75" customHeight="1" x14ac:dyDescent="0.2">
      <c r="A226" s="1090"/>
      <c r="B226" s="1204" t="s">
        <v>1857</v>
      </c>
      <c r="C226" s="653">
        <v>0</v>
      </c>
      <c r="D226" s="653">
        <v>170400</v>
      </c>
      <c r="E226" s="653">
        <v>170400</v>
      </c>
      <c r="F226" s="653"/>
      <c r="G226" s="643">
        <v>0</v>
      </c>
      <c r="H226" s="659">
        <f t="shared" si="39"/>
        <v>100</v>
      </c>
      <c r="I226" s="660">
        <v>0</v>
      </c>
      <c r="J226" s="29">
        <v>0</v>
      </c>
      <c r="K226" s="150"/>
    </row>
    <row r="227" spans="1:11" ht="12.75" customHeight="1" x14ac:dyDescent="0.2">
      <c r="A227" s="769"/>
      <c r="B227" s="706" t="s">
        <v>1190</v>
      </c>
      <c r="C227" s="708">
        <v>0</v>
      </c>
      <c r="D227" s="708">
        <f>4573000+441000</f>
        <v>5014000</v>
      </c>
      <c r="E227" s="722">
        <v>5014000</v>
      </c>
      <c r="F227" s="722"/>
      <c r="G227" s="643">
        <v>0</v>
      </c>
      <c r="H227" s="659">
        <f t="shared" si="39"/>
        <v>100</v>
      </c>
      <c r="I227" s="660">
        <f t="shared" si="41"/>
        <v>84.127516778523486</v>
      </c>
      <c r="J227" s="29">
        <v>5960000</v>
      </c>
      <c r="K227" s="150"/>
    </row>
    <row r="228" spans="1:11" ht="12.75" customHeight="1" x14ac:dyDescent="0.2">
      <c r="A228" s="769"/>
      <c r="B228" s="706" t="s">
        <v>1858</v>
      </c>
      <c r="C228" s="708">
        <v>0</v>
      </c>
      <c r="D228" s="708">
        <v>63113</v>
      </c>
      <c r="E228" s="722">
        <v>63113</v>
      </c>
      <c r="F228" s="722"/>
      <c r="G228" s="643">
        <v>0</v>
      </c>
      <c r="H228" s="659">
        <f t="shared" si="39"/>
        <v>100</v>
      </c>
      <c r="I228" s="660">
        <v>0</v>
      </c>
      <c r="J228" s="29">
        <v>0</v>
      </c>
      <c r="K228" s="150"/>
    </row>
    <row r="229" spans="1:11" ht="12.75" customHeight="1" x14ac:dyDescent="0.2">
      <c r="A229" s="769"/>
      <c r="B229" s="706" t="s">
        <v>1859</v>
      </c>
      <c r="C229" s="708">
        <v>0</v>
      </c>
      <c r="D229" s="708">
        <f>(607616.31+44457.58+48264.06+217682.05)</f>
        <v>918020</v>
      </c>
      <c r="E229" s="722">
        <v>918020</v>
      </c>
      <c r="F229" s="722"/>
      <c r="G229" s="643">
        <v>0</v>
      </c>
      <c r="H229" s="659">
        <f t="shared" si="39"/>
        <v>100</v>
      </c>
      <c r="I229" s="660">
        <v>0</v>
      </c>
      <c r="J229" s="29">
        <v>0</v>
      </c>
      <c r="K229" s="150"/>
    </row>
    <row r="230" spans="1:11" s="98" customFormat="1" x14ac:dyDescent="0.2">
      <c r="A230" s="770">
        <v>4134</v>
      </c>
      <c r="B230" s="690" t="s">
        <v>1191</v>
      </c>
      <c r="C230" s="663">
        <f t="shared" ref="C230:D234" si="42">SUM(C231:C232)</f>
        <v>6000000</v>
      </c>
      <c r="D230" s="663">
        <f t="shared" si="42"/>
        <v>6000000</v>
      </c>
      <c r="E230" s="652">
        <v>6735923</v>
      </c>
      <c r="F230" s="653">
        <f>SUM(E231:E232)</f>
        <v>6735923</v>
      </c>
      <c r="G230" s="642">
        <f t="shared" si="40"/>
        <v>112.26538333333333</v>
      </c>
      <c r="H230" s="644">
        <f t="shared" si="39"/>
        <v>112.26538333333333</v>
      </c>
      <c r="I230" s="645">
        <f t="shared" si="41"/>
        <v>103.40649496588448</v>
      </c>
      <c r="J230" s="29">
        <f>SUM(J231:J232)</f>
        <v>6514023.1299999999</v>
      </c>
    </row>
    <row r="231" spans="1:11" s="98" customFormat="1" x14ac:dyDescent="0.2">
      <c r="A231" s="771"/>
      <c r="B231" s="702" t="s">
        <v>1192</v>
      </c>
      <c r="C231" s="687">
        <v>6000000</v>
      </c>
      <c r="D231" s="687">
        <v>6000000</v>
      </c>
      <c r="E231" s="650">
        <v>6000000</v>
      </c>
      <c r="F231" s="650"/>
      <c r="G231" s="643">
        <f t="shared" si="40"/>
        <v>100</v>
      </c>
      <c r="H231" s="659">
        <f t="shared" si="39"/>
        <v>100</v>
      </c>
      <c r="I231" s="660">
        <f t="shared" si="41"/>
        <v>99.900099900099903</v>
      </c>
      <c r="J231" s="29">
        <v>6006000</v>
      </c>
    </row>
    <row r="232" spans="1:11" s="98" customFormat="1" x14ac:dyDescent="0.2">
      <c r="A232" s="771"/>
      <c r="B232" s="702" t="s">
        <v>1193</v>
      </c>
      <c r="C232" s="687">
        <v>0</v>
      </c>
      <c r="D232" s="687">
        <v>0</v>
      </c>
      <c r="E232" s="650">
        <v>735923</v>
      </c>
      <c r="F232" s="650"/>
      <c r="G232" s="643">
        <v>0</v>
      </c>
      <c r="H232" s="659">
        <v>0</v>
      </c>
      <c r="I232" s="660">
        <f t="shared" si="41"/>
        <v>144.86013658472595</v>
      </c>
      <c r="J232" s="29">
        <v>508023.13</v>
      </c>
    </row>
    <row r="233" spans="1:11" s="98" customFormat="1" x14ac:dyDescent="0.2">
      <c r="A233" s="770">
        <v>4140</v>
      </c>
      <c r="B233" s="690" t="s">
        <v>1194</v>
      </c>
      <c r="C233" s="663">
        <v>0</v>
      </c>
      <c r="D233" s="663">
        <v>0</v>
      </c>
      <c r="E233" s="652">
        <v>233553.38</v>
      </c>
      <c r="F233" s="653"/>
      <c r="G233" s="642">
        <v>0</v>
      </c>
      <c r="H233" s="644">
        <v>0</v>
      </c>
      <c r="I233" s="645">
        <v>0</v>
      </c>
      <c r="J233" s="29">
        <v>0</v>
      </c>
    </row>
    <row r="234" spans="1:11" s="98" customFormat="1" x14ac:dyDescent="0.2">
      <c r="A234" s="698">
        <v>4213</v>
      </c>
      <c r="B234" s="690" t="s">
        <v>1195</v>
      </c>
      <c r="C234" s="694">
        <f t="shared" si="42"/>
        <v>1817357.44</v>
      </c>
      <c r="D234" s="694">
        <f>SUM(D235:D236)</f>
        <v>1089981.05</v>
      </c>
      <c r="E234" s="772">
        <v>1089981.05</v>
      </c>
      <c r="F234" s="773">
        <f>SUM(E235:E236)</f>
        <v>1089981.05</v>
      </c>
      <c r="G234" s="642">
        <f t="shared" si="40"/>
        <v>59.976151416861626</v>
      </c>
      <c r="H234" s="644">
        <f t="shared" si="39"/>
        <v>100</v>
      </c>
      <c r="I234" s="645">
        <f t="shared" si="41"/>
        <v>49.983096248380583</v>
      </c>
      <c r="J234" s="29">
        <v>2180699.34</v>
      </c>
    </row>
    <row r="235" spans="1:11" s="2" customFormat="1" x14ac:dyDescent="0.2">
      <c r="A235" s="704"/>
      <c r="B235" s="774" t="s">
        <v>1196</v>
      </c>
      <c r="C235" s="715">
        <v>1817357.44</v>
      </c>
      <c r="D235" s="715">
        <f>1817357.44-1817357.44</f>
        <v>0</v>
      </c>
      <c r="E235" s="650">
        <v>0</v>
      </c>
      <c r="F235" s="650"/>
      <c r="G235" s="643">
        <f t="shared" si="40"/>
        <v>0</v>
      </c>
      <c r="H235" s="659">
        <v>0</v>
      </c>
      <c r="I235" s="660">
        <v>0</v>
      </c>
      <c r="J235" s="88">
        <v>0</v>
      </c>
    </row>
    <row r="236" spans="1:11" s="2" customFormat="1" x14ac:dyDescent="0.2">
      <c r="A236" s="704"/>
      <c r="B236" s="774" t="s">
        <v>1860</v>
      </c>
      <c r="C236" s="715">
        <v>0</v>
      </c>
      <c r="D236" s="715">
        <v>1089981.05</v>
      </c>
      <c r="E236" s="650">
        <v>1089981.05</v>
      </c>
      <c r="F236" s="650"/>
      <c r="G236" s="643">
        <v>0</v>
      </c>
      <c r="H236" s="659">
        <f t="shared" si="39"/>
        <v>100</v>
      </c>
      <c r="I236" s="660">
        <v>0</v>
      </c>
      <c r="J236" s="88">
        <v>0</v>
      </c>
    </row>
    <row r="237" spans="1:11" s="98" customFormat="1" ht="12.75" customHeight="1" x14ac:dyDescent="0.2">
      <c r="A237" s="698">
        <v>4216</v>
      </c>
      <c r="B237" s="733" t="s">
        <v>234</v>
      </c>
      <c r="C237" s="775">
        <f>SUM(C238:C244)</f>
        <v>0</v>
      </c>
      <c r="D237" s="775">
        <f>SUM(D238:D244)</f>
        <v>29002821.16</v>
      </c>
      <c r="E237" s="649">
        <v>29002821.16</v>
      </c>
      <c r="F237" s="650">
        <f>SUM(E238:E244)</f>
        <v>29002821.16</v>
      </c>
      <c r="G237" s="642">
        <v>0</v>
      </c>
      <c r="H237" s="644">
        <f t="shared" si="39"/>
        <v>100</v>
      </c>
      <c r="I237" s="645">
        <f t="shared" si="41"/>
        <v>237.08190025577204</v>
      </c>
      <c r="J237" s="29">
        <v>12233249.83</v>
      </c>
    </row>
    <row r="238" spans="1:11" s="2" customFormat="1" ht="12.75" customHeight="1" x14ac:dyDescent="0.2">
      <c r="A238" s="1223"/>
      <c r="B238" s="1218" t="s">
        <v>1861</v>
      </c>
      <c r="C238" s="1224">
        <v>0</v>
      </c>
      <c r="D238" s="1224">
        <v>891942.97</v>
      </c>
      <c r="E238" s="653">
        <v>891942.97</v>
      </c>
      <c r="F238" s="653"/>
      <c r="G238" s="643">
        <v>0</v>
      </c>
      <c r="H238" s="659">
        <f t="shared" si="39"/>
        <v>100</v>
      </c>
      <c r="I238" s="660">
        <v>0</v>
      </c>
      <c r="J238" s="88">
        <v>0</v>
      </c>
    </row>
    <row r="239" spans="1:11" s="98" customFormat="1" ht="12.75" customHeight="1" x14ac:dyDescent="0.2">
      <c r="A239" s="763"/>
      <c r="B239" s="702" t="s">
        <v>1197</v>
      </c>
      <c r="C239" s="687">
        <v>0</v>
      </c>
      <c r="D239" s="687">
        <f>336616.61+5722482.44</f>
        <v>6059099.0500000007</v>
      </c>
      <c r="E239" s="653">
        <v>6059099.0499999998</v>
      </c>
      <c r="F239" s="653"/>
      <c r="G239" s="643">
        <v>0</v>
      </c>
      <c r="H239" s="659">
        <f t="shared" si="39"/>
        <v>99.999999999999986</v>
      </c>
      <c r="I239" s="660">
        <v>0</v>
      </c>
      <c r="J239" s="29">
        <v>0</v>
      </c>
    </row>
    <row r="240" spans="1:11" s="98" customFormat="1" ht="12.75" customHeight="1" x14ac:dyDescent="0.2">
      <c r="A240" s="763"/>
      <c r="B240" s="702" t="s">
        <v>1198</v>
      </c>
      <c r="C240" s="687">
        <v>0</v>
      </c>
      <c r="D240" s="687">
        <v>881497.39</v>
      </c>
      <c r="E240" s="653">
        <v>881497.39</v>
      </c>
      <c r="F240" s="653"/>
      <c r="G240" s="643">
        <v>0</v>
      </c>
      <c r="H240" s="659">
        <f t="shared" si="39"/>
        <v>100</v>
      </c>
      <c r="I240" s="660">
        <v>0</v>
      </c>
      <c r="J240" s="29">
        <v>0</v>
      </c>
    </row>
    <row r="241" spans="1:10" s="98" customFormat="1" ht="12.75" customHeight="1" x14ac:dyDescent="0.2">
      <c r="A241" s="763"/>
      <c r="B241" s="702" t="s">
        <v>1862</v>
      </c>
      <c r="C241" s="687">
        <v>0</v>
      </c>
      <c r="D241" s="687">
        <f>1093905.82-1093905.82</f>
        <v>0</v>
      </c>
      <c r="E241" s="653">
        <v>0</v>
      </c>
      <c r="F241" s="653"/>
      <c r="G241" s="643">
        <v>0</v>
      </c>
      <c r="H241" s="659">
        <v>0</v>
      </c>
      <c r="I241" s="660">
        <v>0</v>
      </c>
      <c r="J241" s="29">
        <v>0</v>
      </c>
    </row>
    <row r="242" spans="1:10" s="98" customFormat="1" ht="12.75" customHeight="1" x14ac:dyDescent="0.2">
      <c r="A242" s="763"/>
      <c r="B242" s="702" t="s">
        <v>1863</v>
      </c>
      <c r="C242" s="687">
        <v>0</v>
      </c>
      <c r="D242" s="687">
        <f>(121920.75+580575)</f>
        <v>702495.75</v>
      </c>
      <c r="E242" s="653">
        <v>702495.75</v>
      </c>
      <c r="F242" s="653"/>
      <c r="G242" s="643">
        <v>0</v>
      </c>
      <c r="H242" s="659">
        <f t="shared" si="39"/>
        <v>100</v>
      </c>
      <c r="I242" s="660">
        <v>0</v>
      </c>
      <c r="J242" s="29">
        <v>0</v>
      </c>
    </row>
    <row r="243" spans="1:10" s="98" customFormat="1" ht="12.75" customHeight="1" x14ac:dyDescent="0.2">
      <c r="A243" s="737"/>
      <c r="B243" s="776" t="s">
        <v>1199</v>
      </c>
      <c r="C243" s="715">
        <v>0</v>
      </c>
      <c r="D243" s="715">
        <v>5514060</v>
      </c>
      <c r="E243" s="653">
        <v>5514060</v>
      </c>
      <c r="F243" s="653"/>
      <c r="G243" s="643">
        <v>0</v>
      </c>
      <c r="H243" s="659">
        <f t="shared" si="39"/>
        <v>100</v>
      </c>
      <c r="I243" s="660">
        <v>0</v>
      </c>
      <c r="J243" s="29">
        <v>0</v>
      </c>
    </row>
    <row r="244" spans="1:10" s="98" customFormat="1" ht="12.75" customHeight="1" x14ac:dyDescent="0.2">
      <c r="A244" s="737"/>
      <c r="B244" s="776" t="s">
        <v>1864</v>
      </c>
      <c r="C244" s="715">
        <v>0</v>
      </c>
      <c r="D244" s="715">
        <v>14953726</v>
      </c>
      <c r="E244" s="653">
        <v>14953726</v>
      </c>
      <c r="F244" s="653"/>
      <c r="G244" s="643">
        <v>0</v>
      </c>
      <c r="H244" s="659">
        <f t="shared" si="39"/>
        <v>100</v>
      </c>
      <c r="I244" s="660">
        <v>0</v>
      </c>
      <c r="J244" s="29">
        <v>0</v>
      </c>
    </row>
    <row r="245" spans="1:10" s="98" customFormat="1" ht="12.75" customHeight="1" x14ac:dyDescent="0.2">
      <c r="A245" s="698">
        <v>4222</v>
      </c>
      <c r="B245" s="689" t="s">
        <v>245</v>
      </c>
      <c r="C245" s="775">
        <f>SUM(C246:C250)</f>
        <v>367960</v>
      </c>
      <c r="D245" s="775">
        <f>SUM(D246:D250)</f>
        <v>1500911</v>
      </c>
      <c r="E245" s="652">
        <v>1500911</v>
      </c>
      <c r="F245" s="653">
        <f>SUM(E246:E250)</f>
        <v>1500911</v>
      </c>
      <c r="G245" s="642">
        <f t="shared" si="40"/>
        <v>407.90058702032832</v>
      </c>
      <c r="H245" s="644">
        <f t="shared" si="39"/>
        <v>100</v>
      </c>
      <c r="I245" s="645">
        <f t="shared" si="41"/>
        <v>400.36678012398505</v>
      </c>
      <c r="J245" s="29">
        <v>374884</v>
      </c>
    </row>
    <row r="246" spans="1:10" s="98" customFormat="1" ht="12.75" customHeight="1" x14ac:dyDescent="0.2">
      <c r="A246" s="737"/>
      <c r="B246" s="777" t="s">
        <v>1865</v>
      </c>
      <c r="C246" s="718">
        <v>79980</v>
      </c>
      <c r="D246" s="718">
        <f>79980-79980</f>
        <v>0</v>
      </c>
      <c r="E246" s="653">
        <v>0</v>
      </c>
      <c r="F246" s="653"/>
      <c r="G246" s="643">
        <f t="shared" si="40"/>
        <v>0</v>
      </c>
      <c r="H246" s="659">
        <v>0</v>
      </c>
      <c r="I246" s="660">
        <v>0</v>
      </c>
      <c r="J246" s="29">
        <v>0</v>
      </c>
    </row>
    <row r="247" spans="1:10" s="98" customFormat="1" ht="12.75" customHeight="1" x14ac:dyDescent="0.2">
      <c r="A247" s="763"/>
      <c r="B247" s="720" t="s">
        <v>1866</v>
      </c>
      <c r="C247" s="1179">
        <v>0</v>
      </c>
      <c r="D247" s="1179">
        <v>300000</v>
      </c>
      <c r="E247" s="653">
        <v>300000</v>
      </c>
      <c r="F247" s="653"/>
      <c r="G247" s="643">
        <v>0</v>
      </c>
      <c r="H247" s="659">
        <f t="shared" si="39"/>
        <v>100</v>
      </c>
      <c r="I247" s="660">
        <f t="shared" si="41"/>
        <v>200</v>
      </c>
      <c r="J247" s="29">
        <v>150000</v>
      </c>
    </row>
    <row r="248" spans="1:10" s="98" customFormat="1" ht="12.75" customHeight="1" x14ac:dyDescent="0.2">
      <c r="A248" s="763"/>
      <c r="B248" s="686" t="s">
        <v>1201</v>
      </c>
      <c r="C248" s="687">
        <v>0</v>
      </c>
      <c r="D248" s="687">
        <v>911</v>
      </c>
      <c r="E248" s="653">
        <v>911</v>
      </c>
      <c r="F248" s="653"/>
      <c r="G248" s="643">
        <v>0</v>
      </c>
      <c r="H248" s="659">
        <f t="shared" si="39"/>
        <v>100</v>
      </c>
      <c r="I248" s="660">
        <v>0</v>
      </c>
      <c r="J248" s="29">
        <v>0</v>
      </c>
    </row>
    <row r="249" spans="1:10" s="98" customFormat="1" ht="12.75" customHeight="1" x14ac:dyDescent="0.2">
      <c r="A249" s="779"/>
      <c r="B249" s="780" t="s">
        <v>1867</v>
      </c>
      <c r="C249" s="768">
        <v>0</v>
      </c>
      <c r="D249" s="768">
        <v>1200000</v>
      </c>
      <c r="E249" s="722">
        <v>1200000</v>
      </c>
      <c r="F249" s="722"/>
      <c r="G249" s="643">
        <v>0</v>
      </c>
      <c r="H249" s="659">
        <f t="shared" si="39"/>
        <v>100</v>
      </c>
      <c r="I249" s="660">
        <v>0</v>
      </c>
      <c r="J249" s="29">
        <v>0</v>
      </c>
    </row>
    <row r="250" spans="1:10" s="98" customFormat="1" ht="12.75" customHeight="1" x14ac:dyDescent="0.2">
      <c r="A250" s="779"/>
      <c r="B250" s="780" t="s">
        <v>1203</v>
      </c>
      <c r="C250" s="768">
        <v>287980</v>
      </c>
      <c r="D250" s="768">
        <f>287980-287980</f>
        <v>0</v>
      </c>
      <c r="E250" s="722">
        <v>0</v>
      </c>
      <c r="F250" s="722"/>
      <c r="G250" s="643">
        <f t="shared" si="40"/>
        <v>0</v>
      </c>
      <c r="H250" s="659">
        <v>0</v>
      </c>
      <c r="I250" s="660">
        <v>0</v>
      </c>
      <c r="J250" s="29">
        <v>0</v>
      </c>
    </row>
    <row r="251" spans="1:10" s="98" customFormat="1" x14ac:dyDescent="0.2">
      <c r="A251" s="781"/>
      <c r="B251" s="782"/>
      <c r="C251" s="724"/>
      <c r="D251" s="724"/>
      <c r="E251" s="671"/>
      <c r="F251" s="671"/>
      <c r="G251" s="671"/>
      <c r="H251" s="671"/>
      <c r="I251" s="749"/>
      <c r="J251" s="29"/>
    </row>
    <row r="252" spans="1:10" s="98" customFormat="1" ht="20.25" x14ac:dyDescent="0.3">
      <c r="A252" s="783"/>
      <c r="B252" s="784" t="s">
        <v>13</v>
      </c>
      <c r="C252" s="785">
        <f>SUM(C32+C66+C171+C192)</f>
        <v>839036351.17000008</v>
      </c>
      <c r="D252" s="785">
        <f>SUM(D32+D66+D171+D192)</f>
        <v>980612085.83999991</v>
      </c>
      <c r="E252" s="786">
        <v>1080383498.1700001</v>
      </c>
      <c r="F252" s="787">
        <f>SUM(E32,E66,E171,E192)</f>
        <v>1080383498.1700001</v>
      </c>
      <c r="G252" s="788">
        <f t="shared" si="40"/>
        <v>128.76480222381923</v>
      </c>
      <c r="H252" s="788">
        <f t="shared" si="39"/>
        <v>110.17440165899394</v>
      </c>
      <c r="I252" s="677">
        <f t="shared" si="41"/>
        <v>120.75318668290127</v>
      </c>
      <c r="J252" s="29">
        <v>894703922.80999994</v>
      </c>
    </row>
    <row r="253" spans="1:10" s="98" customFormat="1" ht="15.75" x14ac:dyDescent="0.25">
      <c r="A253" s="1225"/>
      <c r="B253" s="1226"/>
      <c r="C253" s="724"/>
      <c r="D253" s="724"/>
      <c r="E253" s="671"/>
      <c r="F253" s="671"/>
      <c r="G253" s="671"/>
      <c r="H253" s="671"/>
      <c r="I253" s="1227"/>
      <c r="J253" s="29"/>
    </row>
    <row r="254" spans="1:10" s="98" customFormat="1" ht="18" x14ac:dyDescent="0.25">
      <c r="A254" s="1228"/>
      <c r="B254" s="1229" t="s">
        <v>14</v>
      </c>
      <c r="C254" s="1230">
        <f>SUM(C255:C259)</f>
        <v>173504211.83249995</v>
      </c>
      <c r="D254" s="1230">
        <f>SUM(D255:D259)</f>
        <v>173504211.83249995</v>
      </c>
      <c r="E254" s="1231">
        <v>-183913713.15000001</v>
      </c>
      <c r="F254" s="1232">
        <f>SUM(E255:E259)</f>
        <v>-183913713.14999998</v>
      </c>
      <c r="G254" s="887">
        <f t="shared" si="40"/>
        <v>-105.99956693129118</v>
      </c>
      <c r="H254" s="887">
        <f t="shared" si="39"/>
        <v>-105.99956693129118</v>
      </c>
      <c r="I254" s="1231">
        <f t="shared" si="41"/>
        <v>436.18085924761721</v>
      </c>
      <c r="J254" s="29">
        <v>-42164553.82</v>
      </c>
    </row>
    <row r="255" spans="1:10" ht="25.5" x14ac:dyDescent="0.2">
      <c r="A255" s="732">
        <v>8115</v>
      </c>
      <c r="B255" s="797" t="s">
        <v>1204</v>
      </c>
      <c r="C255" s="734">
        <f>50000000+97724250.45+30000000-2140560.86-400000+24200-125387.36-55000</f>
        <v>175027502.22999996</v>
      </c>
      <c r="D255" s="734">
        <f>50000000+97724250.45+30000000-2140560.86-400000+24200-125387.36-55000</f>
        <v>175027502.22999996</v>
      </c>
      <c r="E255" s="652">
        <v>-127332545.14</v>
      </c>
      <c r="F255" s="653"/>
      <c r="G255" s="642">
        <f t="shared" si="40"/>
        <v>-72.750021292468077</v>
      </c>
      <c r="H255" s="644">
        <f t="shared" si="39"/>
        <v>-72.750021292468077</v>
      </c>
      <c r="I255" s="651">
        <f t="shared" si="41"/>
        <v>365.36884291771037</v>
      </c>
      <c r="J255" s="654">
        <v>-34850411.469999999</v>
      </c>
    </row>
    <row r="256" spans="1:10" ht="12.75" customHeight="1" x14ac:dyDescent="0.2">
      <c r="A256" s="732">
        <v>8118</v>
      </c>
      <c r="B256" s="798" t="s">
        <v>1868</v>
      </c>
      <c r="C256" s="663">
        <v>0</v>
      </c>
      <c r="D256" s="663">
        <v>0</v>
      </c>
      <c r="E256" s="652">
        <v>-50000000</v>
      </c>
      <c r="F256" s="653"/>
      <c r="G256" s="642">
        <v>0</v>
      </c>
      <c r="H256" s="644">
        <v>0</v>
      </c>
      <c r="I256" s="645">
        <v>0</v>
      </c>
      <c r="J256" s="29">
        <v>0</v>
      </c>
    </row>
    <row r="257" spans="1:10" ht="12.75" customHeight="1" x14ac:dyDescent="0.2">
      <c r="A257" s="732">
        <v>8124</v>
      </c>
      <c r="B257" s="798" t="s">
        <v>1205</v>
      </c>
      <c r="C257" s="663">
        <f>-(555556*12)</f>
        <v>-6666672</v>
      </c>
      <c r="D257" s="663">
        <f>-(555556*12)</f>
        <v>-6666672</v>
      </c>
      <c r="E257" s="652">
        <v>-6666672</v>
      </c>
      <c r="F257" s="653"/>
      <c r="G257" s="642">
        <f t="shared" si="40"/>
        <v>100</v>
      </c>
      <c r="H257" s="644">
        <f t="shared" si="39"/>
        <v>100</v>
      </c>
      <c r="I257" s="645">
        <f t="shared" si="41"/>
        <v>117.64704221454852</v>
      </c>
      <c r="J257" s="29">
        <v>-5666672</v>
      </c>
    </row>
    <row r="258" spans="1:10" ht="27" customHeight="1" x14ac:dyDescent="0.2">
      <c r="A258" s="732">
        <v>8125</v>
      </c>
      <c r="B258" s="798" t="s">
        <v>1206</v>
      </c>
      <c r="C258" s="663">
        <f>(102867431.07+200.98)*0.05</f>
        <v>5143381.6025</v>
      </c>
      <c r="D258" s="663">
        <f>(102867431.07+200.98)*0.05</f>
        <v>5143381.6025</v>
      </c>
      <c r="E258" s="652">
        <v>0</v>
      </c>
      <c r="F258" s="653"/>
      <c r="G258" s="642">
        <f t="shared" si="40"/>
        <v>0</v>
      </c>
      <c r="H258" s="644">
        <f t="shared" si="39"/>
        <v>0</v>
      </c>
      <c r="I258" s="651">
        <v>0</v>
      </c>
      <c r="J258" s="654">
        <v>0</v>
      </c>
    </row>
    <row r="259" spans="1:10" s="235" customFormat="1" ht="12.75" customHeight="1" x14ac:dyDescent="0.4">
      <c r="A259" s="698">
        <v>8901</v>
      </c>
      <c r="B259" s="689" t="s">
        <v>254</v>
      </c>
      <c r="C259" s="694">
        <v>0</v>
      </c>
      <c r="D259" s="694">
        <v>0</v>
      </c>
      <c r="E259" s="649">
        <v>85503.99</v>
      </c>
      <c r="F259" s="650"/>
      <c r="G259" s="642">
        <v>0</v>
      </c>
      <c r="H259" s="644">
        <v>0</v>
      </c>
      <c r="I259" s="651">
        <f t="shared" si="41"/>
        <v>-13.205854136795608</v>
      </c>
      <c r="J259" s="654">
        <v>-647470.35</v>
      </c>
    </row>
    <row r="260" spans="1:10" s="236" customFormat="1" ht="12.75" customHeight="1" x14ac:dyDescent="0.35">
      <c r="A260" s="799"/>
      <c r="B260" s="800" t="s">
        <v>1207</v>
      </c>
      <c r="C260" s="801">
        <v>0</v>
      </c>
      <c r="D260" s="801">
        <v>0</v>
      </c>
      <c r="E260" s="722">
        <v>85503.99</v>
      </c>
      <c r="F260" s="722"/>
      <c r="G260" s="643">
        <v>0</v>
      </c>
      <c r="H260" s="659">
        <v>0</v>
      </c>
      <c r="I260" s="664">
        <f t="shared" si="41"/>
        <v>-13.205854136795608</v>
      </c>
      <c r="J260" s="32">
        <v>-647470.35</v>
      </c>
    </row>
    <row r="261" spans="1:10" x14ac:dyDescent="0.2">
      <c r="A261" s="802"/>
      <c r="B261" s="803"/>
      <c r="C261" s="804"/>
      <c r="D261" s="804"/>
      <c r="E261" s="805"/>
      <c r="F261" s="805"/>
      <c r="G261" s="805"/>
      <c r="H261" s="805"/>
      <c r="I261" s="806"/>
      <c r="J261" s="29"/>
    </row>
    <row r="262" spans="1:10" s="85" customFormat="1" ht="24" customHeight="1" x14ac:dyDescent="0.4">
      <c r="A262" s="807"/>
      <c r="B262" s="808" t="s">
        <v>15</v>
      </c>
      <c r="C262" s="809">
        <f>SUM(C252+C254)</f>
        <v>1012540563.0025001</v>
      </c>
      <c r="D262" s="809">
        <f>SUM(D252+D254)</f>
        <v>1154116297.6724999</v>
      </c>
      <c r="E262" s="810">
        <v>896469785.01999998</v>
      </c>
      <c r="F262" s="811">
        <f>SUM(E252:E254)</f>
        <v>896469785.0200001</v>
      </c>
      <c r="G262" s="810">
        <f t="shared" si="40"/>
        <v>88.536678704671957</v>
      </c>
      <c r="H262" s="810">
        <f t="shared" si="39"/>
        <v>77.67586220105423</v>
      </c>
      <c r="I262" s="812">
        <f t="shared" si="41"/>
        <v>105.1528900163337</v>
      </c>
      <c r="J262" s="29">
        <v>852539368.99000001</v>
      </c>
    </row>
    <row r="263" spans="1:10" s="98" customFormat="1" ht="22.5" customHeight="1" x14ac:dyDescent="0.3">
      <c r="A263" s="813"/>
      <c r="B263" s="814" t="s">
        <v>257</v>
      </c>
      <c r="C263" s="815"/>
      <c r="D263" s="815"/>
      <c r="E263" s="816"/>
      <c r="F263" s="816"/>
      <c r="G263" s="816"/>
      <c r="H263" s="816"/>
      <c r="I263" s="793"/>
      <c r="J263" s="29"/>
    </row>
    <row r="264" spans="1:10" ht="20.25" x14ac:dyDescent="0.3">
      <c r="A264" s="817"/>
      <c r="B264" s="814" t="s">
        <v>258</v>
      </c>
      <c r="C264" s="818">
        <f>C265+C279+C306+C316</f>
        <v>90523182</v>
      </c>
      <c r="D264" s="818">
        <f>D265+D279+D306+D316</f>
        <v>84423503.889999986</v>
      </c>
      <c r="E264" s="819">
        <v>76227711.599999994</v>
      </c>
      <c r="F264" s="912">
        <f>SUM(E265,E279,E306,E316)</f>
        <v>76227711.599999994</v>
      </c>
      <c r="G264" s="631">
        <f t="shared" si="40"/>
        <v>84.207945319465225</v>
      </c>
      <c r="H264" s="631">
        <f t="shared" ref="H264:H326" si="43">E264/D264*100</f>
        <v>90.29204911859766</v>
      </c>
      <c r="I264" s="677">
        <f t="shared" si="41"/>
        <v>142.02213312425479</v>
      </c>
      <c r="J264" s="29">
        <v>53673121.170000002</v>
      </c>
    </row>
    <row r="265" spans="1:10" ht="15.75" x14ac:dyDescent="0.25">
      <c r="A265" s="821"/>
      <c r="B265" s="822" t="s">
        <v>259</v>
      </c>
      <c r="C265" s="823">
        <f>SUM(C266+C271+C276)</f>
        <v>3825000</v>
      </c>
      <c r="D265" s="823">
        <f>SUM(D266+D271+D276)</f>
        <v>2869269.2800000003</v>
      </c>
      <c r="E265" s="824">
        <v>2525121.67</v>
      </c>
      <c r="F265" s="825">
        <f>SUM(E266,E271,E276)</f>
        <v>2525121.67</v>
      </c>
      <c r="G265" s="788">
        <f t="shared" si="40"/>
        <v>66.016252810457516</v>
      </c>
      <c r="H265" s="788">
        <f t="shared" si="43"/>
        <v>88.005740262900659</v>
      </c>
      <c r="I265" s="826">
        <f t="shared" si="41"/>
        <v>161.31585628498746</v>
      </c>
      <c r="J265" s="29">
        <v>1565327.63</v>
      </c>
    </row>
    <row r="266" spans="1:10" x14ac:dyDescent="0.2">
      <c r="A266" s="827">
        <v>2310</v>
      </c>
      <c r="B266" s="828" t="s">
        <v>1210</v>
      </c>
      <c r="C266" s="829">
        <f>SUM(C267:C270)</f>
        <v>1865000</v>
      </c>
      <c r="D266" s="829">
        <f>SUM(D267:D270)</f>
        <v>104984</v>
      </c>
      <c r="E266" s="830">
        <v>0</v>
      </c>
      <c r="F266" s="831">
        <f>SUM(E267:E270)</f>
        <v>0</v>
      </c>
      <c r="G266" s="642">
        <f t="shared" ref="G266:G329" si="44">E266/C266*100</f>
        <v>0</v>
      </c>
      <c r="H266" s="644">
        <f t="shared" si="43"/>
        <v>0</v>
      </c>
      <c r="I266" s="651">
        <f t="shared" si="41"/>
        <v>0</v>
      </c>
      <c r="J266" s="29">
        <v>120058</v>
      </c>
    </row>
    <row r="267" spans="1:10" x14ac:dyDescent="0.2">
      <c r="A267" s="832" t="s">
        <v>261</v>
      </c>
      <c r="B267" s="686" t="s">
        <v>262</v>
      </c>
      <c r="C267" s="687">
        <v>15000</v>
      </c>
      <c r="D267" s="687">
        <f>15000</f>
        <v>15000</v>
      </c>
      <c r="E267" s="653">
        <v>0</v>
      </c>
      <c r="F267" s="653"/>
      <c r="G267" s="643">
        <f t="shared" si="44"/>
        <v>0</v>
      </c>
      <c r="H267" s="659">
        <f t="shared" si="43"/>
        <v>0</v>
      </c>
      <c r="I267" s="664">
        <v>0</v>
      </c>
      <c r="J267" s="29">
        <v>0</v>
      </c>
    </row>
    <row r="268" spans="1:10" x14ac:dyDescent="0.2">
      <c r="A268" s="832" t="s">
        <v>263</v>
      </c>
      <c r="B268" s="686" t="s">
        <v>1211</v>
      </c>
      <c r="C268" s="687">
        <v>200000</v>
      </c>
      <c r="D268" s="687">
        <f>200000-200000</f>
        <v>0</v>
      </c>
      <c r="E268" s="653">
        <v>0</v>
      </c>
      <c r="F268" s="653"/>
      <c r="G268" s="643">
        <f t="shared" si="44"/>
        <v>0</v>
      </c>
      <c r="H268" s="659">
        <v>0</v>
      </c>
      <c r="I268" s="664">
        <f t="shared" ref="I268:I330" si="45">E268/J268*100</f>
        <v>0</v>
      </c>
      <c r="J268" s="29">
        <v>106818</v>
      </c>
    </row>
    <row r="269" spans="1:10" x14ac:dyDescent="0.2">
      <c r="A269" s="832" t="s">
        <v>265</v>
      </c>
      <c r="B269" s="686" t="s">
        <v>1212</v>
      </c>
      <c r="C269" s="687">
        <v>150000</v>
      </c>
      <c r="D269" s="687">
        <f>150000-60016</f>
        <v>89984</v>
      </c>
      <c r="E269" s="653">
        <v>0</v>
      </c>
      <c r="F269" s="653"/>
      <c r="G269" s="643">
        <f t="shared" si="44"/>
        <v>0</v>
      </c>
      <c r="H269" s="659">
        <f t="shared" si="43"/>
        <v>0</v>
      </c>
      <c r="I269" s="664">
        <v>0</v>
      </c>
      <c r="J269" s="29">
        <v>0</v>
      </c>
    </row>
    <row r="270" spans="1:10" x14ac:dyDescent="0.2">
      <c r="A270" s="832" t="s">
        <v>1213</v>
      </c>
      <c r="B270" s="686" t="s">
        <v>1214</v>
      </c>
      <c r="C270" s="687">
        <v>1500000</v>
      </c>
      <c r="D270" s="687">
        <f>1500000-1500000</f>
        <v>0</v>
      </c>
      <c r="E270" s="653">
        <v>0</v>
      </c>
      <c r="F270" s="653"/>
      <c r="G270" s="643">
        <f t="shared" si="44"/>
        <v>0</v>
      </c>
      <c r="H270" s="659">
        <v>0</v>
      </c>
      <c r="I270" s="664">
        <v>0</v>
      </c>
      <c r="J270" s="29">
        <v>0</v>
      </c>
    </row>
    <row r="271" spans="1:10" x14ac:dyDescent="0.2">
      <c r="A271" s="698">
        <v>2321</v>
      </c>
      <c r="B271" s="690" t="s">
        <v>1215</v>
      </c>
      <c r="C271" s="694">
        <f>SUM(C272:C275)</f>
        <v>1800000</v>
      </c>
      <c r="D271" s="694">
        <f>SUM(D272:D275)</f>
        <v>2378827.7000000002</v>
      </c>
      <c r="E271" s="652">
        <v>2299986.89</v>
      </c>
      <c r="F271" s="653">
        <f>SUM(E272:E275)</f>
        <v>2299986.8899999997</v>
      </c>
      <c r="G271" s="642">
        <f t="shared" si="44"/>
        <v>127.77704944444446</v>
      </c>
      <c r="H271" s="644">
        <f t="shared" si="43"/>
        <v>96.685728436742181</v>
      </c>
      <c r="I271" s="651">
        <f t="shared" si="45"/>
        <v>163.34836816855389</v>
      </c>
      <c r="J271" s="29">
        <v>1408025.63</v>
      </c>
    </row>
    <row r="272" spans="1:10" x14ac:dyDescent="0.2">
      <c r="A272" s="832" t="s">
        <v>268</v>
      </c>
      <c r="B272" s="686" t="s">
        <v>269</v>
      </c>
      <c r="C272" s="687">
        <v>200000</v>
      </c>
      <c r="D272" s="687">
        <f>200000+70000+5000</f>
        <v>275000</v>
      </c>
      <c r="E272" s="653">
        <v>273924</v>
      </c>
      <c r="F272" s="653"/>
      <c r="G272" s="643">
        <f t="shared" si="44"/>
        <v>136.96200000000002</v>
      </c>
      <c r="H272" s="659">
        <f t="shared" si="43"/>
        <v>99.608727272727265</v>
      </c>
      <c r="I272" s="664">
        <f t="shared" si="45"/>
        <v>145.82060154378493</v>
      </c>
      <c r="J272" s="29">
        <v>187850</v>
      </c>
    </row>
    <row r="273" spans="1:10" s="2" customFormat="1" x14ac:dyDescent="0.2">
      <c r="A273" s="832" t="s">
        <v>270</v>
      </c>
      <c r="B273" s="686" t="s">
        <v>1216</v>
      </c>
      <c r="C273" s="687">
        <v>800000</v>
      </c>
      <c r="D273" s="687">
        <f>800000-93500-54408</f>
        <v>652092</v>
      </c>
      <c r="E273" s="653">
        <v>574616.26</v>
      </c>
      <c r="F273" s="653"/>
      <c r="G273" s="643">
        <f t="shared" si="44"/>
        <v>71.827032500000001</v>
      </c>
      <c r="H273" s="659">
        <f t="shared" si="43"/>
        <v>88.118894266453196</v>
      </c>
      <c r="I273" s="664">
        <f t="shared" si="45"/>
        <v>92.150125209007754</v>
      </c>
      <c r="J273" s="88">
        <v>623565.36</v>
      </c>
    </row>
    <row r="274" spans="1:10" x14ac:dyDescent="0.2">
      <c r="A274" s="832" t="s">
        <v>1869</v>
      </c>
      <c r="B274" s="686" t="s">
        <v>1217</v>
      </c>
      <c r="C274" s="687">
        <v>600000</v>
      </c>
      <c r="D274" s="687">
        <f>600000-70000+518811.7+60016-5000+93500+54408+200000</f>
        <v>1451735.7</v>
      </c>
      <c r="E274" s="653">
        <v>1451446.63</v>
      </c>
      <c r="F274" s="653"/>
      <c r="G274" s="643">
        <f t="shared" si="44"/>
        <v>241.90777166666666</v>
      </c>
      <c r="H274" s="659">
        <f t="shared" si="43"/>
        <v>99.980087973313587</v>
      </c>
      <c r="I274" s="664">
        <f t="shared" si="45"/>
        <v>243.28220665728733</v>
      </c>
      <c r="J274" s="29">
        <v>596610.27</v>
      </c>
    </row>
    <row r="275" spans="1:10" ht="24.75" x14ac:dyDescent="0.2">
      <c r="A275" s="832" t="s">
        <v>272</v>
      </c>
      <c r="B275" s="696" t="s">
        <v>1218</v>
      </c>
      <c r="C275" s="687">
        <v>200000</v>
      </c>
      <c r="D275" s="687">
        <f>200000-200000</f>
        <v>0</v>
      </c>
      <c r="E275" s="833">
        <v>0</v>
      </c>
      <c r="F275" s="833"/>
      <c r="G275" s="643">
        <f t="shared" si="44"/>
        <v>0</v>
      </c>
      <c r="H275" s="659">
        <v>0</v>
      </c>
      <c r="I275" s="664">
        <v>0</v>
      </c>
      <c r="J275" s="654">
        <v>0</v>
      </c>
    </row>
    <row r="276" spans="1:10" x14ac:dyDescent="0.2">
      <c r="A276" s="732">
        <v>2333</v>
      </c>
      <c r="B276" s="834" t="s">
        <v>1219</v>
      </c>
      <c r="C276" s="835">
        <f t="shared" ref="C276:D276" si="46">SUM(C277:C278)</f>
        <v>160000</v>
      </c>
      <c r="D276" s="835">
        <f t="shared" si="46"/>
        <v>385457.58</v>
      </c>
      <c r="E276" s="652">
        <v>225134.78</v>
      </c>
      <c r="F276" s="653">
        <f>SUM(E277:E278)</f>
        <v>225143.78</v>
      </c>
      <c r="G276" s="642">
        <f t="shared" si="44"/>
        <v>140.7092375</v>
      </c>
      <c r="H276" s="644">
        <f t="shared" si="43"/>
        <v>58.40714820032855</v>
      </c>
      <c r="I276" s="651">
        <f t="shared" si="45"/>
        <v>604.48603801954675</v>
      </c>
      <c r="J276" s="29">
        <v>37244</v>
      </c>
    </row>
    <row r="277" spans="1:10" x14ac:dyDescent="0.2">
      <c r="A277" s="832" t="s">
        <v>276</v>
      </c>
      <c r="B277" s="686" t="s">
        <v>1220</v>
      </c>
      <c r="C277" s="687">
        <v>80000</v>
      </c>
      <c r="D277" s="687">
        <f>80000+181000+44457.58</f>
        <v>305457.58</v>
      </c>
      <c r="E277" s="653">
        <v>225143.78</v>
      </c>
      <c r="F277" s="653"/>
      <c r="G277" s="643">
        <f t="shared" si="44"/>
        <v>281.42972500000002</v>
      </c>
      <c r="H277" s="659">
        <f t="shared" si="43"/>
        <v>73.707052874575908</v>
      </c>
      <c r="I277" s="664">
        <f t="shared" si="45"/>
        <v>604.51020298571586</v>
      </c>
      <c r="J277" s="29">
        <v>37244</v>
      </c>
    </row>
    <row r="278" spans="1:10" x14ac:dyDescent="0.2">
      <c r="A278" s="832" t="s">
        <v>278</v>
      </c>
      <c r="B278" s="686" t="s">
        <v>1221</v>
      </c>
      <c r="C278" s="836">
        <v>80000</v>
      </c>
      <c r="D278" s="836">
        <v>80000</v>
      </c>
      <c r="E278" s="837">
        <v>0</v>
      </c>
      <c r="F278" s="837"/>
      <c r="G278" s="643">
        <f t="shared" si="44"/>
        <v>0</v>
      </c>
      <c r="H278" s="659">
        <f t="shared" si="43"/>
        <v>0</v>
      </c>
      <c r="I278" s="664">
        <v>0</v>
      </c>
      <c r="J278" s="29">
        <v>0</v>
      </c>
    </row>
    <row r="279" spans="1:10" s="98" customFormat="1" ht="15.75" x14ac:dyDescent="0.25">
      <c r="A279" s="838"/>
      <c r="B279" s="794" t="s">
        <v>279</v>
      </c>
      <c r="C279" s="839">
        <f>SUM(C280+C293+C303)</f>
        <v>54135000</v>
      </c>
      <c r="D279" s="839">
        <f>SUM(D280+D293+D303)</f>
        <v>51741676.999999993</v>
      </c>
      <c r="E279" s="840">
        <v>48956913.299999997</v>
      </c>
      <c r="F279" s="841">
        <f>SUM(E280,E293,E303)</f>
        <v>48956913.299999997</v>
      </c>
      <c r="G279" s="788">
        <f t="shared" si="44"/>
        <v>90.434863397062898</v>
      </c>
      <c r="H279" s="788">
        <f t="shared" si="43"/>
        <v>94.61794850599837</v>
      </c>
      <c r="I279" s="826">
        <f t="shared" si="45"/>
        <v>144.27112314866022</v>
      </c>
      <c r="J279" s="29">
        <v>33933965.600000001</v>
      </c>
    </row>
    <row r="280" spans="1:10" s="98" customFormat="1" x14ac:dyDescent="0.2">
      <c r="A280" s="747">
        <v>2212</v>
      </c>
      <c r="B280" s="828" t="s">
        <v>1222</v>
      </c>
      <c r="C280" s="842">
        <f>SUM(C281:C282,C284:C292)</f>
        <v>51195000</v>
      </c>
      <c r="D280" s="842">
        <f>SUM(D281:D282,D284:D292)</f>
        <v>47136610.379999995</v>
      </c>
      <c r="E280" s="680">
        <v>45142716.450000003</v>
      </c>
      <c r="F280" s="681">
        <f>SUM(E281:E283,E286:E292)</f>
        <v>45142716.450000003</v>
      </c>
      <c r="G280" s="642">
        <f t="shared" si="44"/>
        <v>88.177979197187227</v>
      </c>
      <c r="H280" s="644">
        <f t="shared" si="43"/>
        <v>95.769967517974095</v>
      </c>
      <c r="I280" s="651">
        <f t="shared" si="45"/>
        <v>136.63278889317064</v>
      </c>
      <c r="J280" s="29">
        <v>33039445.960000001</v>
      </c>
    </row>
    <row r="281" spans="1:10" s="98" customFormat="1" x14ac:dyDescent="0.2">
      <c r="A281" s="832" t="s">
        <v>1223</v>
      </c>
      <c r="B281" s="686" t="s">
        <v>1870</v>
      </c>
      <c r="C281" s="687">
        <v>130000</v>
      </c>
      <c r="D281" s="687">
        <f>130000-42086-87914</f>
        <v>0</v>
      </c>
      <c r="E281" s="650">
        <v>0</v>
      </c>
      <c r="F281" s="650"/>
      <c r="G281" s="643">
        <f t="shared" si="44"/>
        <v>0</v>
      </c>
      <c r="H281" s="659">
        <v>0</v>
      </c>
      <c r="I281" s="664">
        <v>0</v>
      </c>
      <c r="J281" s="29">
        <v>0</v>
      </c>
    </row>
    <row r="282" spans="1:10" s="98" customFormat="1" x14ac:dyDescent="0.2">
      <c r="A282" s="832" t="s">
        <v>1225</v>
      </c>
      <c r="B282" s="686" t="s">
        <v>1871</v>
      </c>
      <c r="C282" s="687">
        <v>220000</v>
      </c>
      <c r="D282" s="687">
        <f>220000+42086</f>
        <v>262086</v>
      </c>
      <c r="E282" s="653">
        <v>163350</v>
      </c>
      <c r="F282" s="653"/>
      <c r="G282" s="643">
        <f t="shared" si="44"/>
        <v>74.25</v>
      </c>
      <c r="H282" s="659">
        <f t="shared" si="43"/>
        <v>62.326869806094187</v>
      </c>
      <c r="I282" s="660">
        <v>0</v>
      </c>
      <c r="J282" s="29">
        <v>0</v>
      </c>
    </row>
    <row r="283" spans="1:10" s="2" customFormat="1" x14ac:dyDescent="0.2">
      <c r="A283" s="704"/>
      <c r="B283" s="843" t="s">
        <v>1227</v>
      </c>
      <c r="C283" s="715">
        <f>SUM(C284:C285)</f>
        <v>12550000</v>
      </c>
      <c r="D283" s="715">
        <f>SUM(D284:D285)</f>
        <v>12447637</v>
      </c>
      <c r="E283" s="650">
        <v>12447637</v>
      </c>
      <c r="F283" s="650">
        <f>SUM(E284:E285)</f>
        <v>12447637</v>
      </c>
      <c r="G283" s="643">
        <f t="shared" si="44"/>
        <v>99.184358565737057</v>
      </c>
      <c r="H283" s="659">
        <f t="shared" si="43"/>
        <v>100</v>
      </c>
      <c r="I283" s="664">
        <f t="shared" si="45"/>
        <v>1609.90662062365</v>
      </c>
      <c r="J283" s="88">
        <v>773190</v>
      </c>
    </row>
    <row r="284" spans="1:10" s="98" customFormat="1" x14ac:dyDescent="0.2">
      <c r="A284" s="832" t="s">
        <v>282</v>
      </c>
      <c r="B284" s="844" t="s">
        <v>1228</v>
      </c>
      <c r="C284" s="687">
        <v>10750000</v>
      </c>
      <c r="D284" s="687">
        <f>10750000-102363</f>
        <v>10647637</v>
      </c>
      <c r="E284" s="653">
        <v>10647637</v>
      </c>
      <c r="F284" s="653"/>
      <c r="G284" s="643">
        <f t="shared" si="44"/>
        <v>99.047786046511632</v>
      </c>
      <c r="H284" s="659">
        <f t="shared" si="43"/>
        <v>100</v>
      </c>
      <c r="I284" s="660">
        <v>0</v>
      </c>
      <c r="J284" s="29">
        <v>0</v>
      </c>
    </row>
    <row r="285" spans="1:10" s="98" customFormat="1" ht="25.5" x14ac:dyDescent="0.2">
      <c r="A285" s="832" t="s">
        <v>282</v>
      </c>
      <c r="B285" s="845" t="s">
        <v>1229</v>
      </c>
      <c r="C285" s="687">
        <f>2200000-400000</f>
        <v>1800000</v>
      </c>
      <c r="D285" s="687">
        <f>2200000-400000</f>
        <v>1800000</v>
      </c>
      <c r="E285" s="653">
        <v>1800000</v>
      </c>
      <c r="F285" s="653"/>
      <c r="G285" s="643">
        <f t="shared" si="44"/>
        <v>100</v>
      </c>
      <c r="H285" s="659">
        <f t="shared" si="43"/>
        <v>100</v>
      </c>
      <c r="I285" s="664">
        <v>0</v>
      </c>
      <c r="J285" s="654">
        <v>0</v>
      </c>
    </row>
    <row r="286" spans="1:10" s="98" customFormat="1" x14ac:dyDescent="0.2">
      <c r="A286" s="832" t="s">
        <v>286</v>
      </c>
      <c r="B286" s="686" t="s">
        <v>1230</v>
      </c>
      <c r="C286" s="687">
        <v>4600000</v>
      </c>
      <c r="D286" s="687">
        <f>4600000-800000</f>
        <v>3800000</v>
      </c>
      <c r="E286" s="653">
        <v>3800000</v>
      </c>
      <c r="F286" s="653"/>
      <c r="G286" s="643">
        <f t="shared" si="44"/>
        <v>82.608695652173907</v>
      </c>
      <c r="H286" s="659">
        <f t="shared" si="43"/>
        <v>100</v>
      </c>
      <c r="I286" s="664">
        <f t="shared" si="45"/>
        <v>80.168776371308013</v>
      </c>
      <c r="J286" s="29">
        <v>4740000</v>
      </c>
    </row>
    <row r="287" spans="1:10" s="98" customFormat="1" x14ac:dyDescent="0.2">
      <c r="A287" s="832" t="s">
        <v>286</v>
      </c>
      <c r="B287" s="686" t="s">
        <v>1231</v>
      </c>
      <c r="C287" s="687">
        <v>24695000</v>
      </c>
      <c r="D287" s="687">
        <f>24695000-353320-1500000+217682.05-700000-217682.05</f>
        <v>22141680</v>
      </c>
      <c r="E287" s="653">
        <v>22841680</v>
      </c>
      <c r="F287" s="653"/>
      <c r="G287" s="643">
        <f t="shared" si="44"/>
        <v>92.495160963757854</v>
      </c>
      <c r="H287" s="659">
        <f t="shared" si="43"/>
        <v>103.16145838978794</v>
      </c>
      <c r="I287" s="664">
        <f t="shared" si="45"/>
        <v>96.663901819720692</v>
      </c>
      <c r="J287" s="29">
        <v>23630000</v>
      </c>
    </row>
    <row r="288" spans="1:10" s="98" customFormat="1" x14ac:dyDescent="0.2">
      <c r="A288" s="832" t="s">
        <v>1872</v>
      </c>
      <c r="B288" s="686" t="s">
        <v>1232</v>
      </c>
      <c r="C288" s="687">
        <v>2000000</v>
      </c>
      <c r="D288" s="687">
        <f>2000000-844606.62+360000+298000+2031.6+482527.6</f>
        <v>2297952.58</v>
      </c>
      <c r="E288" s="653">
        <v>2100872.77</v>
      </c>
      <c r="F288" s="653"/>
      <c r="G288" s="643">
        <f t="shared" si="44"/>
        <v>105.0436385</v>
      </c>
      <c r="H288" s="659">
        <f t="shared" si="43"/>
        <v>91.423678116108036</v>
      </c>
      <c r="I288" s="664">
        <f t="shared" si="45"/>
        <v>229.00071139493269</v>
      </c>
      <c r="J288" s="29">
        <v>917408.84</v>
      </c>
    </row>
    <row r="289" spans="1:10" s="98" customFormat="1" x14ac:dyDescent="0.2">
      <c r="A289" s="832" t="s">
        <v>1233</v>
      </c>
      <c r="B289" s="686" t="s">
        <v>1234</v>
      </c>
      <c r="C289" s="687">
        <v>3700000</v>
      </c>
      <c r="D289" s="687">
        <f>3700000-162086-360000-298000-427100-181000-2031.6</f>
        <v>2269782.4</v>
      </c>
      <c r="E289" s="653">
        <v>1116241.07</v>
      </c>
      <c r="F289" s="653"/>
      <c r="G289" s="643">
        <f t="shared" si="44"/>
        <v>30.16867756756757</v>
      </c>
      <c r="H289" s="659">
        <f t="shared" si="43"/>
        <v>49.178329605516375</v>
      </c>
      <c r="I289" s="664">
        <f t="shared" si="45"/>
        <v>75.078432282801728</v>
      </c>
      <c r="J289" s="29">
        <v>1486766.62</v>
      </c>
    </row>
    <row r="290" spans="1:10" s="98" customFormat="1" x14ac:dyDescent="0.2">
      <c r="A290" s="832" t="s">
        <v>291</v>
      </c>
      <c r="B290" s="686" t="s">
        <v>1235</v>
      </c>
      <c r="C290" s="687">
        <v>820000</v>
      </c>
      <c r="D290" s="687">
        <v>820000</v>
      </c>
      <c r="E290" s="653">
        <v>665335.23</v>
      </c>
      <c r="F290" s="653"/>
      <c r="G290" s="643">
        <f t="shared" si="44"/>
        <v>81.138442682926822</v>
      </c>
      <c r="H290" s="659">
        <f t="shared" si="43"/>
        <v>81.138442682926822</v>
      </c>
      <c r="I290" s="664">
        <v>0</v>
      </c>
      <c r="J290" s="29">
        <v>0</v>
      </c>
    </row>
    <row r="291" spans="1:10" s="98" customFormat="1" x14ac:dyDescent="0.2">
      <c r="A291" s="832" t="s">
        <v>293</v>
      </c>
      <c r="B291" s="686" t="s">
        <v>1236</v>
      </c>
      <c r="C291" s="687">
        <f>1230000+800000</f>
        <v>2030000</v>
      </c>
      <c r="D291" s="687">
        <f>1230000+800000-482527.6</f>
        <v>1547472.4</v>
      </c>
      <c r="E291" s="653">
        <v>1028417.88</v>
      </c>
      <c r="F291" s="653"/>
      <c r="G291" s="643">
        <f t="shared" si="44"/>
        <v>50.660979310344821</v>
      </c>
      <c r="H291" s="659">
        <f t="shared" si="43"/>
        <v>66.457914209003022</v>
      </c>
      <c r="I291" s="664">
        <v>0</v>
      </c>
      <c r="J291" s="29">
        <v>0</v>
      </c>
    </row>
    <row r="292" spans="1:10" s="98" customFormat="1" x14ac:dyDescent="0.2">
      <c r="A292" s="832" t="s">
        <v>1237</v>
      </c>
      <c r="B292" s="686" t="s">
        <v>1238</v>
      </c>
      <c r="C292" s="687">
        <v>450000</v>
      </c>
      <c r="D292" s="687">
        <f>450000+1100000</f>
        <v>1550000</v>
      </c>
      <c r="E292" s="650">
        <v>979182.5</v>
      </c>
      <c r="F292" s="650"/>
      <c r="G292" s="643">
        <f t="shared" si="44"/>
        <v>217.5961111111111</v>
      </c>
      <c r="H292" s="659">
        <f t="shared" si="43"/>
        <v>63.173064516129031</v>
      </c>
      <c r="I292" s="664">
        <f t="shared" si="45"/>
        <v>140.46655180872568</v>
      </c>
      <c r="J292" s="29">
        <v>697093</v>
      </c>
    </row>
    <row r="293" spans="1:10" s="98" customFormat="1" x14ac:dyDescent="0.2">
      <c r="A293" s="698">
        <v>2219</v>
      </c>
      <c r="B293" s="690" t="s">
        <v>1239</v>
      </c>
      <c r="C293" s="694">
        <f>SUM(C294+C301+C302+C300)</f>
        <v>2790000</v>
      </c>
      <c r="D293" s="694">
        <f>SUM(D294+D301+D302+D300)</f>
        <v>4455066.62</v>
      </c>
      <c r="E293" s="652">
        <v>3782065.3</v>
      </c>
      <c r="F293" s="653">
        <f>SUM(E294,E300:E302)</f>
        <v>3782065.3</v>
      </c>
      <c r="G293" s="642">
        <f t="shared" si="44"/>
        <v>135.55789605734768</v>
      </c>
      <c r="H293" s="644">
        <f t="shared" si="43"/>
        <v>84.893574498331517</v>
      </c>
      <c r="I293" s="651">
        <f t="shared" si="45"/>
        <v>451.56204877781681</v>
      </c>
      <c r="J293" s="29">
        <v>837551.63</v>
      </c>
    </row>
    <row r="294" spans="1:10" s="98" customFormat="1" x14ac:dyDescent="0.2">
      <c r="A294" s="704"/>
      <c r="B294" s="843" t="s">
        <v>281</v>
      </c>
      <c r="C294" s="715">
        <f>SUM(C295:C299)</f>
        <v>1880000</v>
      </c>
      <c r="D294" s="715">
        <f>SUM(D295:D299)</f>
        <v>2083007.3599999999</v>
      </c>
      <c r="E294" s="653">
        <v>1755857.31</v>
      </c>
      <c r="F294" s="653">
        <f>SUM(E295:E299)</f>
        <v>1755857.31</v>
      </c>
      <c r="G294" s="643">
        <f t="shared" si="44"/>
        <v>93.396665425531921</v>
      </c>
      <c r="H294" s="659">
        <f t="shared" si="43"/>
        <v>84.294340179383724</v>
      </c>
      <c r="I294" s="664">
        <f t="shared" si="45"/>
        <v>422.37895267631404</v>
      </c>
      <c r="J294" s="29">
        <v>415706.63</v>
      </c>
    </row>
    <row r="295" spans="1:10" s="98" customFormat="1" x14ac:dyDescent="0.2">
      <c r="A295" s="832" t="s">
        <v>1240</v>
      </c>
      <c r="B295" s="686" t="s">
        <v>1873</v>
      </c>
      <c r="C295" s="687">
        <v>30000</v>
      </c>
      <c r="D295" s="687">
        <f>30000+26555</f>
        <v>56555</v>
      </c>
      <c r="E295" s="653">
        <v>56555</v>
      </c>
      <c r="F295" s="653"/>
      <c r="G295" s="643">
        <f t="shared" si="44"/>
        <v>188.51666666666665</v>
      </c>
      <c r="H295" s="659">
        <f t="shared" si="43"/>
        <v>100</v>
      </c>
      <c r="I295" s="660">
        <v>0</v>
      </c>
      <c r="J295" s="29">
        <v>0</v>
      </c>
    </row>
    <row r="296" spans="1:10" s="98" customFormat="1" x14ac:dyDescent="0.2">
      <c r="A296" s="832" t="s">
        <v>1242</v>
      </c>
      <c r="B296" s="702" t="s">
        <v>1874</v>
      </c>
      <c r="C296" s="687">
        <v>1050000</v>
      </c>
      <c r="D296" s="687">
        <v>1050000</v>
      </c>
      <c r="E296" s="653">
        <v>849230.18</v>
      </c>
      <c r="F296" s="653"/>
      <c r="G296" s="643">
        <f t="shared" si="44"/>
        <v>80.879064761904758</v>
      </c>
      <c r="H296" s="659">
        <f t="shared" si="43"/>
        <v>80.879064761904758</v>
      </c>
      <c r="I296" s="660">
        <v>0</v>
      </c>
      <c r="J296" s="29">
        <v>0</v>
      </c>
    </row>
    <row r="297" spans="1:10" s="98" customFormat="1" x14ac:dyDescent="0.2">
      <c r="A297" s="832" t="s">
        <v>474</v>
      </c>
      <c r="B297" s="686" t="s">
        <v>1875</v>
      </c>
      <c r="C297" s="687">
        <v>700000</v>
      </c>
      <c r="D297" s="687">
        <v>700000</v>
      </c>
      <c r="E297" s="653">
        <v>613421.77</v>
      </c>
      <c r="F297" s="653"/>
      <c r="G297" s="643">
        <f t="shared" si="44"/>
        <v>87.631681428571426</v>
      </c>
      <c r="H297" s="659">
        <f t="shared" si="43"/>
        <v>87.631681428571426</v>
      </c>
      <c r="I297" s="664">
        <f t="shared" si="45"/>
        <v>20447.392333333333</v>
      </c>
      <c r="J297" s="29">
        <v>3000</v>
      </c>
    </row>
    <row r="298" spans="1:10" x14ac:dyDescent="0.2">
      <c r="A298" s="846" t="s">
        <v>1245</v>
      </c>
      <c r="B298" s="847" t="s">
        <v>1876</v>
      </c>
      <c r="C298" s="722">
        <v>0</v>
      </c>
      <c r="D298" s="722">
        <f>100000+76452.36</f>
        <v>176452.36</v>
      </c>
      <c r="E298" s="722">
        <v>176452.36</v>
      </c>
      <c r="F298" s="722"/>
      <c r="G298" s="643">
        <v>0</v>
      </c>
      <c r="H298" s="659">
        <f t="shared" si="43"/>
        <v>100</v>
      </c>
      <c r="I298" s="660">
        <v>0</v>
      </c>
      <c r="J298" s="29">
        <v>0</v>
      </c>
    </row>
    <row r="299" spans="1:10" s="98" customFormat="1" x14ac:dyDescent="0.2">
      <c r="A299" s="832" t="s">
        <v>498</v>
      </c>
      <c r="B299" s="686" t="s">
        <v>1877</v>
      </c>
      <c r="C299" s="687">
        <v>100000</v>
      </c>
      <c r="D299" s="687">
        <v>100000</v>
      </c>
      <c r="E299" s="650">
        <v>60198</v>
      </c>
      <c r="F299" s="650"/>
      <c r="G299" s="643">
        <f t="shared" si="44"/>
        <v>60.197999999999993</v>
      </c>
      <c r="H299" s="659">
        <f t="shared" si="43"/>
        <v>60.197999999999993</v>
      </c>
      <c r="I299" s="664">
        <f t="shared" si="45"/>
        <v>224.10096046459685</v>
      </c>
      <c r="J299" s="29">
        <v>26862</v>
      </c>
    </row>
    <row r="300" spans="1:10" s="98" customFormat="1" x14ac:dyDescent="0.2">
      <c r="A300" s="832" t="s">
        <v>1248</v>
      </c>
      <c r="B300" s="686" t="s">
        <v>1249</v>
      </c>
      <c r="C300" s="687">
        <v>10000</v>
      </c>
      <c r="D300" s="687">
        <v>10000</v>
      </c>
      <c r="E300" s="650">
        <v>0</v>
      </c>
      <c r="F300" s="650"/>
      <c r="G300" s="643">
        <f t="shared" si="44"/>
        <v>0</v>
      </c>
      <c r="H300" s="659">
        <f t="shared" si="43"/>
        <v>0</v>
      </c>
      <c r="I300" s="660">
        <v>0</v>
      </c>
      <c r="J300" s="29">
        <v>0</v>
      </c>
    </row>
    <row r="301" spans="1:10" x14ac:dyDescent="0.2">
      <c r="A301" s="848" t="s">
        <v>299</v>
      </c>
      <c r="B301" s="720" t="s">
        <v>1878</v>
      </c>
      <c r="C301" s="687">
        <v>100000</v>
      </c>
      <c r="D301" s="687">
        <f>100000-76452.36</f>
        <v>23547.64</v>
      </c>
      <c r="E301" s="653">
        <v>2996.58</v>
      </c>
      <c r="F301" s="653"/>
      <c r="G301" s="643">
        <f t="shared" si="44"/>
        <v>2.9965800000000002</v>
      </c>
      <c r="H301" s="659">
        <f t="shared" si="43"/>
        <v>12.725606472665627</v>
      </c>
      <c r="I301" s="664">
        <f t="shared" si="45"/>
        <v>1.3987023898431665</v>
      </c>
      <c r="J301" s="29">
        <v>214240</v>
      </c>
    </row>
    <row r="302" spans="1:10" s="2" customFormat="1" x14ac:dyDescent="0.2">
      <c r="A302" s="849" t="s">
        <v>301</v>
      </c>
      <c r="B302" s="767" t="s">
        <v>1879</v>
      </c>
      <c r="C302" s="687">
        <v>800000</v>
      </c>
      <c r="D302" s="687">
        <f>800000+266805+844606.62+427100</f>
        <v>2338511.62</v>
      </c>
      <c r="E302" s="653">
        <v>2023211.41</v>
      </c>
      <c r="F302" s="653"/>
      <c r="G302" s="643">
        <f t="shared" si="44"/>
        <v>252.90142625000001</v>
      </c>
      <c r="H302" s="659">
        <f t="shared" si="43"/>
        <v>86.517056092284889</v>
      </c>
      <c r="I302" s="664">
        <f t="shared" si="45"/>
        <v>974.54849835023242</v>
      </c>
      <c r="J302" s="88">
        <v>207605</v>
      </c>
    </row>
    <row r="303" spans="1:10" x14ac:dyDescent="0.2">
      <c r="A303" s="698">
        <v>2221</v>
      </c>
      <c r="B303" s="690" t="s">
        <v>1252</v>
      </c>
      <c r="C303" s="694">
        <f>SUM(C304:C305)</f>
        <v>150000</v>
      </c>
      <c r="D303" s="694">
        <f>SUM(D304:D305)</f>
        <v>150000</v>
      </c>
      <c r="E303" s="652">
        <v>32131.55</v>
      </c>
      <c r="F303" s="653">
        <f>SUM(E304:E305)</f>
        <v>32131.550000000003</v>
      </c>
      <c r="G303" s="642">
        <f t="shared" si="44"/>
        <v>21.421033333333334</v>
      </c>
      <c r="H303" s="644">
        <f t="shared" si="43"/>
        <v>21.421033333333334</v>
      </c>
      <c r="I303" s="651">
        <f t="shared" si="45"/>
        <v>56.402795182770113</v>
      </c>
      <c r="J303" s="29">
        <v>56968.01</v>
      </c>
    </row>
    <row r="304" spans="1:10" x14ac:dyDescent="0.2">
      <c r="A304" s="850" t="s">
        <v>1253</v>
      </c>
      <c r="B304" s="843" t="s">
        <v>1254</v>
      </c>
      <c r="C304" s="687">
        <v>60000</v>
      </c>
      <c r="D304" s="687">
        <v>60000</v>
      </c>
      <c r="E304" s="653">
        <v>16044.6</v>
      </c>
      <c r="F304" s="653"/>
      <c r="G304" s="643">
        <f t="shared" si="44"/>
        <v>26.741</v>
      </c>
      <c r="H304" s="659">
        <f t="shared" si="43"/>
        <v>26.741</v>
      </c>
      <c r="I304" s="660">
        <v>0</v>
      </c>
      <c r="J304" s="29">
        <v>0</v>
      </c>
    </row>
    <row r="305" spans="1:10" x14ac:dyDescent="0.2">
      <c r="A305" s="850" t="s">
        <v>310</v>
      </c>
      <c r="B305" s="851" t="s">
        <v>1255</v>
      </c>
      <c r="C305" s="687">
        <v>90000</v>
      </c>
      <c r="D305" s="687">
        <v>90000</v>
      </c>
      <c r="E305" s="653">
        <v>16086.95</v>
      </c>
      <c r="F305" s="653"/>
      <c r="G305" s="643">
        <f t="shared" si="44"/>
        <v>17.874388888888891</v>
      </c>
      <c r="H305" s="659">
        <f t="shared" si="43"/>
        <v>17.874388888888891</v>
      </c>
      <c r="I305" s="664">
        <f t="shared" si="45"/>
        <v>58.563122191877369</v>
      </c>
      <c r="J305" s="29">
        <v>27469.42</v>
      </c>
    </row>
    <row r="306" spans="1:10" ht="15.75" x14ac:dyDescent="0.25">
      <c r="A306" s="838"/>
      <c r="B306" s="794" t="s">
        <v>312</v>
      </c>
      <c r="C306" s="852">
        <f t="shared" ref="C306:D306" si="47">C307</f>
        <v>5110000</v>
      </c>
      <c r="D306" s="852">
        <f t="shared" si="47"/>
        <v>2220468</v>
      </c>
      <c r="E306" s="853">
        <v>744161.72</v>
      </c>
      <c r="F306" s="854"/>
      <c r="G306" s="788">
        <f t="shared" si="44"/>
        <v>14.562851663405088</v>
      </c>
      <c r="H306" s="788">
        <f t="shared" si="43"/>
        <v>33.513733140941461</v>
      </c>
      <c r="I306" s="826">
        <f t="shared" si="45"/>
        <v>225.94928783752189</v>
      </c>
      <c r="J306" s="29">
        <v>329349</v>
      </c>
    </row>
    <row r="307" spans="1:10" x14ac:dyDescent="0.2">
      <c r="A307" s="827">
        <v>3639</v>
      </c>
      <c r="B307" s="828" t="s">
        <v>313</v>
      </c>
      <c r="C307" s="842">
        <f>SUM(C308:C315)</f>
        <v>5110000</v>
      </c>
      <c r="D307" s="842">
        <f>SUM(D308:D315)</f>
        <v>2220468</v>
      </c>
      <c r="E307" s="680">
        <v>744161.72</v>
      </c>
      <c r="F307" s="681">
        <f>SUM(E308:E315)</f>
        <v>744161.72000000009</v>
      </c>
      <c r="G307" s="642">
        <f t="shared" si="44"/>
        <v>14.562851663405088</v>
      </c>
      <c r="H307" s="644">
        <f t="shared" si="43"/>
        <v>33.513733140941461</v>
      </c>
      <c r="I307" s="651">
        <f t="shared" si="45"/>
        <v>225.94928783752189</v>
      </c>
      <c r="J307" s="29">
        <v>329349</v>
      </c>
    </row>
    <row r="308" spans="1:10" x14ac:dyDescent="0.2">
      <c r="A308" s="832" t="s">
        <v>314</v>
      </c>
      <c r="B308" s="702" t="s">
        <v>1256</v>
      </c>
      <c r="C308" s="687">
        <v>4500000</v>
      </c>
      <c r="D308" s="687">
        <f>4500000-2859600</f>
        <v>1640400</v>
      </c>
      <c r="E308" s="653">
        <v>306435</v>
      </c>
      <c r="F308" s="653"/>
      <c r="G308" s="643">
        <f t="shared" si="44"/>
        <v>6.8096666666666668</v>
      </c>
      <c r="H308" s="659">
        <f t="shared" si="43"/>
        <v>18.680504754937822</v>
      </c>
      <c r="I308" s="664">
        <f t="shared" si="45"/>
        <v>2977.9883381924196</v>
      </c>
      <c r="J308" s="29">
        <v>10290</v>
      </c>
    </row>
    <row r="309" spans="1:10" x14ac:dyDescent="0.2">
      <c r="A309" s="832" t="s">
        <v>316</v>
      </c>
      <c r="B309" s="686" t="s">
        <v>1257</v>
      </c>
      <c r="C309" s="687">
        <v>30000</v>
      </c>
      <c r="D309" s="687">
        <f>30000-5000</f>
        <v>25000</v>
      </c>
      <c r="E309" s="653">
        <v>3630</v>
      </c>
      <c r="F309" s="653"/>
      <c r="G309" s="643">
        <f t="shared" si="44"/>
        <v>12.1</v>
      </c>
      <c r="H309" s="659">
        <f t="shared" si="43"/>
        <v>14.52</v>
      </c>
      <c r="I309" s="664">
        <f t="shared" si="45"/>
        <v>85.714285714285708</v>
      </c>
      <c r="J309" s="29">
        <v>4235</v>
      </c>
    </row>
    <row r="310" spans="1:10" x14ac:dyDescent="0.2">
      <c r="A310" s="855" t="s">
        <v>316</v>
      </c>
      <c r="B310" s="720" t="s">
        <v>1258</v>
      </c>
      <c r="C310" s="687">
        <v>30000</v>
      </c>
      <c r="D310" s="687">
        <f>30000+5000</f>
        <v>35000</v>
      </c>
      <c r="E310" s="653">
        <v>14969.57</v>
      </c>
      <c r="F310" s="653"/>
      <c r="G310" s="643">
        <f t="shared" si="44"/>
        <v>49.898566666666667</v>
      </c>
      <c r="H310" s="659">
        <f t="shared" si="43"/>
        <v>42.770199999999996</v>
      </c>
      <c r="I310" s="664">
        <v>0</v>
      </c>
      <c r="J310" s="29">
        <v>0</v>
      </c>
    </row>
    <row r="311" spans="1:10" x14ac:dyDescent="0.2">
      <c r="A311" s="832" t="s">
        <v>325</v>
      </c>
      <c r="B311" s="686" t="s">
        <v>326</v>
      </c>
      <c r="C311" s="687">
        <v>150000</v>
      </c>
      <c r="D311" s="687">
        <v>150000</v>
      </c>
      <c r="E311" s="653">
        <v>111472.5</v>
      </c>
      <c r="F311" s="653"/>
      <c r="G311" s="643">
        <f t="shared" si="44"/>
        <v>74.314999999999998</v>
      </c>
      <c r="H311" s="659">
        <f t="shared" si="43"/>
        <v>74.314999999999998</v>
      </c>
      <c r="I311" s="664">
        <f t="shared" si="45"/>
        <v>198.17333333333335</v>
      </c>
      <c r="J311" s="29">
        <v>56250</v>
      </c>
    </row>
    <row r="312" spans="1:10" x14ac:dyDescent="0.2">
      <c r="A312" s="832" t="s">
        <v>321</v>
      </c>
      <c r="B312" s="686" t="s">
        <v>327</v>
      </c>
      <c r="C312" s="687">
        <v>150000</v>
      </c>
      <c r="D312" s="687">
        <v>150000</v>
      </c>
      <c r="E312" s="653">
        <v>141233.75</v>
      </c>
      <c r="F312" s="653"/>
      <c r="G312" s="643">
        <f t="shared" si="44"/>
        <v>94.155833333333334</v>
      </c>
      <c r="H312" s="659">
        <f t="shared" si="43"/>
        <v>94.155833333333334</v>
      </c>
      <c r="I312" s="664">
        <f t="shared" si="45"/>
        <v>133.06991096245349</v>
      </c>
      <c r="J312" s="29">
        <v>106135</v>
      </c>
    </row>
    <row r="313" spans="1:10" x14ac:dyDescent="0.2">
      <c r="A313" s="832" t="s">
        <v>323</v>
      </c>
      <c r="B313" s="686" t="s">
        <v>328</v>
      </c>
      <c r="C313" s="687">
        <v>210000</v>
      </c>
      <c r="D313" s="687">
        <f>210000-30000</f>
        <v>180000</v>
      </c>
      <c r="E313" s="653">
        <v>126352.9</v>
      </c>
      <c r="F313" s="653"/>
      <c r="G313" s="643">
        <f t="shared" si="44"/>
        <v>60.168047619047613</v>
      </c>
      <c r="H313" s="659">
        <f t="shared" si="43"/>
        <v>70.196055555555546</v>
      </c>
      <c r="I313" s="664">
        <f t="shared" si="45"/>
        <v>97.778199096143126</v>
      </c>
      <c r="J313" s="29">
        <v>129224</v>
      </c>
    </row>
    <row r="314" spans="1:10" x14ac:dyDescent="0.2">
      <c r="A314" s="850" t="s">
        <v>331</v>
      </c>
      <c r="B314" s="702" t="s">
        <v>332</v>
      </c>
      <c r="C314" s="687">
        <v>10000</v>
      </c>
      <c r="D314" s="687">
        <f>10000-10000</f>
        <v>0</v>
      </c>
      <c r="E314" s="653">
        <v>0</v>
      </c>
      <c r="F314" s="653"/>
      <c r="G314" s="643">
        <f t="shared" si="44"/>
        <v>0</v>
      </c>
      <c r="H314" s="659">
        <v>0</v>
      </c>
      <c r="I314" s="664">
        <v>0</v>
      </c>
      <c r="J314" s="29">
        <v>12000</v>
      </c>
    </row>
    <row r="315" spans="1:10" x14ac:dyDescent="0.2">
      <c r="A315" s="850" t="s">
        <v>333</v>
      </c>
      <c r="B315" s="856" t="s">
        <v>334</v>
      </c>
      <c r="C315" s="687">
        <v>30000</v>
      </c>
      <c r="D315" s="687">
        <f>30000+10000+30000-29932</f>
        <v>40068</v>
      </c>
      <c r="E315" s="653">
        <v>40068</v>
      </c>
      <c r="F315" s="653"/>
      <c r="G315" s="643">
        <f t="shared" si="44"/>
        <v>133.56</v>
      </c>
      <c r="H315" s="659">
        <f t="shared" si="43"/>
        <v>100</v>
      </c>
      <c r="I315" s="664">
        <f t="shared" si="45"/>
        <v>357.27151136870259</v>
      </c>
      <c r="J315" s="29">
        <v>11215</v>
      </c>
    </row>
    <row r="316" spans="1:10" ht="15.75" x14ac:dyDescent="0.25">
      <c r="A316" s="838"/>
      <c r="B316" s="794" t="s">
        <v>335</v>
      </c>
      <c r="C316" s="857">
        <f>SUM(C317,C322,C324,C331,C333,C340,C358,C363,C365,C368)</f>
        <v>27453182</v>
      </c>
      <c r="D316" s="857">
        <f>SUM(D317,D322,D324,D331,D333,D340,D358,D363,D365,D368)</f>
        <v>27592089.609999999</v>
      </c>
      <c r="E316" s="858">
        <v>24001514.91</v>
      </c>
      <c r="F316" s="859">
        <f>SUM(E317,E322,E324,E331,E333,E340,E358,E363,E365,E368)</f>
        <v>24001514.91</v>
      </c>
      <c r="G316" s="788">
        <f t="shared" si="44"/>
        <v>87.427078252714026</v>
      </c>
      <c r="H316" s="788">
        <f t="shared" si="43"/>
        <v>86.986941725868078</v>
      </c>
      <c r="I316" s="826">
        <f t="shared" si="45"/>
        <v>134.50387086505759</v>
      </c>
      <c r="J316" s="29">
        <v>17844478.940000001</v>
      </c>
    </row>
    <row r="317" spans="1:10" x14ac:dyDescent="0.2">
      <c r="A317" s="827">
        <v>3341</v>
      </c>
      <c r="B317" s="828" t="s">
        <v>1259</v>
      </c>
      <c r="C317" s="734">
        <f>SUM(C318:C321)</f>
        <v>3177552</v>
      </c>
      <c r="D317" s="734">
        <f>SUM(D318:D321)</f>
        <v>3177552</v>
      </c>
      <c r="E317" s="679">
        <v>2953291.52</v>
      </c>
      <c r="F317" s="860">
        <f>SUM(E318:E321)</f>
        <v>2953291.52</v>
      </c>
      <c r="G317" s="642">
        <f t="shared" si="44"/>
        <v>92.942350589384532</v>
      </c>
      <c r="H317" s="644">
        <f t="shared" si="43"/>
        <v>92.942350589384532</v>
      </c>
      <c r="I317" s="651">
        <f t="shared" si="45"/>
        <v>1359.238540720479</v>
      </c>
      <c r="J317" s="29">
        <v>217275.44</v>
      </c>
    </row>
    <row r="318" spans="1:10" x14ac:dyDescent="0.2">
      <c r="A318" s="832" t="s">
        <v>1880</v>
      </c>
      <c r="B318" s="702" t="s">
        <v>338</v>
      </c>
      <c r="C318" s="687">
        <v>200000</v>
      </c>
      <c r="D318" s="687">
        <f>200000-1230</f>
        <v>198770</v>
      </c>
      <c r="E318" s="653">
        <v>179173.17</v>
      </c>
      <c r="F318" s="653"/>
      <c r="G318" s="643">
        <f t="shared" si="44"/>
        <v>89.586585000000014</v>
      </c>
      <c r="H318" s="659">
        <f t="shared" si="43"/>
        <v>90.140951853901498</v>
      </c>
      <c r="I318" s="664">
        <f t="shared" si="45"/>
        <v>124.36338898780531</v>
      </c>
      <c r="J318" s="29">
        <v>144072.28</v>
      </c>
    </row>
    <row r="319" spans="1:10" x14ac:dyDescent="0.2">
      <c r="A319" s="832" t="s">
        <v>339</v>
      </c>
      <c r="B319" s="702" t="s">
        <v>1260</v>
      </c>
      <c r="C319" s="687">
        <v>5000</v>
      </c>
      <c r="D319" s="687">
        <f>5000+1230</f>
        <v>6230</v>
      </c>
      <c r="E319" s="653">
        <v>6230</v>
      </c>
      <c r="F319" s="653"/>
      <c r="G319" s="643">
        <f t="shared" si="44"/>
        <v>124.6</v>
      </c>
      <c r="H319" s="659">
        <f t="shared" si="43"/>
        <v>100</v>
      </c>
      <c r="I319" s="664">
        <f t="shared" si="45"/>
        <v>160.7741935483871</v>
      </c>
      <c r="J319" s="29">
        <v>3875</v>
      </c>
    </row>
    <row r="320" spans="1:10" x14ac:dyDescent="0.2">
      <c r="A320" s="832" t="s">
        <v>1261</v>
      </c>
      <c r="B320" s="702" t="s">
        <v>1262</v>
      </c>
      <c r="C320" s="687">
        <v>2372552</v>
      </c>
      <c r="D320" s="687">
        <f>2372552+29142</f>
        <v>2401694</v>
      </c>
      <c r="E320" s="650">
        <v>2401693.9500000002</v>
      </c>
      <c r="F320" s="650"/>
      <c r="G320" s="643">
        <f t="shared" si="44"/>
        <v>101.2282955231329</v>
      </c>
      <c r="H320" s="659">
        <f t="shared" si="43"/>
        <v>99.999997918136117</v>
      </c>
      <c r="I320" s="660">
        <v>0</v>
      </c>
      <c r="J320" s="29">
        <v>0</v>
      </c>
    </row>
    <row r="321" spans="1:10" x14ac:dyDescent="0.2">
      <c r="A321" s="832" t="s">
        <v>1263</v>
      </c>
      <c r="B321" s="702" t="s">
        <v>1264</v>
      </c>
      <c r="C321" s="687">
        <v>600000</v>
      </c>
      <c r="D321" s="687">
        <f>600000-29142</f>
        <v>570858</v>
      </c>
      <c r="E321" s="653">
        <v>366194.4</v>
      </c>
      <c r="F321" s="653"/>
      <c r="G321" s="643">
        <f t="shared" si="44"/>
        <v>61.03240000000001</v>
      </c>
      <c r="H321" s="659">
        <f t="shared" si="43"/>
        <v>64.148071849741967</v>
      </c>
      <c r="I321" s="664">
        <f t="shared" si="45"/>
        <v>528.20441217537007</v>
      </c>
      <c r="J321" s="29">
        <v>69328.160000000003</v>
      </c>
    </row>
    <row r="322" spans="1:10" x14ac:dyDescent="0.2">
      <c r="A322" s="732">
        <v>3412</v>
      </c>
      <c r="B322" s="690" t="s">
        <v>1265</v>
      </c>
      <c r="C322" s="694">
        <f>SUM(C323)</f>
        <v>0</v>
      </c>
      <c r="D322" s="694">
        <f>SUM(D323)</f>
        <v>36251.599999999999</v>
      </c>
      <c r="E322" s="861">
        <v>36251.599999999999</v>
      </c>
      <c r="F322" s="833"/>
      <c r="G322" s="642">
        <v>0</v>
      </c>
      <c r="H322" s="644">
        <f t="shared" si="43"/>
        <v>100</v>
      </c>
      <c r="I322" s="651">
        <f t="shared" si="45"/>
        <v>5.243032768954806</v>
      </c>
      <c r="J322" s="29">
        <v>691424.25</v>
      </c>
    </row>
    <row r="323" spans="1:10" x14ac:dyDescent="0.2">
      <c r="A323" s="832" t="s">
        <v>1266</v>
      </c>
      <c r="B323" s="862" t="s">
        <v>1267</v>
      </c>
      <c r="C323" s="718">
        <v>0</v>
      </c>
      <c r="D323" s="718">
        <f>33226.6+3025</f>
        <v>36251.599999999999</v>
      </c>
      <c r="E323" s="833">
        <v>36251.599999999999</v>
      </c>
      <c r="F323" s="833"/>
      <c r="G323" s="643">
        <v>0</v>
      </c>
      <c r="H323" s="659">
        <f t="shared" si="43"/>
        <v>100</v>
      </c>
      <c r="I323" s="660">
        <v>0</v>
      </c>
      <c r="J323" s="29">
        <v>0</v>
      </c>
    </row>
    <row r="324" spans="1:10" x14ac:dyDescent="0.2">
      <c r="A324" s="732">
        <v>3421</v>
      </c>
      <c r="B324" s="690" t="s">
        <v>1268</v>
      </c>
      <c r="C324" s="694">
        <f>SUM(C325:C330)</f>
        <v>2690000</v>
      </c>
      <c r="D324" s="694">
        <f>SUM(D325:D330)</f>
        <v>2326661.2000000002</v>
      </c>
      <c r="E324" s="861">
        <v>1778369.15</v>
      </c>
      <c r="F324" s="833">
        <f>SUM(E325:E330)</f>
        <v>1778369.1500000001</v>
      </c>
      <c r="G324" s="642">
        <f t="shared" si="44"/>
        <v>66.110377323420067</v>
      </c>
      <c r="H324" s="644">
        <f t="shared" si="43"/>
        <v>76.434383742678122</v>
      </c>
      <c r="I324" s="651">
        <f t="shared" si="45"/>
        <v>112.52421133215785</v>
      </c>
      <c r="J324" s="29">
        <v>1580432.45</v>
      </c>
    </row>
    <row r="325" spans="1:10" x14ac:dyDescent="0.2">
      <c r="A325" s="832" t="s">
        <v>1825</v>
      </c>
      <c r="B325" s="862" t="s">
        <v>1881</v>
      </c>
      <c r="C325" s="718">
        <v>0</v>
      </c>
      <c r="D325" s="718">
        <v>124741.32</v>
      </c>
      <c r="E325" s="833">
        <v>124741.32</v>
      </c>
      <c r="F325" s="833"/>
      <c r="G325" s="643">
        <v>0</v>
      </c>
      <c r="H325" s="659">
        <f t="shared" si="43"/>
        <v>100</v>
      </c>
      <c r="I325" s="664">
        <v>0</v>
      </c>
      <c r="J325" s="29">
        <v>0</v>
      </c>
    </row>
    <row r="326" spans="1:10" x14ac:dyDescent="0.2">
      <c r="A326" s="832" t="s">
        <v>350</v>
      </c>
      <c r="B326" s="862" t="s">
        <v>1269</v>
      </c>
      <c r="C326" s="718">
        <v>750000</v>
      </c>
      <c r="D326" s="718">
        <f>750000-225060</f>
        <v>524940</v>
      </c>
      <c r="E326" s="833">
        <v>524940</v>
      </c>
      <c r="F326" s="833"/>
      <c r="G326" s="643">
        <f t="shared" si="44"/>
        <v>69.992000000000004</v>
      </c>
      <c r="H326" s="659">
        <f t="shared" si="43"/>
        <v>100</v>
      </c>
      <c r="I326" s="664">
        <f t="shared" si="45"/>
        <v>69.992000000000004</v>
      </c>
      <c r="J326" s="29">
        <v>750000</v>
      </c>
    </row>
    <row r="327" spans="1:10" x14ac:dyDescent="0.2">
      <c r="A327" s="832" t="s">
        <v>342</v>
      </c>
      <c r="B327" s="863" t="s">
        <v>1270</v>
      </c>
      <c r="C327" s="687">
        <v>300000</v>
      </c>
      <c r="D327" s="687">
        <v>300000</v>
      </c>
      <c r="E327" s="650">
        <v>0</v>
      </c>
      <c r="F327" s="650"/>
      <c r="G327" s="643">
        <f t="shared" si="44"/>
        <v>0</v>
      </c>
      <c r="H327" s="659">
        <f t="shared" ref="H327:H390" si="48">E327/D327*100</f>
        <v>0</v>
      </c>
      <c r="I327" s="664">
        <v>0</v>
      </c>
      <c r="J327" s="29">
        <v>0</v>
      </c>
    </row>
    <row r="328" spans="1:10" x14ac:dyDescent="0.2">
      <c r="A328" s="832" t="s">
        <v>344</v>
      </c>
      <c r="B328" s="863" t="s">
        <v>1271</v>
      </c>
      <c r="C328" s="687">
        <v>60000</v>
      </c>
      <c r="D328" s="687">
        <f>60000-39446</f>
        <v>20554</v>
      </c>
      <c r="E328" s="833">
        <v>0</v>
      </c>
      <c r="F328" s="833"/>
      <c r="G328" s="643">
        <f t="shared" si="44"/>
        <v>0</v>
      </c>
      <c r="H328" s="659">
        <f t="shared" si="48"/>
        <v>0</v>
      </c>
      <c r="I328" s="664">
        <f t="shared" si="45"/>
        <v>0</v>
      </c>
      <c r="J328" s="29">
        <v>28132.400000000001</v>
      </c>
    </row>
    <row r="329" spans="1:10" x14ac:dyDescent="0.2">
      <c r="A329" s="832" t="s">
        <v>346</v>
      </c>
      <c r="B329" s="863" t="s">
        <v>1272</v>
      </c>
      <c r="C329" s="687">
        <v>80000</v>
      </c>
      <c r="D329" s="687">
        <f>80000-3025</f>
        <v>76975</v>
      </c>
      <c r="E329" s="653">
        <v>73419</v>
      </c>
      <c r="F329" s="653"/>
      <c r="G329" s="643">
        <f t="shared" si="44"/>
        <v>91.773749999999993</v>
      </c>
      <c r="H329" s="659">
        <f t="shared" si="48"/>
        <v>95.380318285157514</v>
      </c>
      <c r="I329" s="664">
        <f t="shared" si="45"/>
        <v>97.013702612349533</v>
      </c>
      <c r="J329" s="29">
        <v>75679</v>
      </c>
    </row>
    <row r="330" spans="1:10" x14ac:dyDescent="0.2">
      <c r="A330" s="832" t="s">
        <v>348</v>
      </c>
      <c r="B330" s="862" t="s">
        <v>1273</v>
      </c>
      <c r="C330" s="687">
        <v>1500000</v>
      </c>
      <c r="D330" s="687">
        <f>1500000-287641.2-33226.6-124741.32+225060</f>
        <v>1279450.8799999999</v>
      </c>
      <c r="E330" s="653">
        <v>1055268.83</v>
      </c>
      <c r="F330" s="653"/>
      <c r="G330" s="643">
        <f t="shared" ref="G330:G393" si="49">E330/C330*100</f>
        <v>70.351255333333341</v>
      </c>
      <c r="H330" s="659">
        <f t="shared" si="48"/>
        <v>82.478260517512027</v>
      </c>
      <c r="I330" s="664">
        <f t="shared" si="45"/>
        <v>168.39496095947592</v>
      </c>
      <c r="J330" s="29">
        <v>626662.94999999995</v>
      </c>
    </row>
    <row r="331" spans="1:10" x14ac:dyDescent="0.2">
      <c r="A331" s="732">
        <v>3429</v>
      </c>
      <c r="B331" s="690" t="s">
        <v>1274</v>
      </c>
      <c r="C331" s="694">
        <f>SUM(C332:C332)</f>
        <v>0</v>
      </c>
      <c r="D331" s="694">
        <f>SUM(D332:D332)</f>
        <v>327087.2</v>
      </c>
      <c r="E331" s="861">
        <v>327087.2</v>
      </c>
      <c r="F331" s="833"/>
      <c r="G331" s="642">
        <v>0</v>
      </c>
      <c r="H331" s="644">
        <f t="shared" si="48"/>
        <v>100</v>
      </c>
      <c r="I331" s="651">
        <v>0</v>
      </c>
      <c r="J331" s="29">
        <v>0</v>
      </c>
    </row>
    <row r="332" spans="1:10" x14ac:dyDescent="0.2">
      <c r="A332" s="832" t="s">
        <v>1275</v>
      </c>
      <c r="B332" s="862" t="s">
        <v>1276</v>
      </c>
      <c r="C332" s="718">
        <v>0</v>
      </c>
      <c r="D332" s="718">
        <f>287641.2+39446</f>
        <v>327087.2</v>
      </c>
      <c r="E332" s="833">
        <v>327087.2</v>
      </c>
      <c r="F332" s="833"/>
      <c r="G332" s="643">
        <v>0</v>
      </c>
      <c r="H332" s="659">
        <f t="shared" si="48"/>
        <v>100</v>
      </c>
      <c r="I332" s="664">
        <v>0</v>
      </c>
      <c r="J332" s="29">
        <v>0</v>
      </c>
    </row>
    <row r="333" spans="1:10" x14ac:dyDescent="0.2">
      <c r="A333" s="698">
        <v>3613</v>
      </c>
      <c r="B333" s="690" t="s">
        <v>1277</v>
      </c>
      <c r="C333" s="694">
        <f>SUM(C334:C339)</f>
        <v>1960000</v>
      </c>
      <c r="D333" s="694">
        <f>SUM(D334:D339)</f>
        <v>2385400.31</v>
      </c>
      <c r="E333" s="649">
        <v>2253791.16</v>
      </c>
      <c r="F333" s="650">
        <f>SUM(E334:E339)</f>
        <v>2253791.16</v>
      </c>
      <c r="G333" s="642">
        <f t="shared" si="49"/>
        <v>114.9893448979592</v>
      </c>
      <c r="H333" s="644">
        <f t="shared" si="48"/>
        <v>94.48272269236017</v>
      </c>
      <c r="I333" s="651">
        <f t="shared" ref="I333:I392" si="50">E333/J333*100</f>
        <v>216.26318378902934</v>
      </c>
      <c r="J333" s="29">
        <v>1042152.03</v>
      </c>
    </row>
    <row r="334" spans="1:10" x14ac:dyDescent="0.2">
      <c r="A334" s="850" t="s">
        <v>353</v>
      </c>
      <c r="B334" s="844" t="s">
        <v>1278</v>
      </c>
      <c r="C334" s="687">
        <v>5000</v>
      </c>
      <c r="D334" s="687">
        <v>5000</v>
      </c>
      <c r="E334" s="653">
        <v>0</v>
      </c>
      <c r="F334" s="653"/>
      <c r="G334" s="643">
        <f t="shared" si="49"/>
        <v>0</v>
      </c>
      <c r="H334" s="659">
        <f t="shared" si="48"/>
        <v>0</v>
      </c>
      <c r="I334" s="664">
        <v>0</v>
      </c>
      <c r="J334" s="29">
        <v>2252.41</v>
      </c>
    </row>
    <row r="335" spans="1:10" x14ac:dyDescent="0.2">
      <c r="A335" s="850" t="s">
        <v>355</v>
      </c>
      <c r="B335" s="844" t="s">
        <v>1279</v>
      </c>
      <c r="C335" s="687">
        <v>15000</v>
      </c>
      <c r="D335" s="687">
        <v>15000</v>
      </c>
      <c r="E335" s="653">
        <v>0</v>
      </c>
      <c r="F335" s="653"/>
      <c r="G335" s="643">
        <f t="shared" si="49"/>
        <v>0</v>
      </c>
      <c r="H335" s="659">
        <f t="shared" si="48"/>
        <v>0</v>
      </c>
      <c r="I335" s="664">
        <f t="shared" si="50"/>
        <v>0</v>
      </c>
      <c r="J335" s="29">
        <v>14246.2</v>
      </c>
    </row>
    <row r="336" spans="1:10" x14ac:dyDescent="0.2">
      <c r="A336" s="850" t="s">
        <v>357</v>
      </c>
      <c r="B336" s="686" t="s">
        <v>1280</v>
      </c>
      <c r="C336" s="687">
        <v>200000</v>
      </c>
      <c r="D336" s="687">
        <f>200000-36000</f>
        <v>164000</v>
      </c>
      <c r="E336" s="653">
        <v>109342</v>
      </c>
      <c r="F336" s="653"/>
      <c r="G336" s="643">
        <f t="shared" si="49"/>
        <v>54.671000000000006</v>
      </c>
      <c r="H336" s="659">
        <f t="shared" si="48"/>
        <v>66.671951219512195</v>
      </c>
      <c r="I336" s="664">
        <f t="shared" si="50"/>
        <v>78.095973009885455</v>
      </c>
      <c r="J336" s="29">
        <v>140009.78</v>
      </c>
    </row>
    <row r="337" spans="1:10" x14ac:dyDescent="0.2">
      <c r="A337" s="850" t="s">
        <v>359</v>
      </c>
      <c r="B337" s="686" t="s">
        <v>1281</v>
      </c>
      <c r="C337" s="687">
        <v>640000</v>
      </c>
      <c r="D337" s="687">
        <f>640000+40000</f>
        <v>680000</v>
      </c>
      <c r="E337" s="653">
        <v>666358.36</v>
      </c>
      <c r="F337" s="653"/>
      <c r="G337" s="643">
        <f t="shared" si="49"/>
        <v>104.11849375</v>
      </c>
      <c r="H337" s="659">
        <f t="shared" si="48"/>
        <v>97.993876470588233</v>
      </c>
      <c r="I337" s="664">
        <f t="shared" si="50"/>
        <v>115.53869189405204</v>
      </c>
      <c r="J337" s="29">
        <v>576740.43999999994</v>
      </c>
    </row>
    <row r="338" spans="1:10" x14ac:dyDescent="0.2">
      <c r="A338" s="850" t="s">
        <v>361</v>
      </c>
      <c r="B338" s="686" t="s">
        <v>1282</v>
      </c>
      <c r="C338" s="687">
        <v>100000</v>
      </c>
      <c r="D338" s="687">
        <f>100000-40000</f>
        <v>60000</v>
      </c>
      <c r="E338" s="653">
        <v>18522</v>
      </c>
      <c r="F338" s="653"/>
      <c r="G338" s="643">
        <f t="shared" si="49"/>
        <v>18.521999999999998</v>
      </c>
      <c r="H338" s="659">
        <f t="shared" si="48"/>
        <v>30.869999999999997</v>
      </c>
      <c r="I338" s="664">
        <f t="shared" si="50"/>
        <v>306.14876033057851</v>
      </c>
      <c r="J338" s="29">
        <v>6050</v>
      </c>
    </row>
    <row r="339" spans="1:10" x14ac:dyDescent="0.2">
      <c r="A339" s="850" t="s">
        <v>364</v>
      </c>
      <c r="B339" s="864" t="s">
        <v>1882</v>
      </c>
      <c r="C339" s="687">
        <v>1000000</v>
      </c>
      <c r="D339" s="687">
        <f>1000000+144474+280926.31+36000</f>
        <v>1461400.31</v>
      </c>
      <c r="E339" s="653">
        <v>1459568.8</v>
      </c>
      <c r="F339" s="653"/>
      <c r="G339" s="643">
        <f t="shared" si="49"/>
        <v>145.95688000000001</v>
      </c>
      <c r="H339" s="659">
        <f t="shared" si="48"/>
        <v>99.874674311517012</v>
      </c>
      <c r="I339" s="664">
        <f t="shared" si="50"/>
        <v>91382.97019784624</v>
      </c>
      <c r="J339" s="29">
        <v>1597.2</v>
      </c>
    </row>
    <row r="340" spans="1:10" x14ac:dyDescent="0.2">
      <c r="A340" s="698">
        <v>3631</v>
      </c>
      <c r="B340" s="690" t="s">
        <v>1284</v>
      </c>
      <c r="C340" s="694">
        <f>SUM(C341:C346)</f>
        <v>15504000</v>
      </c>
      <c r="D340" s="694">
        <f>SUM(D341:D346)</f>
        <v>15616354.299999999</v>
      </c>
      <c r="E340" s="649">
        <v>13134941.279999999</v>
      </c>
      <c r="F340" s="650">
        <f>SUM(E341:E346)</f>
        <v>13134941.280000001</v>
      </c>
      <c r="G340" s="642">
        <f t="shared" si="49"/>
        <v>84.719693498452003</v>
      </c>
      <c r="H340" s="644">
        <f t="shared" si="48"/>
        <v>84.110164431912267</v>
      </c>
      <c r="I340" s="651">
        <f t="shared" si="50"/>
        <v>145.35632134521438</v>
      </c>
      <c r="J340" s="29">
        <v>9036374.3100000005</v>
      </c>
    </row>
    <row r="341" spans="1:10" ht="12.75" customHeight="1" x14ac:dyDescent="0.2">
      <c r="A341" s="850" t="s">
        <v>367</v>
      </c>
      <c r="B341" s="686" t="s">
        <v>1285</v>
      </c>
      <c r="C341" s="687">
        <v>50000</v>
      </c>
      <c r="D341" s="687">
        <f>50000-48097.5-860</f>
        <v>1042.5</v>
      </c>
      <c r="E341" s="653">
        <v>0</v>
      </c>
      <c r="F341" s="653"/>
      <c r="G341" s="643">
        <f t="shared" si="49"/>
        <v>0</v>
      </c>
      <c r="H341" s="659">
        <f t="shared" si="48"/>
        <v>0</v>
      </c>
      <c r="I341" s="664">
        <v>0</v>
      </c>
      <c r="J341" s="29">
        <v>10002.780000000001</v>
      </c>
    </row>
    <row r="342" spans="1:10" x14ac:dyDescent="0.2">
      <c r="A342" s="850" t="s">
        <v>369</v>
      </c>
      <c r="B342" s="686" t="s">
        <v>1286</v>
      </c>
      <c r="C342" s="687">
        <v>250000</v>
      </c>
      <c r="D342" s="687">
        <v>250000</v>
      </c>
      <c r="E342" s="653">
        <v>0</v>
      </c>
      <c r="F342" s="653"/>
      <c r="G342" s="643">
        <f t="shared" si="49"/>
        <v>0</v>
      </c>
      <c r="H342" s="659">
        <f t="shared" si="48"/>
        <v>0</v>
      </c>
      <c r="I342" s="664">
        <v>0</v>
      </c>
      <c r="J342" s="29">
        <v>86703.76</v>
      </c>
    </row>
    <row r="343" spans="1:10" ht="12.75" customHeight="1" x14ac:dyDescent="0.2">
      <c r="A343" s="850" t="s">
        <v>1883</v>
      </c>
      <c r="B343" s="686" t="s">
        <v>1287</v>
      </c>
      <c r="C343" s="687">
        <v>600000</v>
      </c>
      <c r="D343" s="687">
        <f>600000-102752.67-51376.34+42386-300707.75+200000+400000+251084</f>
        <v>1038633.24</v>
      </c>
      <c r="E343" s="653">
        <v>500059.04</v>
      </c>
      <c r="F343" s="653"/>
      <c r="G343" s="643">
        <f t="shared" si="49"/>
        <v>83.343173333333326</v>
      </c>
      <c r="H343" s="659">
        <f t="shared" si="48"/>
        <v>48.145872935859437</v>
      </c>
      <c r="I343" s="664">
        <f t="shared" si="50"/>
        <v>169.78949301648288</v>
      </c>
      <c r="J343" s="29">
        <v>294517.07</v>
      </c>
    </row>
    <row r="344" spans="1:10" ht="12.75" customHeight="1" x14ac:dyDescent="0.2">
      <c r="A344" s="832" t="s">
        <v>373</v>
      </c>
      <c r="B344" s="686" t="s">
        <v>374</v>
      </c>
      <c r="C344" s="687">
        <v>7200000</v>
      </c>
      <c r="D344" s="687">
        <f>7200000-200000-518811.7</f>
        <v>6481188.2999999998</v>
      </c>
      <c r="E344" s="650">
        <v>6366883.1500000004</v>
      </c>
      <c r="F344" s="650"/>
      <c r="G344" s="643">
        <f t="shared" si="49"/>
        <v>88.428932638888895</v>
      </c>
      <c r="H344" s="659">
        <f t="shared" si="48"/>
        <v>98.23635505235977</v>
      </c>
      <c r="I344" s="664">
        <f t="shared" si="50"/>
        <v>153.74782845619546</v>
      </c>
      <c r="J344" s="29">
        <v>4141120.7</v>
      </c>
    </row>
    <row r="345" spans="1:10" x14ac:dyDescent="0.2">
      <c r="A345" s="832" t="s">
        <v>371</v>
      </c>
      <c r="B345" s="686" t="s">
        <v>1288</v>
      </c>
      <c r="C345" s="687">
        <v>4900000</v>
      </c>
      <c r="D345" s="687">
        <f>4900000+75138+250000</f>
        <v>5225138</v>
      </c>
      <c r="E345" s="653">
        <v>5225138</v>
      </c>
      <c r="F345" s="653"/>
      <c r="G345" s="643">
        <f t="shared" si="49"/>
        <v>106.63546938775509</v>
      </c>
      <c r="H345" s="659">
        <f t="shared" si="48"/>
        <v>100</v>
      </c>
      <c r="I345" s="664">
        <f t="shared" si="50"/>
        <v>117.41883146067416</v>
      </c>
      <c r="J345" s="29">
        <v>4450000</v>
      </c>
    </row>
    <row r="346" spans="1:10" ht="12.75" customHeight="1" x14ac:dyDescent="0.2">
      <c r="A346" s="832"/>
      <c r="B346" s="843" t="s">
        <v>281</v>
      </c>
      <c r="C346" s="715">
        <f>SUM(C347:C357)</f>
        <v>2504000</v>
      </c>
      <c r="D346" s="715">
        <f>SUM(D347:D357)</f>
        <v>2620352.2599999998</v>
      </c>
      <c r="E346" s="653">
        <v>1042861.09</v>
      </c>
      <c r="F346" s="653">
        <f>SUM(E347:E357)</f>
        <v>1042861.0900000001</v>
      </c>
      <c r="G346" s="643">
        <f t="shared" si="49"/>
        <v>41.647807108626196</v>
      </c>
      <c r="H346" s="659">
        <f t="shared" si="48"/>
        <v>39.798507472426628</v>
      </c>
      <c r="I346" s="664">
        <f t="shared" si="50"/>
        <v>1930.1519341106793</v>
      </c>
      <c r="J346" s="29">
        <v>54030</v>
      </c>
    </row>
    <row r="347" spans="1:10" ht="12.75" customHeight="1" x14ac:dyDescent="0.2">
      <c r="A347" s="865" t="s">
        <v>1289</v>
      </c>
      <c r="B347" s="686" t="s">
        <v>1290</v>
      </c>
      <c r="C347" s="687">
        <v>84000</v>
      </c>
      <c r="D347" s="687">
        <f>84000-84000</f>
        <v>0</v>
      </c>
      <c r="E347" s="653">
        <v>0</v>
      </c>
      <c r="F347" s="653"/>
      <c r="G347" s="643">
        <f t="shared" si="49"/>
        <v>0</v>
      </c>
      <c r="H347" s="659">
        <v>0</v>
      </c>
      <c r="I347" s="664">
        <v>0</v>
      </c>
      <c r="J347" s="29">
        <v>0</v>
      </c>
    </row>
    <row r="348" spans="1:10" ht="12.75" customHeight="1" x14ac:dyDescent="0.2">
      <c r="A348" s="865" t="s">
        <v>1291</v>
      </c>
      <c r="B348" s="686" t="s">
        <v>1884</v>
      </c>
      <c r="C348" s="687">
        <v>0</v>
      </c>
      <c r="D348" s="687">
        <f>300707.75+48097.5</f>
        <v>348805.25</v>
      </c>
      <c r="E348" s="653">
        <v>348805.25</v>
      </c>
      <c r="F348" s="653"/>
      <c r="G348" s="643">
        <v>0</v>
      </c>
      <c r="H348" s="659">
        <f t="shared" si="48"/>
        <v>100</v>
      </c>
      <c r="I348" s="664">
        <v>0</v>
      </c>
      <c r="J348" s="29">
        <v>0</v>
      </c>
    </row>
    <row r="349" spans="1:10" ht="12.75" customHeight="1" x14ac:dyDescent="0.2">
      <c r="A349" s="865" t="s">
        <v>1291</v>
      </c>
      <c r="B349" s="686" t="s">
        <v>1292</v>
      </c>
      <c r="C349" s="687">
        <v>0</v>
      </c>
      <c r="D349" s="687">
        <f>51376.34+102752.67</f>
        <v>154129.01</v>
      </c>
      <c r="E349" s="653">
        <v>154129.01</v>
      </c>
      <c r="F349" s="653"/>
      <c r="G349" s="643">
        <v>0</v>
      </c>
      <c r="H349" s="659">
        <f t="shared" si="48"/>
        <v>100</v>
      </c>
      <c r="I349" s="664">
        <v>0</v>
      </c>
      <c r="J349" s="29">
        <v>0</v>
      </c>
    </row>
    <row r="350" spans="1:10" ht="12.75" customHeight="1" x14ac:dyDescent="0.2">
      <c r="A350" s="832" t="s">
        <v>579</v>
      </c>
      <c r="B350" s="863" t="s">
        <v>1293</v>
      </c>
      <c r="C350" s="687">
        <v>650000</v>
      </c>
      <c r="D350" s="687">
        <v>650000</v>
      </c>
      <c r="E350" s="653">
        <v>0</v>
      </c>
      <c r="F350" s="653"/>
      <c r="G350" s="643">
        <f t="shared" si="49"/>
        <v>0</v>
      </c>
      <c r="H350" s="659">
        <f t="shared" si="48"/>
        <v>0</v>
      </c>
      <c r="I350" s="664">
        <f t="shared" si="50"/>
        <v>0</v>
      </c>
      <c r="J350" s="29">
        <v>8470</v>
      </c>
    </row>
    <row r="351" spans="1:10" ht="12.75" customHeight="1" x14ac:dyDescent="0.2">
      <c r="A351" s="832" t="s">
        <v>1885</v>
      </c>
      <c r="B351" s="863" t="s">
        <v>1295</v>
      </c>
      <c r="C351" s="687">
        <v>0</v>
      </c>
      <c r="D351" s="687">
        <v>70301</v>
      </c>
      <c r="E351" s="653">
        <v>70301</v>
      </c>
      <c r="F351" s="653"/>
      <c r="G351" s="643">
        <v>0</v>
      </c>
      <c r="H351" s="659">
        <f t="shared" si="48"/>
        <v>100</v>
      </c>
      <c r="I351" s="664">
        <v>0</v>
      </c>
      <c r="J351" s="29">
        <v>0</v>
      </c>
    </row>
    <row r="352" spans="1:10" x14ac:dyDescent="0.2">
      <c r="A352" s="832" t="s">
        <v>571</v>
      </c>
      <c r="B352" s="863" t="s">
        <v>1296</v>
      </c>
      <c r="C352" s="687">
        <v>0</v>
      </c>
      <c r="D352" s="687">
        <v>26257</v>
      </c>
      <c r="E352" s="653">
        <v>26257</v>
      </c>
      <c r="F352" s="653"/>
      <c r="G352" s="643">
        <v>0</v>
      </c>
      <c r="H352" s="659">
        <f t="shared" si="48"/>
        <v>100</v>
      </c>
      <c r="I352" s="664">
        <v>0</v>
      </c>
      <c r="J352" s="29">
        <v>0</v>
      </c>
    </row>
    <row r="353" spans="1:10" s="2" customFormat="1" x14ac:dyDescent="0.2">
      <c r="A353" s="832" t="s">
        <v>1297</v>
      </c>
      <c r="B353" s="863" t="s">
        <v>1298</v>
      </c>
      <c r="C353" s="687">
        <v>80000</v>
      </c>
      <c r="D353" s="687">
        <v>80000</v>
      </c>
      <c r="E353" s="653">
        <v>0</v>
      </c>
      <c r="F353" s="653"/>
      <c r="G353" s="643">
        <f t="shared" si="49"/>
        <v>0</v>
      </c>
      <c r="H353" s="659">
        <f t="shared" si="48"/>
        <v>0</v>
      </c>
      <c r="I353" s="664">
        <v>0</v>
      </c>
      <c r="J353" s="88">
        <v>0</v>
      </c>
    </row>
    <row r="354" spans="1:10" s="98" customFormat="1" x14ac:dyDescent="0.2">
      <c r="A354" s="832" t="s">
        <v>1299</v>
      </c>
      <c r="B354" s="863" t="s">
        <v>1300</v>
      </c>
      <c r="C354" s="687">
        <v>550000</v>
      </c>
      <c r="D354" s="687">
        <v>550000</v>
      </c>
      <c r="E354" s="653">
        <v>364584.83</v>
      </c>
      <c r="F354" s="653"/>
      <c r="G354" s="643">
        <f t="shared" si="49"/>
        <v>66.288150909090916</v>
      </c>
      <c r="H354" s="659">
        <f t="shared" si="48"/>
        <v>66.288150909090916</v>
      </c>
      <c r="I354" s="664">
        <f t="shared" si="50"/>
        <v>30382.069166666668</v>
      </c>
      <c r="J354" s="29">
        <v>1200</v>
      </c>
    </row>
    <row r="355" spans="1:10" s="98" customFormat="1" x14ac:dyDescent="0.2">
      <c r="A355" s="832" t="s">
        <v>1301</v>
      </c>
      <c r="B355" s="863" t="s">
        <v>1302</v>
      </c>
      <c r="C355" s="687">
        <v>80000</v>
      </c>
      <c r="D355" s="687">
        <f>80000+860</f>
        <v>80860</v>
      </c>
      <c r="E355" s="653">
        <v>78784</v>
      </c>
      <c r="F355" s="653"/>
      <c r="G355" s="643">
        <f t="shared" si="49"/>
        <v>98.48</v>
      </c>
      <c r="H355" s="659">
        <f t="shared" si="48"/>
        <v>97.432599554786051</v>
      </c>
      <c r="I355" s="664">
        <v>0</v>
      </c>
      <c r="J355" s="29">
        <v>0</v>
      </c>
    </row>
    <row r="356" spans="1:10" s="98" customFormat="1" x14ac:dyDescent="0.2">
      <c r="A356" s="832" t="s">
        <v>1303</v>
      </c>
      <c r="B356" s="863" t="s">
        <v>1304</v>
      </c>
      <c r="C356" s="687">
        <v>60000</v>
      </c>
      <c r="D356" s="687">
        <v>60000</v>
      </c>
      <c r="E356" s="653">
        <v>0</v>
      </c>
      <c r="F356" s="653"/>
      <c r="G356" s="643">
        <f t="shared" si="49"/>
        <v>0</v>
      </c>
      <c r="H356" s="659">
        <f t="shared" si="48"/>
        <v>0</v>
      </c>
      <c r="I356" s="664">
        <v>0</v>
      </c>
      <c r="J356" s="29">
        <v>0</v>
      </c>
    </row>
    <row r="357" spans="1:10" s="98" customFormat="1" x14ac:dyDescent="0.2">
      <c r="A357" s="866" t="s">
        <v>585</v>
      </c>
      <c r="B357" s="867" t="s">
        <v>1305</v>
      </c>
      <c r="C357" s="653">
        <v>1000000</v>
      </c>
      <c r="D357" s="653">
        <f>1000000-400000</f>
        <v>600000</v>
      </c>
      <c r="E357" s="650">
        <v>0</v>
      </c>
      <c r="F357" s="650"/>
      <c r="G357" s="643">
        <f t="shared" si="49"/>
        <v>0</v>
      </c>
      <c r="H357" s="659">
        <f t="shared" si="48"/>
        <v>0</v>
      </c>
      <c r="I357" s="664">
        <v>0</v>
      </c>
      <c r="J357" s="29">
        <v>44360</v>
      </c>
    </row>
    <row r="358" spans="1:10" s="98" customFormat="1" x14ac:dyDescent="0.2">
      <c r="A358" s="683">
        <v>3632</v>
      </c>
      <c r="B358" s="640" t="s">
        <v>1306</v>
      </c>
      <c r="C358" s="649">
        <f>SUM(C360:C362)</f>
        <v>3466630</v>
      </c>
      <c r="D358" s="649">
        <f>SUM(D360:D362)</f>
        <v>2691329</v>
      </c>
      <c r="E358" s="649">
        <v>2591329</v>
      </c>
      <c r="F358" s="650">
        <f>SUM(E359,E361)</f>
        <v>2591329</v>
      </c>
      <c r="G358" s="642">
        <f t="shared" si="49"/>
        <v>74.750665632040338</v>
      </c>
      <c r="H358" s="644">
        <f t="shared" si="48"/>
        <v>96.284363598801932</v>
      </c>
      <c r="I358" s="651">
        <f t="shared" si="50"/>
        <v>83.69717549014446</v>
      </c>
      <c r="J358" s="29">
        <v>3096077</v>
      </c>
    </row>
    <row r="359" spans="1:10" s="98" customFormat="1" x14ac:dyDescent="0.2">
      <c r="A359" s="868"/>
      <c r="B359" s="869" t="s">
        <v>1307</v>
      </c>
      <c r="C359" s="650">
        <f>SUM(C360:C360)</f>
        <v>366630</v>
      </c>
      <c r="D359" s="650">
        <f>SUM(D360:D360)</f>
        <v>191329</v>
      </c>
      <c r="E359" s="653">
        <v>191329</v>
      </c>
      <c r="F359" s="653"/>
      <c r="G359" s="643">
        <f t="shared" si="49"/>
        <v>52.185854949131269</v>
      </c>
      <c r="H359" s="659">
        <f t="shared" si="48"/>
        <v>100</v>
      </c>
      <c r="I359" s="664">
        <f t="shared" si="50"/>
        <v>632.7017195767196</v>
      </c>
      <c r="J359" s="29">
        <v>30240</v>
      </c>
    </row>
    <row r="360" spans="1:10" s="98" customFormat="1" x14ac:dyDescent="0.2">
      <c r="A360" s="866" t="s">
        <v>377</v>
      </c>
      <c r="B360" s="658" t="s">
        <v>1308</v>
      </c>
      <c r="C360" s="653">
        <f>342430+24200</f>
        <v>366630</v>
      </c>
      <c r="D360" s="653">
        <f>342430+24200-175301</f>
        <v>191329</v>
      </c>
      <c r="E360" s="653">
        <v>191329</v>
      </c>
      <c r="F360" s="653"/>
      <c r="G360" s="643">
        <f t="shared" si="49"/>
        <v>52.185854949131269</v>
      </c>
      <c r="H360" s="659">
        <f t="shared" si="48"/>
        <v>100</v>
      </c>
      <c r="I360" s="664">
        <f t="shared" si="50"/>
        <v>632.7017195767196</v>
      </c>
      <c r="J360" s="29">
        <v>30240</v>
      </c>
    </row>
    <row r="361" spans="1:10" s="98" customFormat="1" x14ac:dyDescent="0.2">
      <c r="A361" s="866" t="s">
        <v>383</v>
      </c>
      <c r="B361" s="658" t="s">
        <v>1309</v>
      </c>
      <c r="C361" s="653">
        <v>3000000</v>
      </c>
      <c r="D361" s="653">
        <f>3000000-600000</f>
        <v>2400000</v>
      </c>
      <c r="E361" s="653">
        <v>2400000</v>
      </c>
      <c r="F361" s="653"/>
      <c r="G361" s="643">
        <f t="shared" si="49"/>
        <v>80</v>
      </c>
      <c r="H361" s="659">
        <f t="shared" si="48"/>
        <v>100</v>
      </c>
      <c r="I361" s="664">
        <f t="shared" si="50"/>
        <v>85.714285714285708</v>
      </c>
      <c r="J361" s="29">
        <v>2800000</v>
      </c>
    </row>
    <row r="362" spans="1:10" s="98" customFormat="1" x14ac:dyDescent="0.2">
      <c r="A362" s="866" t="s">
        <v>387</v>
      </c>
      <c r="B362" s="658" t="s">
        <v>388</v>
      </c>
      <c r="C362" s="653">
        <v>100000</v>
      </c>
      <c r="D362" s="653">
        <v>100000</v>
      </c>
      <c r="E362" s="650">
        <v>0</v>
      </c>
      <c r="F362" s="650"/>
      <c r="G362" s="643">
        <f t="shared" si="49"/>
        <v>0</v>
      </c>
      <c r="H362" s="659">
        <f t="shared" si="48"/>
        <v>0</v>
      </c>
      <c r="I362" s="664">
        <v>0</v>
      </c>
      <c r="J362" s="29">
        <v>0</v>
      </c>
    </row>
    <row r="363" spans="1:10" s="98" customFormat="1" x14ac:dyDescent="0.2">
      <c r="A363" s="683">
        <v>3639</v>
      </c>
      <c r="B363" s="640" t="s">
        <v>1310</v>
      </c>
      <c r="C363" s="649">
        <f>SUM(C364:C364)</f>
        <v>5000</v>
      </c>
      <c r="D363" s="649">
        <f>SUM(D364:D364)</f>
        <v>5000</v>
      </c>
      <c r="E363" s="652">
        <v>0</v>
      </c>
      <c r="F363" s="653"/>
      <c r="G363" s="642">
        <f t="shared" si="49"/>
        <v>0</v>
      </c>
      <c r="H363" s="644">
        <f t="shared" si="48"/>
        <v>0</v>
      </c>
      <c r="I363" s="651">
        <v>0</v>
      </c>
      <c r="J363" s="29">
        <v>6250.42</v>
      </c>
    </row>
    <row r="364" spans="1:10" s="98" customFormat="1" x14ac:dyDescent="0.2">
      <c r="A364" s="870" t="s">
        <v>392</v>
      </c>
      <c r="B364" s="658" t="s">
        <v>1311</v>
      </c>
      <c r="C364" s="653">
        <v>5000</v>
      </c>
      <c r="D364" s="653">
        <v>5000</v>
      </c>
      <c r="E364" s="650">
        <v>0</v>
      </c>
      <c r="F364" s="650"/>
      <c r="G364" s="643">
        <f t="shared" si="49"/>
        <v>0</v>
      </c>
      <c r="H364" s="659">
        <f t="shared" si="48"/>
        <v>0</v>
      </c>
      <c r="I364" s="664">
        <v>0</v>
      </c>
      <c r="J364" s="29">
        <v>0</v>
      </c>
    </row>
    <row r="365" spans="1:10" s="98" customFormat="1" x14ac:dyDescent="0.2">
      <c r="A365" s="683">
        <v>3699</v>
      </c>
      <c r="B365" s="640" t="s">
        <v>1312</v>
      </c>
      <c r="C365" s="649">
        <f t="shared" ref="C365:D365" si="51">SUM(C366:C367)</f>
        <v>650000</v>
      </c>
      <c r="D365" s="649">
        <f t="shared" si="51"/>
        <v>673134</v>
      </c>
      <c r="E365" s="871">
        <v>573134</v>
      </c>
      <c r="F365" s="872">
        <f>SUM(E366:E367)</f>
        <v>573134</v>
      </c>
      <c r="G365" s="642">
        <f t="shared" si="49"/>
        <v>88.174461538461529</v>
      </c>
      <c r="H365" s="644">
        <f t="shared" si="48"/>
        <v>85.144116921742182</v>
      </c>
      <c r="I365" s="651">
        <f t="shared" si="50"/>
        <v>125.90001307033046</v>
      </c>
      <c r="J365" s="29">
        <v>455229.5</v>
      </c>
    </row>
    <row r="366" spans="1:10" s="98" customFormat="1" x14ac:dyDescent="0.2">
      <c r="A366" s="873" t="s">
        <v>1313</v>
      </c>
      <c r="B366" s="874" t="s">
        <v>1314</v>
      </c>
      <c r="C366" s="837">
        <v>100000</v>
      </c>
      <c r="D366" s="837">
        <v>100000</v>
      </c>
      <c r="E366" s="650">
        <v>0</v>
      </c>
      <c r="F366" s="650"/>
      <c r="G366" s="643">
        <f t="shared" si="49"/>
        <v>0</v>
      </c>
      <c r="H366" s="659">
        <f t="shared" si="48"/>
        <v>0</v>
      </c>
      <c r="I366" s="664">
        <f t="shared" si="50"/>
        <v>0</v>
      </c>
      <c r="J366" s="29">
        <v>43923</v>
      </c>
    </row>
    <row r="367" spans="1:10" ht="12.75" customHeight="1" x14ac:dyDescent="0.2">
      <c r="A367" s="873" t="s">
        <v>395</v>
      </c>
      <c r="B367" s="875" t="s">
        <v>1315</v>
      </c>
      <c r="C367" s="833">
        <v>550000</v>
      </c>
      <c r="D367" s="833">
        <f>550000+23134</f>
        <v>573134</v>
      </c>
      <c r="E367" s="872">
        <v>573134</v>
      </c>
      <c r="F367" s="872"/>
      <c r="G367" s="643">
        <f t="shared" si="49"/>
        <v>104.20618181818182</v>
      </c>
      <c r="H367" s="659">
        <f t="shared" si="48"/>
        <v>100</v>
      </c>
      <c r="I367" s="664">
        <f t="shared" si="50"/>
        <v>208.41236363636364</v>
      </c>
      <c r="J367" s="29">
        <v>275000</v>
      </c>
    </row>
    <row r="368" spans="1:10" s="98" customFormat="1" x14ac:dyDescent="0.2">
      <c r="A368" s="683">
        <v>3900</v>
      </c>
      <c r="B368" s="640" t="s">
        <v>1316</v>
      </c>
      <c r="C368" s="649">
        <v>0</v>
      </c>
      <c r="D368" s="649">
        <f>D369</f>
        <v>353320</v>
      </c>
      <c r="E368" s="871">
        <v>353320</v>
      </c>
      <c r="F368" s="872"/>
      <c r="G368" s="642">
        <v>0</v>
      </c>
      <c r="H368" s="644">
        <f t="shared" si="48"/>
        <v>100</v>
      </c>
      <c r="I368" s="651">
        <v>0</v>
      </c>
      <c r="J368" s="29">
        <v>0</v>
      </c>
    </row>
    <row r="369" spans="1:10" s="98" customFormat="1" x14ac:dyDescent="0.2">
      <c r="A369" s="873" t="s">
        <v>1317</v>
      </c>
      <c r="B369" s="875" t="s">
        <v>1318</v>
      </c>
      <c r="C369" s="833">
        <v>0</v>
      </c>
      <c r="D369" s="833">
        <v>353320</v>
      </c>
      <c r="E369" s="833">
        <v>353320</v>
      </c>
      <c r="F369" s="650">
        <f>SUM(E370:E373)</f>
        <v>158750110.00999999</v>
      </c>
      <c r="G369" s="643">
        <v>0</v>
      </c>
      <c r="H369" s="659">
        <f t="shared" si="48"/>
        <v>100</v>
      </c>
      <c r="I369" s="664">
        <v>0</v>
      </c>
      <c r="J369" s="29">
        <v>0</v>
      </c>
    </row>
    <row r="370" spans="1:10" ht="12.75" customHeight="1" x14ac:dyDescent="0.2">
      <c r="A370" s="876"/>
      <c r="B370" s="877"/>
      <c r="C370" s="671"/>
      <c r="D370" s="671"/>
      <c r="E370" s="671"/>
      <c r="F370" s="878"/>
      <c r="G370" s="879"/>
      <c r="H370" s="880"/>
      <c r="I370" s="881"/>
      <c r="J370" s="29"/>
    </row>
    <row r="371" spans="1:10" ht="20.25" x14ac:dyDescent="0.3">
      <c r="A371" s="882"/>
      <c r="B371" s="883" t="s">
        <v>1021</v>
      </c>
      <c r="C371" s="884">
        <f>C372+C386+C442+C467+C478+C490+C495+C507+C545+C564</f>
        <v>268131950</v>
      </c>
      <c r="D371" s="884">
        <f>D372+D386+D442+D467+D478+D490+D495+D507+D545+D564</f>
        <v>222532648.61000001</v>
      </c>
      <c r="E371" s="885">
        <v>158267485.03</v>
      </c>
      <c r="F371" s="886">
        <f>SUM(E372,E386,E442,E467,E478,E490,E495,E507,E545,E564)</f>
        <v>158267485.03000003</v>
      </c>
      <c r="G371" s="887">
        <f t="shared" si="49"/>
        <v>59.025970247111545</v>
      </c>
      <c r="H371" s="887">
        <f t="shared" si="48"/>
        <v>71.121017980319806</v>
      </c>
      <c r="I371" s="888">
        <f t="shared" si="50"/>
        <v>136.29097936767138</v>
      </c>
      <c r="J371" s="29">
        <v>116124695.68000001</v>
      </c>
    </row>
    <row r="372" spans="1:10" s="98" customFormat="1" ht="15.75" x14ac:dyDescent="0.25">
      <c r="A372" s="889"/>
      <c r="B372" s="890" t="s">
        <v>398</v>
      </c>
      <c r="C372" s="891">
        <f t="shared" ref="C372:D372" si="52">SUM(C373+C378)</f>
        <v>7770000</v>
      </c>
      <c r="D372" s="891">
        <f t="shared" si="52"/>
        <v>3320000</v>
      </c>
      <c r="E372" s="891">
        <v>374934.98</v>
      </c>
      <c r="F372" s="892">
        <f>SUM(E373,E378)</f>
        <v>374934.98</v>
      </c>
      <c r="G372" s="788">
        <f t="shared" si="49"/>
        <v>4.8254180180180173</v>
      </c>
      <c r="H372" s="788">
        <f t="shared" si="48"/>
        <v>11.293222289156626</v>
      </c>
      <c r="I372" s="826">
        <f t="shared" si="50"/>
        <v>233.18737211341713</v>
      </c>
      <c r="J372" s="29">
        <v>160787</v>
      </c>
    </row>
    <row r="373" spans="1:10" s="98" customFormat="1" ht="13.5" customHeight="1" x14ac:dyDescent="0.2">
      <c r="A373" s="893">
        <v>2310</v>
      </c>
      <c r="B373" s="894" t="s">
        <v>1210</v>
      </c>
      <c r="C373" s="895">
        <f>SUM(C374:C377)</f>
        <v>505000</v>
      </c>
      <c r="D373" s="895">
        <f>SUM(D374:D377)</f>
        <v>305000</v>
      </c>
      <c r="E373" s="735">
        <v>107690</v>
      </c>
      <c r="F373" s="896">
        <f>SUM(E374:E377)</f>
        <v>107690</v>
      </c>
      <c r="G373" s="642">
        <f t="shared" si="49"/>
        <v>21.324752475247525</v>
      </c>
      <c r="H373" s="644">
        <f t="shared" si="48"/>
        <v>35.308196721311475</v>
      </c>
      <c r="I373" s="651">
        <f t="shared" si="50"/>
        <v>3589.666666666667</v>
      </c>
      <c r="J373" s="29">
        <v>3000</v>
      </c>
    </row>
    <row r="374" spans="1:10" x14ac:dyDescent="0.2">
      <c r="A374" s="832" t="s">
        <v>263</v>
      </c>
      <c r="B374" s="686" t="s">
        <v>1319</v>
      </c>
      <c r="C374" s="687">
        <v>0</v>
      </c>
      <c r="D374" s="687">
        <f>200000+40000</f>
        <v>240000</v>
      </c>
      <c r="E374" s="653">
        <v>107690</v>
      </c>
      <c r="F374" s="653"/>
      <c r="G374" s="643">
        <v>0</v>
      </c>
      <c r="H374" s="659">
        <f t="shared" si="48"/>
        <v>44.87083333333333</v>
      </c>
      <c r="I374" s="664">
        <v>0</v>
      </c>
      <c r="J374" s="29">
        <v>0</v>
      </c>
    </row>
    <row r="375" spans="1:10" x14ac:dyDescent="0.2">
      <c r="A375" s="832" t="s">
        <v>1213</v>
      </c>
      <c r="B375" s="686" t="s">
        <v>1320</v>
      </c>
      <c r="C375" s="687">
        <v>0</v>
      </c>
      <c r="D375" s="687">
        <f>1500000-40000-1400000</f>
        <v>60000</v>
      </c>
      <c r="E375" s="653">
        <v>0</v>
      </c>
      <c r="F375" s="653"/>
      <c r="G375" s="643">
        <v>0</v>
      </c>
      <c r="H375" s="659">
        <f t="shared" si="48"/>
        <v>0</v>
      </c>
      <c r="I375" s="664">
        <v>0</v>
      </c>
      <c r="J375" s="29">
        <v>0</v>
      </c>
    </row>
    <row r="376" spans="1:10" s="98" customFormat="1" ht="13.5" customHeight="1" x14ac:dyDescent="0.2">
      <c r="A376" s="846" t="s">
        <v>403</v>
      </c>
      <c r="B376" s="897" t="s">
        <v>1321</v>
      </c>
      <c r="C376" s="722">
        <v>5000</v>
      </c>
      <c r="D376" s="722">
        <v>5000</v>
      </c>
      <c r="E376" s="722">
        <v>0</v>
      </c>
      <c r="F376" s="722"/>
      <c r="G376" s="643">
        <f t="shared" si="49"/>
        <v>0</v>
      </c>
      <c r="H376" s="659">
        <f t="shared" si="48"/>
        <v>0</v>
      </c>
      <c r="I376" s="664">
        <v>0</v>
      </c>
      <c r="J376" s="29">
        <v>3000</v>
      </c>
    </row>
    <row r="377" spans="1:10" s="98" customFormat="1" x14ac:dyDescent="0.2">
      <c r="A377" s="846" t="s">
        <v>1322</v>
      </c>
      <c r="B377" s="897" t="s">
        <v>1323</v>
      </c>
      <c r="C377" s="722">
        <v>500000</v>
      </c>
      <c r="D377" s="722">
        <f>500000-500000</f>
        <v>0</v>
      </c>
      <c r="E377" s="722">
        <v>0</v>
      </c>
      <c r="F377" s="722"/>
      <c r="G377" s="643">
        <f t="shared" si="49"/>
        <v>0</v>
      </c>
      <c r="H377" s="659">
        <v>0</v>
      </c>
      <c r="I377" s="664">
        <v>0</v>
      </c>
      <c r="J377" s="29">
        <v>0</v>
      </c>
    </row>
    <row r="378" spans="1:10" s="98" customFormat="1" x14ac:dyDescent="0.2">
      <c r="A378" s="769">
        <v>2321</v>
      </c>
      <c r="B378" s="898" t="s">
        <v>1215</v>
      </c>
      <c r="C378" s="899">
        <f>SUM(C379:C385)</f>
        <v>7265000</v>
      </c>
      <c r="D378" s="899">
        <f>SUM(D379:D385)</f>
        <v>3015000</v>
      </c>
      <c r="E378" s="899">
        <v>267244.98</v>
      </c>
      <c r="F378" s="900">
        <f>SUM(E379:E385)</f>
        <v>267244.98</v>
      </c>
      <c r="G378" s="642">
        <f t="shared" si="49"/>
        <v>3.678526909841707</v>
      </c>
      <c r="H378" s="644">
        <f t="shared" si="48"/>
        <v>8.8638467661691536</v>
      </c>
      <c r="I378" s="651">
        <f t="shared" si="50"/>
        <v>169.37072128882608</v>
      </c>
      <c r="J378" s="29">
        <v>157787</v>
      </c>
    </row>
    <row r="379" spans="1:10" s="98" customFormat="1" x14ac:dyDescent="0.2">
      <c r="A379" s="846" t="s">
        <v>1324</v>
      </c>
      <c r="B379" s="897" t="s">
        <v>1325</v>
      </c>
      <c r="C379" s="722">
        <v>5000</v>
      </c>
      <c r="D379" s="722">
        <v>5000</v>
      </c>
      <c r="E379" s="722">
        <v>0</v>
      </c>
      <c r="F379" s="722"/>
      <c r="G379" s="643">
        <f t="shared" si="49"/>
        <v>0</v>
      </c>
      <c r="H379" s="659">
        <f t="shared" si="48"/>
        <v>0</v>
      </c>
      <c r="I379" s="664">
        <f t="shared" si="50"/>
        <v>0</v>
      </c>
      <c r="J379" s="29">
        <v>25473</v>
      </c>
    </row>
    <row r="380" spans="1:10" s="98" customFormat="1" x14ac:dyDescent="0.2">
      <c r="A380" s="846" t="s">
        <v>1326</v>
      </c>
      <c r="B380" s="897" t="s">
        <v>1327</v>
      </c>
      <c r="C380" s="722">
        <v>500000</v>
      </c>
      <c r="D380" s="722">
        <f>500000-300</f>
        <v>499700</v>
      </c>
      <c r="E380" s="722">
        <v>0</v>
      </c>
      <c r="F380" s="722"/>
      <c r="G380" s="643">
        <f t="shared" si="49"/>
        <v>0</v>
      </c>
      <c r="H380" s="659">
        <f t="shared" si="48"/>
        <v>0</v>
      </c>
      <c r="I380" s="664">
        <v>0</v>
      </c>
      <c r="J380" s="29">
        <v>22930</v>
      </c>
    </row>
    <row r="381" spans="1:10" s="98" customFormat="1" x14ac:dyDescent="0.2">
      <c r="A381" s="846" t="s">
        <v>1328</v>
      </c>
      <c r="B381" s="897" t="s">
        <v>1329</v>
      </c>
      <c r="C381" s="722">
        <v>750000</v>
      </c>
      <c r="D381" s="722">
        <f>750000-750000</f>
        <v>0</v>
      </c>
      <c r="E381" s="722">
        <v>0</v>
      </c>
      <c r="F381" s="722"/>
      <c r="G381" s="643">
        <f t="shared" si="49"/>
        <v>0</v>
      </c>
      <c r="H381" s="659">
        <v>0</v>
      </c>
      <c r="I381" s="664">
        <v>0</v>
      </c>
      <c r="J381" s="29">
        <v>0</v>
      </c>
    </row>
    <row r="382" spans="1:10" s="98" customFormat="1" x14ac:dyDescent="0.2">
      <c r="A382" s="846" t="s">
        <v>1330</v>
      </c>
      <c r="B382" s="897" t="s">
        <v>1331</v>
      </c>
      <c r="C382" s="722">
        <v>500000</v>
      </c>
      <c r="D382" s="722">
        <f>500000-500000</f>
        <v>0</v>
      </c>
      <c r="E382" s="722">
        <v>0</v>
      </c>
      <c r="F382" s="722"/>
      <c r="G382" s="643">
        <f t="shared" si="49"/>
        <v>0</v>
      </c>
      <c r="H382" s="659">
        <v>0</v>
      </c>
      <c r="I382" s="664">
        <v>0</v>
      </c>
      <c r="J382" s="29">
        <v>0</v>
      </c>
    </row>
    <row r="383" spans="1:10" s="98" customFormat="1" x14ac:dyDescent="0.2">
      <c r="A383" s="846" t="s">
        <v>411</v>
      </c>
      <c r="B383" s="897" t="s">
        <v>412</v>
      </c>
      <c r="C383" s="722">
        <v>5000000</v>
      </c>
      <c r="D383" s="722">
        <f>5000000-550000-3000000</f>
        <v>1450000</v>
      </c>
      <c r="E383" s="722">
        <v>0</v>
      </c>
      <c r="F383" s="722"/>
      <c r="G383" s="643">
        <f t="shared" si="49"/>
        <v>0</v>
      </c>
      <c r="H383" s="659">
        <f t="shared" si="48"/>
        <v>0</v>
      </c>
      <c r="I383" s="664">
        <v>0</v>
      </c>
      <c r="J383" s="29">
        <v>109384</v>
      </c>
    </row>
    <row r="384" spans="1:10" s="98" customFormat="1" x14ac:dyDescent="0.2">
      <c r="A384" s="846" t="s">
        <v>413</v>
      </c>
      <c r="B384" s="897" t="s">
        <v>1332</v>
      </c>
      <c r="C384" s="722">
        <v>450000</v>
      </c>
      <c r="D384" s="722">
        <v>450000</v>
      </c>
      <c r="E384" s="722">
        <v>0</v>
      </c>
      <c r="F384" s="722"/>
      <c r="G384" s="643">
        <f t="shared" si="49"/>
        <v>0</v>
      </c>
      <c r="H384" s="659">
        <f t="shared" si="48"/>
        <v>0</v>
      </c>
      <c r="I384" s="664">
        <v>0</v>
      </c>
      <c r="J384" s="29">
        <v>0</v>
      </c>
    </row>
    <row r="385" spans="1:10" x14ac:dyDescent="0.2">
      <c r="A385" s="876" t="s">
        <v>415</v>
      </c>
      <c r="B385" s="901" t="s">
        <v>1333</v>
      </c>
      <c r="C385" s="725">
        <v>60000</v>
      </c>
      <c r="D385" s="725">
        <f>60000+300+550000</f>
        <v>610300</v>
      </c>
      <c r="E385" s="902">
        <v>267244.98</v>
      </c>
      <c r="F385" s="902"/>
      <c r="G385" s="643">
        <f t="shared" si="49"/>
        <v>445.4083</v>
      </c>
      <c r="H385" s="659">
        <f t="shared" si="48"/>
        <v>43.789116827789613</v>
      </c>
      <c r="I385" s="664">
        <v>0</v>
      </c>
      <c r="J385" s="29">
        <v>0</v>
      </c>
    </row>
    <row r="386" spans="1:10" ht="15.75" x14ac:dyDescent="0.25">
      <c r="A386" s="903"/>
      <c r="B386" s="904" t="s">
        <v>422</v>
      </c>
      <c r="C386" s="891">
        <f>SUM(C387+C408+C439)</f>
        <v>65784950</v>
      </c>
      <c r="D386" s="891">
        <f>SUM(D387+D408+D439)</f>
        <v>56740855.82</v>
      </c>
      <c r="E386" s="891">
        <v>37269680.960000001</v>
      </c>
      <c r="F386" s="892">
        <f>SUM(E387,E408,E439)</f>
        <v>37269680.960000001</v>
      </c>
      <c r="G386" s="788">
        <f t="shared" si="49"/>
        <v>56.653810575215161</v>
      </c>
      <c r="H386" s="788">
        <f t="shared" si="48"/>
        <v>65.684030354126591</v>
      </c>
      <c r="I386" s="826">
        <f t="shared" si="50"/>
        <v>111.83062770085974</v>
      </c>
      <c r="J386" s="29">
        <v>33326899.550000001</v>
      </c>
    </row>
    <row r="387" spans="1:10" x14ac:dyDescent="0.2">
      <c r="A387" s="893">
        <v>2212</v>
      </c>
      <c r="B387" s="894" t="s">
        <v>1334</v>
      </c>
      <c r="C387" s="895">
        <f>SUM(C388:C407)</f>
        <v>29190000</v>
      </c>
      <c r="D387" s="895">
        <f>SUM(D388:D407)</f>
        <v>20940000</v>
      </c>
      <c r="E387" s="895">
        <v>13130524.300000001</v>
      </c>
      <c r="F387" s="905">
        <f>SUM(E388:E407)</f>
        <v>13130524.299999999</v>
      </c>
      <c r="G387" s="642">
        <f t="shared" si="49"/>
        <v>44.982954093867768</v>
      </c>
      <c r="H387" s="644">
        <f t="shared" si="48"/>
        <v>62.705464660936016</v>
      </c>
      <c r="I387" s="645">
        <f t="shared" si="50"/>
        <v>211.12534936352944</v>
      </c>
      <c r="J387" s="29">
        <v>6219302.5800000001</v>
      </c>
    </row>
    <row r="388" spans="1:10" ht="14.25" customHeight="1" x14ac:dyDescent="0.2">
      <c r="A388" s="846" t="s">
        <v>293</v>
      </c>
      <c r="B388" s="897" t="s">
        <v>424</v>
      </c>
      <c r="C388" s="722">
        <v>300000</v>
      </c>
      <c r="D388" s="722">
        <f>300000-160000</f>
        <v>140000</v>
      </c>
      <c r="E388" s="722">
        <v>87352.8</v>
      </c>
      <c r="F388" s="722"/>
      <c r="G388" s="643">
        <f t="shared" si="49"/>
        <v>29.117599999999999</v>
      </c>
      <c r="H388" s="659">
        <f t="shared" si="48"/>
        <v>62.394857142857141</v>
      </c>
      <c r="I388" s="660">
        <f t="shared" si="50"/>
        <v>52.514987483377304</v>
      </c>
      <c r="J388" s="29">
        <v>166338.79999999999</v>
      </c>
    </row>
    <row r="389" spans="1:10" x14ac:dyDescent="0.2">
      <c r="A389" s="846" t="s">
        <v>291</v>
      </c>
      <c r="B389" s="897" t="s">
        <v>425</v>
      </c>
      <c r="C389" s="722">
        <v>4000000</v>
      </c>
      <c r="D389" s="722">
        <f>4000000-760000</f>
        <v>3240000</v>
      </c>
      <c r="E389" s="722">
        <v>2807226.83</v>
      </c>
      <c r="F389" s="722"/>
      <c r="G389" s="643">
        <f t="shared" si="49"/>
        <v>70.180670750000004</v>
      </c>
      <c r="H389" s="659">
        <f t="shared" si="48"/>
        <v>86.642803395061733</v>
      </c>
      <c r="I389" s="660">
        <f t="shared" si="50"/>
        <v>60.956364868831479</v>
      </c>
      <c r="J389" s="29">
        <v>4605305.51</v>
      </c>
    </row>
    <row r="390" spans="1:10" x14ac:dyDescent="0.2">
      <c r="A390" s="846" t="s">
        <v>1335</v>
      </c>
      <c r="B390" s="897" t="s">
        <v>1336</v>
      </c>
      <c r="C390" s="722">
        <v>750000</v>
      </c>
      <c r="D390" s="722">
        <v>750000</v>
      </c>
      <c r="E390" s="722">
        <v>156543.29999999999</v>
      </c>
      <c r="F390" s="722"/>
      <c r="G390" s="643">
        <f t="shared" si="49"/>
        <v>20.872439999999997</v>
      </c>
      <c r="H390" s="659">
        <f t="shared" si="48"/>
        <v>20.872439999999997</v>
      </c>
      <c r="I390" s="660">
        <v>0</v>
      </c>
      <c r="J390" s="29">
        <v>0</v>
      </c>
    </row>
    <row r="391" spans="1:10" x14ac:dyDescent="0.2">
      <c r="A391" s="846" t="s">
        <v>440</v>
      </c>
      <c r="B391" s="847" t="s">
        <v>1337</v>
      </c>
      <c r="C391" s="722">
        <v>5000</v>
      </c>
      <c r="D391" s="722">
        <v>5000</v>
      </c>
      <c r="E391" s="722">
        <v>4800</v>
      </c>
      <c r="F391" s="722"/>
      <c r="G391" s="643">
        <f t="shared" si="49"/>
        <v>96</v>
      </c>
      <c r="H391" s="659">
        <f t="shared" ref="H391:H454" si="53">E391/D391*100</f>
        <v>96</v>
      </c>
      <c r="I391" s="660">
        <v>0</v>
      </c>
      <c r="J391" s="29">
        <v>0</v>
      </c>
    </row>
    <row r="392" spans="1:10" x14ac:dyDescent="0.2">
      <c r="A392" s="846" t="s">
        <v>1338</v>
      </c>
      <c r="B392" s="897" t="s">
        <v>1339</v>
      </c>
      <c r="C392" s="722">
        <v>30000</v>
      </c>
      <c r="D392" s="722">
        <f>30000+160000</f>
        <v>190000</v>
      </c>
      <c r="E392" s="722">
        <v>187247</v>
      </c>
      <c r="F392" s="722"/>
      <c r="G392" s="643">
        <f t="shared" si="49"/>
        <v>624.15666666666664</v>
      </c>
      <c r="H392" s="659">
        <f t="shared" si="53"/>
        <v>98.551052631578955</v>
      </c>
      <c r="I392" s="660">
        <f t="shared" si="50"/>
        <v>106.72385294955828</v>
      </c>
      <c r="J392" s="29">
        <v>175450</v>
      </c>
    </row>
    <row r="393" spans="1:10" x14ac:dyDescent="0.2">
      <c r="A393" s="846" t="s">
        <v>1340</v>
      </c>
      <c r="B393" s="897" t="s">
        <v>1341</v>
      </c>
      <c r="C393" s="722">
        <v>3250000</v>
      </c>
      <c r="D393" s="722">
        <f>3250000+400000-200000+760000</f>
        <v>4210000</v>
      </c>
      <c r="E393" s="722">
        <v>4136681.27</v>
      </c>
      <c r="F393" s="722"/>
      <c r="G393" s="643">
        <f t="shared" si="49"/>
        <v>127.28250061538462</v>
      </c>
      <c r="H393" s="659">
        <f t="shared" si="53"/>
        <v>98.2584624703088</v>
      </c>
      <c r="I393" s="660">
        <v>0</v>
      </c>
      <c r="J393" s="29">
        <v>0</v>
      </c>
    </row>
    <row r="394" spans="1:10" x14ac:dyDescent="0.2">
      <c r="A394" s="846" t="s">
        <v>434</v>
      </c>
      <c r="B394" s="897" t="s">
        <v>1886</v>
      </c>
      <c r="C394" s="722">
        <v>0</v>
      </c>
      <c r="D394" s="722">
        <v>200000</v>
      </c>
      <c r="E394" s="722">
        <v>0</v>
      </c>
      <c r="F394" s="722"/>
      <c r="G394" s="643">
        <v>0</v>
      </c>
      <c r="H394" s="659">
        <f t="shared" si="53"/>
        <v>0</v>
      </c>
      <c r="I394" s="660">
        <v>0</v>
      </c>
      <c r="J394" s="29">
        <v>0</v>
      </c>
    </row>
    <row r="395" spans="1:10" x14ac:dyDescent="0.2">
      <c r="A395" s="846" t="s">
        <v>1342</v>
      </c>
      <c r="B395" s="897" t="s">
        <v>1343</v>
      </c>
      <c r="C395" s="722">
        <v>500000</v>
      </c>
      <c r="D395" s="722">
        <v>500000</v>
      </c>
      <c r="E395" s="722">
        <v>0</v>
      </c>
      <c r="F395" s="722"/>
      <c r="G395" s="643">
        <f t="shared" ref="G395:G457" si="54">E395/C395*100</f>
        <v>0</v>
      </c>
      <c r="H395" s="659">
        <f t="shared" si="53"/>
        <v>0</v>
      </c>
      <c r="I395" s="660">
        <v>0</v>
      </c>
      <c r="J395" s="29">
        <v>0</v>
      </c>
    </row>
    <row r="396" spans="1:10" x14ac:dyDescent="0.2">
      <c r="A396" s="846" t="s">
        <v>1344</v>
      </c>
      <c r="B396" s="897" t="s">
        <v>1345</v>
      </c>
      <c r="C396" s="722">
        <v>200000</v>
      </c>
      <c r="D396" s="722">
        <v>200000</v>
      </c>
      <c r="E396" s="722">
        <v>0</v>
      </c>
      <c r="F396" s="722"/>
      <c r="G396" s="643">
        <f t="shared" si="54"/>
        <v>0</v>
      </c>
      <c r="H396" s="659">
        <f t="shared" si="53"/>
        <v>0</v>
      </c>
      <c r="I396" s="660">
        <v>0</v>
      </c>
      <c r="J396" s="29">
        <v>0</v>
      </c>
    </row>
    <row r="397" spans="1:10" x14ac:dyDescent="0.2">
      <c r="A397" s="846" t="s">
        <v>1346</v>
      </c>
      <c r="B397" s="897" t="s">
        <v>1347</v>
      </c>
      <c r="C397" s="722">
        <v>250000</v>
      </c>
      <c r="D397" s="722">
        <v>250000</v>
      </c>
      <c r="E397" s="722">
        <v>0</v>
      </c>
      <c r="F397" s="722"/>
      <c r="G397" s="643">
        <f t="shared" si="54"/>
        <v>0</v>
      </c>
      <c r="H397" s="659">
        <f t="shared" si="53"/>
        <v>0</v>
      </c>
      <c r="I397" s="660">
        <v>0</v>
      </c>
      <c r="J397" s="29">
        <v>0</v>
      </c>
    </row>
    <row r="398" spans="1:10" x14ac:dyDescent="0.2">
      <c r="A398" s="846" t="s">
        <v>293</v>
      </c>
      <c r="B398" s="897" t="s">
        <v>1348</v>
      </c>
      <c r="C398" s="722">
        <v>1500000</v>
      </c>
      <c r="D398" s="722">
        <f>1500000-1100000-400000</f>
        <v>0</v>
      </c>
      <c r="E398" s="722">
        <v>0</v>
      </c>
      <c r="F398" s="722"/>
      <c r="G398" s="643">
        <f t="shared" si="54"/>
        <v>0</v>
      </c>
      <c r="H398" s="659">
        <v>0</v>
      </c>
      <c r="I398" s="660">
        <v>0</v>
      </c>
      <c r="J398" s="29">
        <v>0</v>
      </c>
    </row>
    <row r="399" spans="1:10" x14ac:dyDescent="0.2">
      <c r="A399" s="846" t="s">
        <v>1223</v>
      </c>
      <c r="B399" s="897" t="s">
        <v>1887</v>
      </c>
      <c r="C399" s="722">
        <v>0</v>
      </c>
      <c r="D399" s="722">
        <v>250000</v>
      </c>
      <c r="E399" s="722">
        <v>0</v>
      </c>
      <c r="F399" s="722"/>
      <c r="G399" s="643">
        <v>0</v>
      </c>
      <c r="H399" s="659">
        <f t="shared" si="53"/>
        <v>0</v>
      </c>
      <c r="I399" s="660">
        <v>0</v>
      </c>
      <c r="J399" s="29">
        <v>0</v>
      </c>
    </row>
    <row r="400" spans="1:10" x14ac:dyDescent="0.2">
      <c r="A400" s="846" t="s">
        <v>1350</v>
      </c>
      <c r="B400" s="897" t="s">
        <v>1351</v>
      </c>
      <c r="C400" s="722">
        <v>3000000</v>
      </c>
      <c r="D400" s="722">
        <f>3000000-400000</f>
        <v>2600000</v>
      </c>
      <c r="E400" s="722">
        <v>2376349.65</v>
      </c>
      <c r="F400" s="722"/>
      <c r="G400" s="643">
        <f t="shared" si="54"/>
        <v>79.211654999999993</v>
      </c>
      <c r="H400" s="659">
        <f t="shared" si="53"/>
        <v>91.398063461538456</v>
      </c>
      <c r="I400" s="660">
        <f t="shared" ref="I400:I452" si="55">E400/J400*100</f>
        <v>706.44796063975264</v>
      </c>
      <c r="J400" s="29">
        <v>336380</v>
      </c>
    </row>
    <row r="401" spans="1:10" x14ac:dyDescent="0.2">
      <c r="A401" s="846" t="s">
        <v>447</v>
      </c>
      <c r="B401" s="897" t="s">
        <v>1349</v>
      </c>
      <c r="C401" s="722">
        <v>13000000</v>
      </c>
      <c r="D401" s="722">
        <f>13000000+8000000+1200000-15000000-1200000</f>
        <v>6000000</v>
      </c>
      <c r="E401" s="722">
        <v>1421383.45</v>
      </c>
      <c r="F401" s="722"/>
      <c r="G401" s="643">
        <f t="shared" si="54"/>
        <v>10.933718846153846</v>
      </c>
      <c r="H401" s="659">
        <f t="shared" si="53"/>
        <v>23.689724166666664</v>
      </c>
      <c r="I401" s="660">
        <f t="shared" si="55"/>
        <v>278.52896625241516</v>
      </c>
      <c r="J401" s="29">
        <v>510318</v>
      </c>
    </row>
    <row r="402" spans="1:10" x14ac:dyDescent="0.2">
      <c r="A402" s="846" t="s">
        <v>438</v>
      </c>
      <c r="B402" s="897" t="s">
        <v>1352</v>
      </c>
      <c r="C402" s="722">
        <v>5000</v>
      </c>
      <c r="D402" s="722">
        <v>5000</v>
      </c>
      <c r="E402" s="722">
        <v>0</v>
      </c>
      <c r="F402" s="722"/>
      <c r="G402" s="643">
        <f t="shared" si="54"/>
        <v>0</v>
      </c>
      <c r="H402" s="659">
        <f t="shared" si="53"/>
        <v>0</v>
      </c>
      <c r="I402" s="660">
        <v>0</v>
      </c>
      <c r="J402" s="29">
        <v>0</v>
      </c>
    </row>
    <row r="403" spans="1:10" x14ac:dyDescent="0.2">
      <c r="A403" s="846" t="s">
        <v>1353</v>
      </c>
      <c r="B403" s="897" t="s">
        <v>1354</v>
      </c>
      <c r="C403" s="722">
        <v>1150000</v>
      </c>
      <c r="D403" s="722">
        <v>1150000</v>
      </c>
      <c r="E403" s="722">
        <v>1089000</v>
      </c>
      <c r="F403" s="722"/>
      <c r="G403" s="643">
        <f t="shared" si="54"/>
        <v>94.695652173913047</v>
      </c>
      <c r="H403" s="659">
        <f t="shared" si="53"/>
        <v>94.695652173913047</v>
      </c>
      <c r="I403" s="660">
        <v>0</v>
      </c>
      <c r="J403" s="29">
        <v>0</v>
      </c>
    </row>
    <row r="404" spans="1:10" x14ac:dyDescent="0.2">
      <c r="A404" s="846" t="s">
        <v>1355</v>
      </c>
      <c r="B404" s="897" t="s">
        <v>1356</v>
      </c>
      <c r="C404" s="722">
        <v>350000</v>
      </c>
      <c r="D404" s="722">
        <v>350000</v>
      </c>
      <c r="E404" s="722">
        <v>324280</v>
      </c>
      <c r="F404" s="722"/>
      <c r="G404" s="643">
        <f t="shared" si="54"/>
        <v>92.651428571428568</v>
      </c>
      <c r="H404" s="659">
        <f t="shared" si="53"/>
        <v>92.651428571428568</v>
      </c>
      <c r="I404" s="660">
        <v>0</v>
      </c>
      <c r="J404" s="29">
        <v>0</v>
      </c>
    </row>
    <row r="405" spans="1:10" x14ac:dyDescent="0.2">
      <c r="A405" s="846" t="s">
        <v>451</v>
      </c>
      <c r="B405" s="897" t="s">
        <v>1357</v>
      </c>
      <c r="C405" s="722">
        <v>200000</v>
      </c>
      <c r="D405" s="722">
        <v>200000</v>
      </c>
      <c r="E405" s="722">
        <v>0</v>
      </c>
      <c r="F405" s="722"/>
      <c r="G405" s="643">
        <f t="shared" si="54"/>
        <v>0</v>
      </c>
      <c r="H405" s="659">
        <f t="shared" si="53"/>
        <v>0</v>
      </c>
      <c r="I405" s="660">
        <v>0</v>
      </c>
      <c r="J405" s="29">
        <v>0</v>
      </c>
    </row>
    <row r="406" spans="1:10" x14ac:dyDescent="0.2">
      <c r="A406" s="846" t="s">
        <v>1358</v>
      </c>
      <c r="B406" s="897" t="s">
        <v>1359</v>
      </c>
      <c r="C406" s="722">
        <v>350000</v>
      </c>
      <c r="D406" s="722">
        <v>350000</v>
      </c>
      <c r="E406" s="722">
        <v>199650</v>
      </c>
      <c r="F406" s="900"/>
      <c r="G406" s="643">
        <f t="shared" si="54"/>
        <v>57.042857142857137</v>
      </c>
      <c r="H406" s="659">
        <f t="shared" si="53"/>
        <v>57.042857142857137</v>
      </c>
      <c r="I406" s="660">
        <v>0</v>
      </c>
      <c r="J406" s="29">
        <v>0</v>
      </c>
    </row>
    <row r="407" spans="1:10" x14ac:dyDescent="0.2">
      <c r="A407" s="846" t="s">
        <v>1360</v>
      </c>
      <c r="B407" s="897" t="s">
        <v>1361</v>
      </c>
      <c r="C407" s="722">
        <v>350000</v>
      </c>
      <c r="D407" s="722">
        <v>350000</v>
      </c>
      <c r="E407" s="722">
        <v>340010</v>
      </c>
      <c r="F407" s="722"/>
      <c r="G407" s="643">
        <f t="shared" si="54"/>
        <v>97.145714285714291</v>
      </c>
      <c r="H407" s="659">
        <f t="shared" si="53"/>
        <v>97.145714285714291</v>
      </c>
      <c r="I407" s="660">
        <f t="shared" si="55"/>
        <v>500</v>
      </c>
      <c r="J407" s="29">
        <v>68002</v>
      </c>
    </row>
    <row r="408" spans="1:10" x14ac:dyDescent="0.2">
      <c r="A408" s="769">
        <v>2219</v>
      </c>
      <c r="B408" s="898" t="s">
        <v>1239</v>
      </c>
      <c r="C408" s="899">
        <f>SUM(C409:C438)</f>
        <v>34448950</v>
      </c>
      <c r="D408" s="899">
        <f>SUM(D409:D438)</f>
        <v>32560950</v>
      </c>
      <c r="E408" s="899">
        <v>22519164.050000001</v>
      </c>
      <c r="F408" s="722">
        <f>SUM(E409:E438)</f>
        <v>22519164.050000001</v>
      </c>
      <c r="G408" s="642">
        <f t="shared" si="54"/>
        <v>65.36966743543708</v>
      </c>
      <c r="H408" s="644">
        <f t="shared" si="53"/>
        <v>69.160033874933021</v>
      </c>
      <c r="I408" s="645">
        <f t="shared" si="55"/>
        <v>86.860018606415224</v>
      </c>
      <c r="J408" s="29">
        <v>25925810.760000002</v>
      </c>
    </row>
    <row r="409" spans="1:10" x14ac:dyDescent="0.2">
      <c r="A409" s="846" t="s">
        <v>299</v>
      </c>
      <c r="B409" s="897" t="s">
        <v>460</v>
      </c>
      <c r="C409" s="722">
        <v>200000</v>
      </c>
      <c r="D409" s="722">
        <f>200000+100000+210000</f>
        <v>510000</v>
      </c>
      <c r="E409" s="722">
        <v>309263</v>
      </c>
      <c r="F409" s="722"/>
      <c r="G409" s="643">
        <f t="shared" si="54"/>
        <v>154.63150000000002</v>
      </c>
      <c r="H409" s="659">
        <f t="shared" si="53"/>
        <v>60.639803921568628</v>
      </c>
      <c r="I409" s="660">
        <f t="shared" si="55"/>
        <v>148.15703746287247</v>
      </c>
      <c r="J409" s="29">
        <v>208740</v>
      </c>
    </row>
    <row r="410" spans="1:10" x14ac:dyDescent="0.2">
      <c r="A410" s="846" t="s">
        <v>301</v>
      </c>
      <c r="B410" s="897" t="s">
        <v>461</v>
      </c>
      <c r="C410" s="722">
        <v>1500000</v>
      </c>
      <c r="D410" s="722">
        <v>1500000</v>
      </c>
      <c r="E410" s="722">
        <v>1423327.19</v>
      </c>
      <c r="F410" s="722"/>
      <c r="G410" s="643">
        <f t="shared" si="54"/>
        <v>94.888479333333336</v>
      </c>
      <c r="H410" s="659">
        <f t="shared" si="53"/>
        <v>94.888479333333336</v>
      </c>
      <c r="I410" s="660">
        <f t="shared" si="55"/>
        <v>57.67469489593401</v>
      </c>
      <c r="J410" s="29">
        <v>2467853.87</v>
      </c>
    </row>
    <row r="411" spans="1:10" x14ac:dyDescent="0.2">
      <c r="A411" s="846" t="s">
        <v>464</v>
      </c>
      <c r="B411" s="897" t="s">
        <v>1362</v>
      </c>
      <c r="C411" s="722">
        <v>2000000</v>
      </c>
      <c r="D411" s="722">
        <f>2000000+481000</f>
        <v>2481000</v>
      </c>
      <c r="E411" s="722">
        <v>2351432.83</v>
      </c>
      <c r="F411" s="722"/>
      <c r="G411" s="643">
        <f t="shared" si="54"/>
        <v>117.57164150000001</v>
      </c>
      <c r="H411" s="659">
        <f t="shared" si="53"/>
        <v>94.777623135832329</v>
      </c>
      <c r="I411" s="660">
        <f t="shared" si="55"/>
        <v>58.338986988821077</v>
      </c>
      <c r="J411" s="29">
        <v>4030637.06</v>
      </c>
    </row>
    <row r="412" spans="1:10" x14ac:dyDescent="0.2">
      <c r="A412" s="846" t="s">
        <v>468</v>
      </c>
      <c r="B412" s="897" t="s">
        <v>1363</v>
      </c>
      <c r="C412" s="722">
        <v>500000</v>
      </c>
      <c r="D412" s="722">
        <v>500000</v>
      </c>
      <c r="E412" s="722">
        <v>438020</v>
      </c>
      <c r="F412" s="722"/>
      <c r="G412" s="643">
        <f t="shared" si="54"/>
        <v>87.603999999999999</v>
      </c>
      <c r="H412" s="659">
        <f t="shared" si="53"/>
        <v>87.603999999999999</v>
      </c>
      <c r="I412" s="660">
        <f t="shared" si="55"/>
        <v>27.319986366327608</v>
      </c>
      <c r="J412" s="29">
        <v>1603295.09</v>
      </c>
    </row>
    <row r="413" spans="1:10" x14ac:dyDescent="0.2">
      <c r="A413" s="846" t="s">
        <v>1364</v>
      </c>
      <c r="B413" s="847" t="s">
        <v>1365</v>
      </c>
      <c r="C413" s="722">
        <v>2200000</v>
      </c>
      <c r="D413" s="722">
        <f>2200000-500000</f>
        <v>1700000</v>
      </c>
      <c r="E413" s="722">
        <v>1479762.09</v>
      </c>
      <c r="F413" s="722"/>
      <c r="G413" s="643">
        <f t="shared" si="54"/>
        <v>67.261913181818187</v>
      </c>
      <c r="H413" s="659">
        <f t="shared" si="53"/>
        <v>87.044828823529414</v>
      </c>
      <c r="I413" s="660">
        <v>0</v>
      </c>
      <c r="J413" s="29">
        <v>0</v>
      </c>
    </row>
    <row r="414" spans="1:10" x14ac:dyDescent="0.2">
      <c r="A414" s="846" t="s">
        <v>470</v>
      </c>
      <c r="B414" s="847" t="s">
        <v>1366</v>
      </c>
      <c r="C414" s="722">
        <v>5000</v>
      </c>
      <c r="D414" s="722">
        <v>5000</v>
      </c>
      <c r="E414" s="722">
        <v>0</v>
      </c>
      <c r="F414" s="722"/>
      <c r="G414" s="643">
        <f t="shared" si="54"/>
        <v>0</v>
      </c>
      <c r="H414" s="659">
        <f t="shared" si="53"/>
        <v>0</v>
      </c>
      <c r="I414" s="660">
        <f t="shared" si="55"/>
        <v>0</v>
      </c>
      <c r="J414" s="29">
        <v>58080</v>
      </c>
    </row>
    <row r="415" spans="1:10" x14ac:dyDescent="0.2">
      <c r="A415" s="846" t="s">
        <v>1367</v>
      </c>
      <c r="B415" s="847" t="s">
        <v>1368</v>
      </c>
      <c r="C415" s="722">
        <v>330000</v>
      </c>
      <c r="D415" s="722">
        <v>330000</v>
      </c>
      <c r="E415" s="722">
        <v>0</v>
      </c>
      <c r="F415" s="722"/>
      <c r="G415" s="643">
        <f t="shared" si="54"/>
        <v>0</v>
      </c>
      <c r="H415" s="659">
        <f t="shared" si="53"/>
        <v>0</v>
      </c>
      <c r="I415" s="660">
        <v>0</v>
      </c>
      <c r="J415" s="29">
        <v>60500</v>
      </c>
    </row>
    <row r="416" spans="1:10" x14ac:dyDescent="0.2">
      <c r="A416" s="846" t="s">
        <v>1369</v>
      </c>
      <c r="B416" s="847" t="s">
        <v>1370</v>
      </c>
      <c r="C416" s="722">
        <v>200000</v>
      </c>
      <c r="D416" s="722">
        <v>200000</v>
      </c>
      <c r="E416" s="722">
        <v>125225</v>
      </c>
      <c r="F416" s="722"/>
      <c r="G416" s="643">
        <f t="shared" si="54"/>
        <v>62.612500000000004</v>
      </c>
      <c r="H416" s="659">
        <f t="shared" si="53"/>
        <v>62.612500000000004</v>
      </c>
      <c r="I416" s="660">
        <f t="shared" si="55"/>
        <v>209.78523085170542</v>
      </c>
      <c r="J416" s="29">
        <v>59692</v>
      </c>
    </row>
    <row r="417" spans="1:10" x14ac:dyDescent="0.2">
      <c r="A417" s="846" t="s">
        <v>1371</v>
      </c>
      <c r="B417" s="847" t="s">
        <v>1372</v>
      </c>
      <c r="C417" s="722">
        <v>60000</v>
      </c>
      <c r="D417" s="722">
        <f>60000+11390</f>
        <v>71390</v>
      </c>
      <c r="E417" s="722">
        <v>71390</v>
      </c>
      <c r="F417" s="722"/>
      <c r="G417" s="643">
        <f t="shared" si="54"/>
        <v>118.98333333333333</v>
      </c>
      <c r="H417" s="659">
        <f t="shared" si="53"/>
        <v>100</v>
      </c>
      <c r="I417" s="660">
        <f t="shared" si="55"/>
        <v>19.032258064516128</v>
      </c>
      <c r="J417" s="29">
        <v>375100</v>
      </c>
    </row>
    <row r="418" spans="1:10" x14ac:dyDescent="0.2">
      <c r="A418" s="846" t="s">
        <v>1373</v>
      </c>
      <c r="B418" s="847" t="s">
        <v>1374</v>
      </c>
      <c r="C418" s="722">
        <v>370000</v>
      </c>
      <c r="D418" s="722">
        <v>370000</v>
      </c>
      <c r="E418" s="722">
        <v>133100</v>
      </c>
      <c r="F418" s="722"/>
      <c r="G418" s="643">
        <f t="shared" si="54"/>
        <v>35.972972972972968</v>
      </c>
      <c r="H418" s="659">
        <f t="shared" si="53"/>
        <v>35.972972972972968</v>
      </c>
      <c r="I418" s="660">
        <f t="shared" si="55"/>
        <v>314.28571428571428</v>
      </c>
      <c r="J418" s="29">
        <v>42350</v>
      </c>
    </row>
    <row r="419" spans="1:10" x14ac:dyDescent="0.2">
      <c r="A419" s="846" t="s">
        <v>1375</v>
      </c>
      <c r="B419" s="847" t="s">
        <v>1376</v>
      </c>
      <c r="C419" s="722">
        <v>26000</v>
      </c>
      <c r="D419" s="722">
        <f>26000+181000</f>
        <v>207000</v>
      </c>
      <c r="E419" s="722">
        <v>206910</v>
      </c>
      <c r="F419" s="722"/>
      <c r="G419" s="643">
        <f t="shared" si="54"/>
        <v>795.80769230769238</v>
      </c>
      <c r="H419" s="659">
        <f t="shared" si="53"/>
        <v>99.956521739130437</v>
      </c>
      <c r="I419" s="660">
        <f t="shared" si="55"/>
        <v>2137.5</v>
      </c>
      <c r="J419" s="29">
        <v>9680</v>
      </c>
    </row>
    <row r="420" spans="1:10" x14ac:dyDescent="0.2">
      <c r="A420" s="846" t="s">
        <v>492</v>
      </c>
      <c r="B420" s="847" t="s">
        <v>1377</v>
      </c>
      <c r="C420" s="722">
        <v>2800000</v>
      </c>
      <c r="D420" s="722">
        <f>2800000-500000-12000</f>
        <v>2288000</v>
      </c>
      <c r="E420" s="722">
        <v>1836373.82</v>
      </c>
      <c r="F420" s="722"/>
      <c r="G420" s="643">
        <f t="shared" si="54"/>
        <v>65.584779285714291</v>
      </c>
      <c r="H420" s="659">
        <f t="shared" si="53"/>
        <v>80.261093531468532</v>
      </c>
      <c r="I420" s="660">
        <f t="shared" si="55"/>
        <v>5058.8810468319562</v>
      </c>
      <c r="J420" s="29">
        <v>36300</v>
      </c>
    </row>
    <row r="421" spans="1:10" x14ac:dyDescent="0.2">
      <c r="A421" s="846" t="s">
        <v>1378</v>
      </c>
      <c r="B421" s="847" t="s">
        <v>1379</v>
      </c>
      <c r="C421" s="722">
        <v>5050000</v>
      </c>
      <c r="D421" s="722">
        <f>5050000-500000-100000</f>
        <v>4450000</v>
      </c>
      <c r="E421" s="722">
        <v>3595125.67</v>
      </c>
      <c r="F421" s="722"/>
      <c r="G421" s="643">
        <f t="shared" si="54"/>
        <v>71.190607326732675</v>
      </c>
      <c r="H421" s="659">
        <f t="shared" si="53"/>
        <v>80.789340898876404</v>
      </c>
      <c r="I421" s="660">
        <f t="shared" si="55"/>
        <v>9903.9274655647368</v>
      </c>
      <c r="J421" s="29">
        <v>36300</v>
      </c>
    </row>
    <row r="422" spans="1:10" x14ac:dyDescent="0.2">
      <c r="A422" s="846" t="s">
        <v>1380</v>
      </c>
      <c r="B422" s="847" t="s">
        <v>1381</v>
      </c>
      <c r="C422" s="722">
        <v>2000000</v>
      </c>
      <c r="D422" s="722">
        <f>2000000-1055000+1255000</f>
        <v>2200000</v>
      </c>
      <c r="E422" s="722">
        <v>1330911.67</v>
      </c>
      <c r="F422" s="722"/>
      <c r="G422" s="643">
        <f t="shared" si="54"/>
        <v>66.545583499999992</v>
      </c>
      <c r="H422" s="659">
        <f t="shared" si="53"/>
        <v>60.495984999999997</v>
      </c>
      <c r="I422" s="660">
        <v>0</v>
      </c>
      <c r="J422" s="29">
        <v>0</v>
      </c>
    </row>
    <row r="423" spans="1:10" x14ac:dyDescent="0.2">
      <c r="A423" s="846" t="s">
        <v>1382</v>
      </c>
      <c r="B423" s="847" t="s">
        <v>1383</v>
      </c>
      <c r="C423" s="722">
        <v>50000</v>
      </c>
      <c r="D423" s="722">
        <v>50000</v>
      </c>
      <c r="E423" s="722">
        <v>20000</v>
      </c>
      <c r="F423" s="722"/>
      <c r="G423" s="643">
        <f t="shared" si="54"/>
        <v>40</v>
      </c>
      <c r="H423" s="659">
        <f t="shared" si="53"/>
        <v>40</v>
      </c>
      <c r="I423" s="660">
        <v>0</v>
      </c>
      <c r="J423" s="29">
        <v>0</v>
      </c>
    </row>
    <row r="424" spans="1:10" x14ac:dyDescent="0.2">
      <c r="A424" s="846" t="s">
        <v>1384</v>
      </c>
      <c r="B424" s="847" t="s">
        <v>1385</v>
      </c>
      <c r="C424" s="722">
        <v>500000</v>
      </c>
      <c r="D424" s="722">
        <f>500000-158000-34000</f>
        <v>308000</v>
      </c>
      <c r="E424" s="722">
        <v>215000</v>
      </c>
      <c r="F424" s="722"/>
      <c r="G424" s="643">
        <f t="shared" si="54"/>
        <v>43</v>
      </c>
      <c r="H424" s="659">
        <f t="shared" si="53"/>
        <v>69.805194805194802</v>
      </c>
      <c r="I424" s="660">
        <v>0</v>
      </c>
      <c r="J424" s="29">
        <v>0</v>
      </c>
    </row>
    <row r="425" spans="1:10" x14ac:dyDescent="0.2">
      <c r="A425" s="846" t="s">
        <v>1386</v>
      </c>
      <c r="B425" s="847" t="s">
        <v>1387</v>
      </c>
      <c r="C425" s="722">
        <v>500000</v>
      </c>
      <c r="D425" s="722">
        <f>500000-323000+12000</f>
        <v>189000</v>
      </c>
      <c r="E425" s="722">
        <v>123000</v>
      </c>
      <c r="F425" s="722"/>
      <c r="G425" s="643">
        <f t="shared" si="54"/>
        <v>24.6</v>
      </c>
      <c r="H425" s="659">
        <f t="shared" si="53"/>
        <v>65.079365079365076</v>
      </c>
      <c r="I425" s="660">
        <v>0</v>
      </c>
      <c r="J425" s="29">
        <v>0</v>
      </c>
    </row>
    <row r="426" spans="1:10" x14ac:dyDescent="0.2">
      <c r="A426" s="846" t="s">
        <v>1388</v>
      </c>
      <c r="B426" s="847" t="s">
        <v>1389</v>
      </c>
      <c r="C426" s="722">
        <v>500000</v>
      </c>
      <c r="D426" s="722">
        <f>500000-50000-210000</f>
        <v>240000</v>
      </c>
      <c r="E426" s="722">
        <v>0</v>
      </c>
      <c r="F426" s="722"/>
      <c r="G426" s="643">
        <f t="shared" si="54"/>
        <v>0</v>
      </c>
      <c r="H426" s="659">
        <f t="shared" si="53"/>
        <v>0</v>
      </c>
      <c r="I426" s="660">
        <v>0</v>
      </c>
      <c r="J426" s="29">
        <v>0</v>
      </c>
    </row>
    <row r="427" spans="1:10" ht="12.75" customHeight="1" x14ac:dyDescent="0.2">
      <c r="A427" s="846" t="s">
        <v>500</v>
      </c>
      <c r="B427" s="847" t="s">
        <v>1390</v>
      </c>
      <c r="C427" s="722">
        <v>10000</v>
      </c>
      <c r="D427" s="722">
        <v>10000</v>
      </c>
      <c r="E427" s="722">
        <v>3800</v>
      </c>
      <c r="F427" s="722"/>
      <c r="G427" s="643">
        <f t="shared" si="54"/>
        <v>38</v>
      </c>
      <c r="H427" s="659">
        <f t="shared" si="53"/>
        <v>38</v>
      </c>
      <c r="I427" s="660">
        <v>0</v>
      </c>
      <c r="J427" s="29">
        <v>0</v>
      </c>
    </row>
    <row r="428" spans="1:10" x14ac:dyDescent="0.2">
      <c r="A428" s="846" t="s">
        <v>1391</v>
      </c>
      <c r="B428" s="847" t="s">
        <v>1392</v>
      </c>
      <c r="C428" s="722">
        <v>660000</v>
      </c>
      <c r="D428" s="722">
        <f>660000-400000</f>
        <v>260000</v>
      </c>
      <c r="E428" s="722">
        <v>6050</v>
      </c>
      <c r="F428" s="722"/>
      <c r="G428" s="643">
        <f t="shared" si="54"/>
        <v>0.91666666666666663</v>
      </c>
      <c r="H428" s="659">
        <f t="shared" si="53"/>
        <v>2.3269230769230766</v>
      </c>
      <c r="I428" s="660">
        <f t="shared" si="55"/>
        <v>0.58487050029397236</v>
      </c>
      <c r="J428" s="29">
        <v>1034417.02</v>
      </c>
    </row>
    <row r="429" spans="1:10" x14ac:dyDescent="0.2">
      <c r="A429" s="846" t="s">
        <v>1393</v>
      </c>
      <c r="B429" s="847" t="s">
        <v>1394</v>
      </c>
      <c r="C429" s="722">
        <v>730000</v>
      </c>
      <c r="D429" s="722">
        <f>730000+540500+34000</f>
        <v>1304500</v>
      </c>
      <c r="E429" s="722">
        <v>496000</v>
      </c>
      <c r="F429" s="722"/>
      <c r="G429" s="643">
        <f t="shared" si="54"/>
        <v>67.945205479452056</v>
      </c>
      <c r="H429" s="659">
        <f t="shared" si="53"/>
        <v>38.02223073974703</v>
      </c>
      <c r="I429" s="660">
        <f t="shared" si="55"/>
        <v>1249.6850592088688</v>
      </c>
      <c r="J429" s="29">
        <v>39690</v>
      </c>
    </row>
    <row r="430" spans="1:10" x14ac:dyDescent="0.2">
      <c r="A430" s="846" t="s">
        <v>1395</v>
      </c>
      <c r="B430" s="847" t="s">
        <v>1396</v>
      </c>
      <c r="C430" s="722">
        <v>114950</v>
      </c>
      <c r="D430" s="722">
        <f>114950+514500</f>
        <v>629450</v>
      </c>
      <c r="E430" s="722">
        <v>629200</v>
      </c>
      <c r="F430" s="722"/>
      <c r="G430" s="643">
        <f t="shared" si="54"/>
        <v>547.36842105263156</v>
      </c>
      <c r="H430" s="659">
        <f t="shared" si="53"/>
        <v>99.960282786559702</v>
      </c>
      <c r="I430" s="660">
        <v>0</v>
      </c>
      <c r="J430" s="29">
        <v>0</v>
      </c>
    </row>
    <row r="431" spans="1:10" x14ac:dyDescent="0.2">
      <c r="A431" s="846" t="s">
        <v>1397</v>
      </c>
      <c r="B431" s="847" t="s">
        <v>1398</v>
      </c>
      <c r="C431" s="722">
        <v>560000</v>
      </c>
      <c r="D431" s="722">
        <v>560000</v>
      </c>
      <c r="E431" s="722">
        <v>447700</v>
      </c>
      <c r="F431" s="722"/>
      <c r="G431" s="643">
        <f t="shared" si="54"/>
        <v>79.946428571428569</v>
      </c>
      <c r="H431" s="659">
        <f t="shared" si="53"/>
        <v>79.946428571428569</v>
      </c>
      <c r="I431" s="660">
        <f t="shared" si="55"/>
        <v>3700</v>
      </c>
      <c r="J431" s="29">
        <v>12100</v>
      </c>
    </row>
    <row r="432" spans="1:10" x14ac:dyDescent="0.2">
      <c r="A432" s="846" t="s">
        <v>1399</v>
      </c>
      <c r="B432" s="847" t="s">
        <v>1400</v>
      </c>
      <c r="C432" s="722">
        <v>800000</v>
      </c>
      <c r="D432" s="722">
        <f>800000-11390-30000-758000</f>
        <v>610</v>
      </c>
      <c r="E432" s="722">
        <v>0</v>
      </c>
      <c r="F432" s="722"/>
      <c r="G432" s="643">
        <f t="shared" si="54"/>
        <v>0</v>
      </c>
      <c r="H432" s="659">
        <f t="shared" si="53"/>
        <v>0</v>
      </c>
      <c r="I432" s="660">
        <v>0</v>
      </c>
      <c r="J432" s="29">
        <v>0</v>
      </c>
    </row>
    <row r="433" spans="1:10" x14ac:dyDescent="0.2">
      <c r="A433" s="846" t="s">
        <v>1888</v>
      </c>
      <c r="B433" s="847" t="s">
        <v>1889</v>
      </c>
      <c r="C433" s="722">
        <v>0</v>
      </c>
      <c r="D433" s="722">
        <v>400000</v>
      </c>
      <c r="E433" s="722">
        <v>0</v>
      </c>
      <c r="F433" s="722"/>
      <c r="G433" s="643">
        <v>0</v>
      </c>
      <c r="H433" s="659">
        <f t="shared" si="53"/>
        <v>0</v>
      </c>
      <c r="I433" s="660">
        <v>0</v>
      </c>
      <c r="J433" s="29">
        <v>0</v>
      </c>
    </row>
    <row r="434" spans="1:10" x14ac:dyDescent="0.2">
      <c r="A434" s="846" t="s">
        <v>1401</v>
      </c>
      <c r="B434" s="847" t="s">
        <v>1402</v>
      </c>
      <c r="C434" s="722">
        <v>363000</v>
      </c>
      <c r="D434" s="722">
        <f>363000+30000+2120000</f>
        <v>2513000</v>
      </c>
      <c r="E434" s="722">
        <v>392040</v>
      </c>
      <c r="F434" s="722"/>
      <c r="G434" s="643">
        <f t="shared" si="54"/>
        <v>108</v>
      </c>
      <c r="H434" s="659">
        <f t="shared" si="53"/>
        <v>15.600477516912056</v>
      </c>
      <c r="I434" s="660">
        <f t="shared" si="55"/>
        <v>621.97867401965061</v>
      </c>
      <c r="J434" s="29">
        <v>63031.1</v>
      </c>
    </row>
    <row r="435" spans="1:10" x14ac:dyDescent="0.2">
      <c r="A435" s="846" t="s">
        <v>1245</v>
      </c>
      <c r="B435" s="847" t="s">
        <v>1403</v>
      </c>
      <c r="C435" s="722">
        <v>100000</v>
      </c>
      <c r="D435" s="722">
        <f>100000-100000</f>
        <v>0</v>
      </c>
      <c r="E435" s="722">
        <v>0</v>
      </c>
      <c r="F435" s="722"/>
      <c r="G435" s="643">
        <f t="shared" si="54"/>
        <v>0</v>
      </c>
      <c r="H435" s="659">
        <v>0</v>
      </c>
      <c r="I435" s="660">
        <v>0</v>
      </c>
      <c r="J435" s="29">
        <v>0</v>
      </c>
    </row>
    <row r="436" spans="1:10" x14ac:dyDescent="0.2">
      <c r="A436" s="846" t="s">
        <v>1404</v>
      </c>
      <c r="B436" s="847" t="s">
        <v>1405</v>
      </c>
      <c r="C436" s="722">
        <v>11000000</v>
      </c>
      <c r="D436" s="722">
        <f>11000000-181000-1255000-1600000</f>
        <v>7964000</v>
      </c>
      <c r="E436" s="722">
        <v>5855607.0499999998</v>
      </c>
      <c r="F436" s="722"/>
      <c r="G436" s="643">
        <f t="shared" si="54"/>
        <v>53.232791363636366</v>
      </c>
      <c r="H436" s="659">
        <f t="shared" si="53"/>
        <v>73.525954922149666</v>
      </c>
      <c r="I436" s="660">
        <f t="shared" si="55"/>
        <v>4608.899685163321</v>
      </c>
      <c r="J436" s="29">
        <v>127050</v>
      </c>
    </row>
    <row r="437" spans="1:10" x14ac:dyDescent="0.2">
      <c r="A437" s="846" t="s">
        <v>1406</v>
      </c>
      <c r="B437" s="847" t="s">
        <v>1407</v>
      </c>
      <c r="C437" s="722">
        <v>1300000</v>
      </c>
      <c r="D437" s="722">
        <v>1300000</v>
      </c>
      <c r="E437" s="722">
        <v>1015405.73</v>
      </c>
      <c r="F437" s="722"/>
      <c r="G437" s="643">
        <f t="shared" si="54"/>
        <v>78.108133076923082</v>
      </c>
      <c r="H437" s="659">
        <f t="shared" si="53"/>
        <v>78.108133076923082</v>
      </c>
      <c r="I437" s="660">
        <f t="shared" si="55"/>
        <v>6769.371533333333</v>
      </c>
      <c r="J437" s="29">
        <v>15000</v>
      </c>
    </row>
    <row r="438" spans="1:10" ht="12.75" customHeight="1" x14ac:dyDescent="0.2">
      <c r="A438" s="846" t="s">
        <v>1408</v>
      </c>
      <c r="B438" s="847" t="s">
        <v>1409</v>
      </c>
      <c r="C438" s="722">
        <v>20000</v>
      </c>
      <c r="D438" s="722">
        <v>20000</v>
      </c>
      <c r="E438" s="722">
        <v>14520</v>
      </c>
      <c r="F438" s="722"/>
      <c r="G438" s="643">
        <f t="shared" si="54"/>
        <v>72.599999999999994</v>
      </c>
      <c r="H438" s="659">
        <f t="shared" si="53"/>
        <v>72.599999999999994</v>
      </c>
      <c r="I438" s="660">
        <v>0</v>
      </c>
      <c r="J438" s="29">
        <v>0</v>
      </c>
    </row>
    <row r="439" spans="1:10" ht="12" customHeight="1" x14ac:dyDescent="0.2">
      <c r="A439" s="769">
        <v>2221</v>
      </c>
      <c r="B439" s="898" t="s">
        <v>1252</v>
      </c>
      <c r="C439" s="899">
        <f>SUM(C440:C441)</f>
        <v>2146000</v>
      </c>
      <c r="D439" s="899">
        <f>SUM(D440:D441)</f>
        <v>3239905.8200000003</v>
      </c>
      <c r="E439" s="899">
        <v>1619992.61</v>
      </c>
      <c r="F439" s="722">
        <f>SUM(E440:E441)</f>
        <v>1619992.61</v>
      </c>
      <c r="G439" s="642">
        <f t="shared" si="54"/>
        <v>75.488938024231132</v>
      </c>
      <c r="H439" s="644">
        <f t="shared" si="53"/>
        <v>50.001225344260156</v>
      </c>
      <c r="I439" s="645">
        <f t="shared" si="55"/>
        <v>137.08002708409069</v>
      </c>
      <c r="J439" s="29">
        <v>1181786.03</v>
      </c>
    </row>
    <row r="440" spans="1:10" x14ac:dyDescent="0.2">
      <c r="A440" s="846" t="s">
        <v>1410</v>
      </c>
      <c r="B440" s="906" t="s">
        <v>1411</v>
      </c>
      <c r="C440" s="722">
        <v>2000000</v>
      </c>
      <c r="D440" s="722">
        <f>2000000+1093905.82</f>
        <v>3093905.8200000003</v>
      </c>
      <c r="E440" s="722">
        <v>1619992.61</v>
      </c>
      <c r="F440" s="722"/>
      <c r="G440" s="643">
        <f t="shared" si="54"/>
        <v>80.999630500000009</v>
      </c>
      <c r="H440" s="659">
        <f t="shared" si="53"/>
        <v>52.360760289723359</v>
      </c>
      <c r="I440" s="660">
        <v>0</v>
      </c>
      <c r="J440" s="29">
        <v>0</v>
      </c>
    </row>
    <row r="441" spans="1:10" x14ac:dyDescent="0.2">
      <c r="A441" s="907" t="s">
        <v>1412</v>
      </c>
      <c r="B441" s="908" t="s">
        <v>1413</v>
      </c>
      <c r="C441" s="725">
        <v>146000</v>
      </c>
      <c r="D441" s="725">
        <v>146000</v>
      </c>
      <c r="E441" s="722">
        <v>0</v>
      </c>
      <c r="F441" s="722"/>
      <c r="G441" s="643">
        <f t="shared" si="54"/>
        <v>0</v>
      </c>
      <c r="H441" s="659">
        <f t="shared" si="53"/>
        <v>0</v>
      </c>
      <c r="I441" s="660">
        <f t="shared" si="55"/>
        <v>0</v>
      </c>
      <c r="J441" s="29">
        <v>161773.35999999999</v>
      </c>
    </row>
    <row r="442" spans="1:10" ht="15.75" x14ac:dyDescent="0.25">
      <c r="A442" s="909"/>
      <c r="B442" s="910" t="s">
        <v>1414</v>
      </c>
      <c r="C442" s="911">
        <f>SUM(C443,C452,C464,C462)</f>
        <v>68628000</v>
      </c>
      <c r="D442" s="911">
        <f>SUM(D443,D452,D464,D462)</f>
        <v>61968000</v>
      </c>
      <c r="E442" s="853">
        <v>60337980.710000001</v>
      </c>
      <c r="F442" s="912">
        <f>SUM(E443,E452,E464,E462)</f>
        <v>60337980.710000001</v>
      </c>
      <c r="G442" s="788">
        <f t="shared" si="54"/>
        <v>87.920354243166059</v>
      </c>
      <c r="H442" s="788">
        <f t="shared" si="53"/>
        <v>97.369578992383168</v>
      </c>
      <c r="I442" s="826">
        <f t="shared" si="55"/>
        <v>455.00195509586996</v>
      </c>
      <c r="J442" s="29">
        <v>13261037.68</v>
      </c>
    </row>
    <row r="443" spans="1:10" x14ac:dyDescent="0.2">
      <c r="A443" s="913">
        <v>3111</v>
      </c>
      <c r="B443" s="914" t="s">
        <v>1415</v>
      </c>
      <c r="C443" s="895">
        <f>SUM(C444:C451)</f>
        <v>6370000</v>
      </c>
      <c r="D443" s="895">
        <f>SUM(D444:D451)</f>
        <v>5870000</v>
      </c>
      <c r="E443" s="830">
        <v>5439676.5300000003</v>
      </c>
      <c r="F443" s="915">
        <f>SUM(E444:E451)</f>
        <v>5439676.5300000003</v>
      </c>
      <c r="G443" s="642">
        <f t="shared" si="54"/>
        <v>85.395235949764526</v>
      </c>
      <c r="H443" s="644">
        <f t="shared" si="53"/>
        <v>92.669106132879051</v>
      </c>
      <c r="I443" s="645">
        <f t="shared" si="55"/>
        <v>56.033440632181652</v>
      </c>
      <c r="J443" s="29">
        <v>9707910.9700000007</v>
      </c>
    </row>
    <row r="444" spans="1:10" x14ac:dyDescent="0.2">
      <c r="A444" s="846" t="s">
        <v>1416</v>
      </c>
      <c r="B444" s="897" t="s">
        <v>1417</v>
      </c>
      <c r="C444" s="722">
        <v>6000000</v>
      </c>
      <c r="D444" s="722">
        <f>6000000-500000</f>
        <v>5500000</v>
      </c>
      <c r="E444" s="722">
        <v>5137050.53</v>
      </c>
      <c r="F444" s="722"/>
      <c r="G444" s="643">
        <f t="shared" si="54"/>
        <v>85.617508833333332</v>
      </c>
      <c r="H444" s="659">
        <f t="shared" si="53"/>
        <v>93.400918727272725</v>
      </c>
      <c r="I444" s="660">
        <v>0</v>
      </c>
      <c r="J444" s="29">
        <v>0</v>
      </c>
    </row>
    <row r="445" spans="1:10" x14ac:dyDescent="0.2">
      <c r="A445" s="846" t="s">
        <v>1418</v>
      </c>
      <c r="B445" s="847" t="s">
        <v>1419</v>
      </c>
      <c r="C445" s="722">
        <v>10000</v>
      </c>
      <c r="D445" s="722">
        <v>10000</v>
      </c>
      <c r="E445" s="722">
        <v>9680</v>
      </c>
      <c r="F445" s="722"/>
      <c r="G445" s="643">
        <f t="shared" si="54"/>
        <v>96.8</v>
      </c>
      <c r="H445" s="659">
        <f t="shared" si="53"/>
        <v>96.8</v>
      </c>
      <c r="I445" s="660">
        <f t="shared" si="55"/>
        <v>1.9512195121951219</v>
      </c>
      <c r="J445" s="29">
        <v>496100</v>
      </c>
    </row>
    <row r="446" spans="1:10" x14ac:dyDescent="0.2">
      <c r="A446" s="846" t="s">
        <v>1420</v>
      </c>
      <c r="B446" s="847" t="s">
        <v>1421</v>
      </c>
      <c r="C446" s="722">
        <v>5000</v>
      </c>
      <c r="D446" s="722">
        <v>5000</v>
      </c>
      <c r="E446" s="722">
        <v>0</v>
      </c>
      <c r="F446" s="722"/>
      <c r="G446" s="643">
        <f t="shared" si="54"/>
        <v>0</v>
      </c>
      <c r="H446" s="659">
        <f t="shared" si="53"/>
        <v>0</v>
      </c>
      <c r="I446" s="660">
        <f t="shared" si="55"/>
        <v>0</v>
      </c>
      <c r="J446" s="29">
        <v>5141932.6900000004</v>
      </c>
    </row>
    <row r="447" spans="1:10" x14ac:dyDescent="0.2">
      <c r="A447" s="846" t="s">
        <v>1422</v>
      </c>
      <c r="B447" s="916" t="s">
        <v>1423</v>
      </c>
      <c r="C447" s="768">
        <v>45000</v>
      </c>
      <c r="D447" s="768">
        <f>45000+27000-12100+12100</f>
        <v>72000</v>
      </c>
      <c r="E447" s="722">
        <v>72000</v>
      </c>
      <c r="F447" s="722"/>
      <c r="G447" s="643">
        <f t="shared" si="54"/>
        <v>160</v>
      </c>
      <c r="H447" s="659">
        <f t="shared" si="53"/>
        <v>100</v>
      </c>
      <c r="I447" s="660">
        <v>0</v>
      </c>
      <c r="J447" s="29">
        <v>0</v>
      </c>
    </row>
    <row r="448" spans="1:10" x14ac:dyDescent="0.2">
      <c r="A448" s="846" t="s">
        <v>1424</v>
      </c>
      <c r="B448" s="916" t="s">
        <v>1425</v>
      </c>
      <c r="C448" s="768">
        <v>100000</v>
      </c>
      <c r="D448" s="768">
        <f>100000+17000+12000+12100</f>
        <v>141100</v>
      </c>
      <c r="E448" s="722">
        <v>124146</v>
      </c>
      <c r="F448" s="722"/>
      <c r="G448" s="643">
        <f t="shared" si="54"/>
        <v>124.146</v>
      </c>
      <c r="H448" s="659">
        <f t="shared" si="53"/>
        <v>87.984408221119764</v>
      </c>
      <c r="I448" s="660">
        <v>0</v>
      </c>
      <c r="J448" s="29">
        <v>0</v>
      </c>
    </row>
    <row r="449" spans="1:10" x14ac:dyDescent="0.2">
      <c r="A449" s="846" t="s">
        <v>1426</v>
      </c>
      <c r="B449" s="916" t="s">
        <v>1427</v>
      </c>
      <c r="C449" s="768">
        <v>10000</v>
      </c>
      <c r="D449" s="768">
        <v>10000</v>
      </c>
      <c r="E449" s="722">
        <v>0</v>
      </c>
      <c r="F449" s="722"/>
      <c r="G449" s="643">
        <f t="shared" si="54"/>
        <v>0</v>
      </c>
      <c r="H449" s="659">
        <f t="shared" si="53"/>
        <v>0</v>
      </c>
      <c r="I449" s="660">
        <v>0</v>
      </c>
      <c r="J449" s="29">
        <v>0</v>
      </c>
    </row>
    <row r="450" spans="1:10" x14ac:dyDescent="0.2">
      <c r="A450" s="846" t="s">
        <v>1428</v>
      </c>
      <c r="B450" s="916" t="s">
        <v>1429</v>
      </c>
      <c r="C450" s="768">
        <v>100000</v>
      </c>
      <c r="D450" s="768">
        <f>100000-44000-12000-12100</f>
        <v>31900</v>
      </c>
      <c r="E450" s="722">
        <v>0</v>
      </c>
      <c r="F450" s="722"/>
      <c r="G450" s="643">
        <f t="shared" si="54"/>
        <v>0</v>
      </c>
      <c r="H450" s="659">
        <f t="shared" si="53"/>
        <v>0</v>
      </c>
      <c r="I450" s="660">
        <v>0</v>
      </c>
      <c r="J450" s="29">
        <v>0</v>
      </c>
    </row>
    <row r="451" spans="1:10" x14ac:dyDescent="0.2">
      <c r="A451" s="846" t="s">
        <v>1430</v>
      </c>
      <c r="B451" s="916" t="s">
        <v>1431</v>
      </c>
      <c r="C451" s="768">
        <v>100000</v>
      </c>
      <c r="D451" s="768">
        <v>100000</v>
      </c>
      <c r="E451" s="722">
        <v>96800</v>
      </c>
      <c r="F451" s="722"/>
      <c r="G451" s="643">
        <f t="shared" si="54"/>
        <v>96.8</v>
      </c>
      <c r="H451" s="659">
        <f t="shared" si="53"/>
        <v>96.8</v>
      </c>
      <c r="I451" s="660">
        <v>0</v>
      </c>
      <c r="J451" s="29">
        <v>0</v>
      </c>
    </row>
    <row r="452" spans="1:10" x14ac:dyDescent="0.2">
      <c r="A452" s="779">
        <v>3113</v>
      </c>
      <c r="B452" s="916" t="s">
        <v>1432</v>
      </c>
      <c r="C452" s="917">
        <f>SUM(C453:C461)</f>
        <v>31955000</v>
      </c>
      <c r="D452" s="917">
        <f>SUM(D453:D461)</f>
        <v>33495000</v>
      </c>
      <c r="E452" s="899">
        <v>32637299.280000001</v>
      </c>
      <c r="F452" s="899">
        <f>SUM(E453:E461)</f>
        <v>32637299.280000001</v>
      </c>
      <c r="G452" s="642">
        <f t="shared" si="54"/>
        <v>102.13518785792522</v>
      </c>
      <c r="H452" s="644">
        <f t="shared" si="53"/>
        <v>97.439317151813711</v>
      </c>
      <c r="I452" s="645">
        <f t="shared" si="55"/>
        <v>918.55151655990335</v>
      </c>
      <c r="J452" s="29">
        <v>3553126.71</v>
      </c>
    </row>
    <row r="453" spans="1:10" x14ac:dyDescent="0.2">
      <c r="A453" s="918" t="s">
        <v>1433</v>
      </c>
      <c r="B453" s="780" t="s">
        <v>1434</v>
      </c>
      <c r="C453" s="919">
        <v>500000</v>
      </c>
      <c r="D453" s="919">
        <v>500000</v>
      </c>
      <c r="E453" s="722">
        <v>60500</v>
      </c>
      <c r="F453" s="722"/>
      <c r="G453" s="643">
        <f t="shared" si="54"/>
        <v>12.1</v>
      </c>
      <c r="H453" s="659">
        <f t="shared" si="53"/>
        <v>12.1</v>
      </c>
      <c r="I453" s="660">
        <v>0</v>
      </c>
      <c r="J453" s="29">
        <v>0</v>
      </c>
    </row>
    <row r="454" spans="1:10" x14ac:dyDescent="0.2">
      <c r="A454" s="918" t="s">
        <v>1435</v>
      </c>
      <c r="B454" s="780" t="s">
        <v>1890</v>
      </c>
      <c r="C454" s="919">
        <v>5000</v>
      </c>
      <c r="D454" s="919">
        <v>5000</v>
      </c>
      <c r="E454" s="722">
        <v>0</v>
      </c>
      <c r="F454" s="722"/>
      <c r="G454" s="643">
        <f t="shared" si="54"/>
        <v>0</v>
      </c>
      <c r="H454" s="659">
        <f t="shared" si="53"/>
        <v>0</v>
      </c>
      <c r="I454" s="660">
        <v>0</v>
      </c>
      <c r="J454" s="29">
        <v>2551609.71</v>
      </c>
    </row>
    <row r="455" spans="1:10" x14ac:dyDescent="0.2">
      <c r="A455" s="918" t="s">
        <v>1437</v>
      </c>
      <c r="B455" s="780" t="s">
        <v>1438</v>
      </c>
      <c r="C455" s="919">
        <v>30000000</v>
      </c>
      <c r="D455" s="919">
        <f>30000000+2320000</f>
        <v>32320000</v>
      </c>
      <c r="E455" s="722">
        <v>32250934.280000001</v>
      </c>
      <c r="F455" s="722"/>
      <c r="G455" s="643">
        <f t="shared" si="54"/>
        <v>107.50311426666667</v>
      </c>
      <c r="H455" s="659">
        <f t="shared" ref="H455:H517" si="56">E455/D455*100</f>
        <v>99.786306559405944</v>
      </c>
      <c r="I455" s="660">
        <v>0</v>
      </c>
      <c r="J455" s="29">
        <v>0</v>
      </c>
    </row>
    <row r="456" spans="1:10" x14ac:dyDescent="0.2">
      <c r="A456" s="846" t="s">
        <v>1439</v>
      </c>
      <c r="B456" s="897" t="s">
        <v>1440</v>
      </c>
      <c r="C456" s="919">
        <v>150000</v>
      </c>
      <c r="D456" s="919">
        <f>150000+70000-100000</f>
        <v>120000</v>
      </c>
      <c r="E456" s="722">
        <v>0</v>
      </c>
      <c r="F456" s="722"/>
      <c r="G456" s="643">
        <f t="shared" si="54"/>
        <v>0</v>
      </c>
      <c r="H456" s="659">
        <f t="shared" si="56"/>
        <v>0</v>
      </c>
      <c r="I456" s="660">
        <v>0</v>
      </c>
      <c r="J456" s="29">
        <v>0</v>
      </c>
    </row>
    <row r="457" spans="1:10" x14ac:dyDescent="0.2">
      <c r="A457" s="846" t="s">
        <v>1441</v>
      </c>
      <c r="B457" s="780" t="s">
        <v>1442</v>
      </c>
      <c r="C457" s="919">
        <v>200000</v>
      </c>
      <c r="D457" s="919">
        <f>200000-10000</f>
        <v>190000</v>
      </c>
      <c r="E457" s="722">
        <v>148600</v>
      </c>
      <c r="F457" s="722"/>
      <c r="G457" s="643">
        <f t="shared" si="54"/>
        <v>74.3</v>
      </c>
      <c r="H457" s="659">
        <f t="shared" si="56"/>
        <v>78.21052631578948</v>
      </c>
      <c r="I457" s="660">
        <v>0</v>
      </c>
      <c r="J457" s="29">
        <v>0</v>
      </c>
    </row>
    <row r="458" spans="1:10" x14ac:dyDescent="0.2">
      <c r="A458" s="846" t="s">
        <v>1443</v>
      </c>
      <c r="B458" s="780" t="s">
        <v>1444</v>
      </c>
      <c r="C458" s="919">
        <v>100000</v>
      </c>
      <c r="D458" s="919">
        <f>100000+10000</f>
        <v>110000</v>
      </c>
      <c r="E458" s="722">
        <v>106480</v>
      </c>
      <c r="F458" s="722"/>
      <c r="G458" s="643">
        <f t="shared" ref="G458:G521" si="57">E458/C458*100</f>
        <v>106.47999999999999</v>
      </c>
      <c r="H458" s="659">
        <f t="shared" si="56"/>
        <v>96.8</v>
      </c>
      <c r="I458" s="660">
        <v>0</v>
      </c>
      <c r="J458" s="29">
        <v>0</v>
      </c>
    </row>
    <row r="459" spans="1:10" ht="12.75" customHeight="1" x14ac:dyDescent="0.2">
      <c r="A459" s="846" t="s">
        <v>1445</v>
      </c>
      <c r="B459" s="780" t="s">
        <v>1446</v>
      </c>
      <c r="C459" s="919">
        <v>850000</v>
      </c>
      <c r="D459" s="919">
        <f>850000-850000</f>
        <v>0</v>
      </c>
      <c r="E459" s="722">
        <v>0</v>
      </c>
      <c r="F459" s="722"/>
      <c r="G459" s="643">
        <f t="shared" si="57"/>
        <v>0</v>
      </c>
      <c r="H459" s="659">
        <v>0</v>
      </c>
      <c r="I459" s="660">
        <v>0</v>
      </c>
      <c r="J459" s="29">
        <v>0</v>
      </c>
    </row>
    <row r="460" spans="1:10" ht="12.75" customHeight="1" x14ac:dyDescent="0.2">
      <c r="A460" s="846" t="s">
        <v>1891</v>
      </c>
      <c r="B460" s="780" t="s">
        <v>1448</v>
      </c>
      <c r="C460" s="919">
        <v>150000</v>
      </c>
      <c r="D460" s="919">
        <f>150000-150000</f>
        <v>0</v>
      </c>
      <c r="E460" s="722">
        <v>0</v>
      </c>
      <c r="F460" s="722"/>
      <c r="G460" s="643">
        <f t="shared" si="57"/>
        <v>0</v>
      </c>
      <c r="H460" s="659">
        <v>0</v>
      </c>
      <c r="I460" s="660">
        <v>0</v>
      </c>
      <c r="J460" s="29">
        <v>0</v>
      </c>
    </row>
    <row r="461" spans="1:10" ht="12.75" customHeight="1" x14ac:dyDescent="0.2">
      <c r="A461" s="846" t="s">
        <v>1892</v>
      </c>
      <c r="B461" s="780" t="s">
        <v>1893</v>
      </c>
      <c r="C461" s="919">
        <v>0</v>
      </c>
      <c r="D461" s="919">
        <f>250000</f>
        <v>250000</v>
      </c>
      <c r="E461" s="722">
        <v>70785</v>
      </c>
      <c r="F461" s="722"/>
      <c r="G461" s="643">
        <v>0</v>
      </c>
      <c r="H461" s="659">
        <f t="shared" si="56"/>
        <v>28.314</v>
      </c>
      <c r="I461" s="660">
        <v>0</v>
      </c>
      <c r="J461" s="29">
        <v>0</v>
      </c>
    </row>
    <row r="462" spans="1:10" ht="12.75" customHeight="1" x14ac:dyDescent="0.2">
      <c r="A462" s="779">
        <v>3233</v>
      </c>
      <c r="B462" s="920" t="s">
        <v>1449</v>
      </c>
      <c r="C462" s="921">
        <f>SUM(C463)</f>
        <v>300000</v>
      </c>
      <c r="D462" s="921">
        <f>SUM(D463)</f>
        <v>300000</v>
      </c>
      <c r="E462" s="899">
        <v>0</v>
      </c>
      <c r="F462" s="722">
        <f>SUM(E463)</f>
        <v>0</v>
      </c>
      <c r="G462" s="643">
        <f t="shared" si="57"/>
        <v>0</v>
      </c>
      <c r="H462" s="659">
        <f t="shared" si="56"/>
        <v>0</v>
      </c>
      <c r="I462" s="660">
        <v>0</v>
      </c>
      <c r="J462" s="29">
        <v>0</v>
      </c>
    </row>
    <row r="463" spans="1:10" x14ac:dyDescent="0.2">
      <c r="A463" s="846" t="s">
        <v>1450</v>
      </c>
      <c r="B463" s="780" t="s">
        <v>1451</v>
      </c>
      <c r="C463" s="768">
        <v>300000</v>
      </c>
      <c r="D463" s="768">
        <v>300000</v>
      </c>
      <c r="E463" s="722">
        <v>0</v>
      </c>
      <c r="F463" s="722"/>
      <c r="G463" s="643">
        <f t="shared" si="57"/>
        <v>0</v>
      </c>
      <c r="H463" s="659">
        <f t="shared" si="56"/>
        <v>0</v>
      </c>
      <c r="I463" s="660">
        <v>0</v>
      </c>
      <c r="J463" s="29">
        <v>0</v>
      </c>
    </row>
    <row r="464" spans="1:10" x14ac:dyDescent="0.2">
      <c r="A464" s="779">
        <v>3412</v>
      </c>
      <c r="B464" s="920" t="s">
        <v>1265</v>
      </c>
      <c r="C464" s="917">
        <f>SUM(C465:C466)</f>
        <v>30003000</v>
      </c>
      <c r="D464" s="921">
        <f>SUM(D465:D466)</f>
        <v>22303000</v>
      </c>
      <c r="E464" s="899">
        <v>22261004.899999999</v>
      </c>
      <c r="F464" s="899">
        <f>SUM(E465:E466)</f>
        <v>22261004.899999999</v>
      </c>
      <c r="G464" s="642">
        <f t="shared" si="57"/>
        <v>74.195930073659298</v>
      </c>
      <c r="H464" s="644">
        <f t="shared" si="56"/>
        <v>99.811706496883829</v>
      </c>
      <c r="I464" s="645">
        <v>0</v>
      </c>
      <c r="J464" s="29">
        <v>0</v>
      </c>
    </row>
    <row r="465" spans="1:10" x14ac:dyDescent="0.2">
      <c r="A465" s="918" t="s">
        <v>1452</v>
      </c>
      <c r="B465" s="780" t="s">
        <v>1453</v>
      </c>
      <c r="C465" s="768">
        <v>3000</v>
      </c>
      <c r="D465" s="768">
        <f>3000+40000+4000</f>
        <v>47000</v>
      </c>
      <c r="E465" s="722">
        <v>46438</v>
      </c>
      <c r="F465" s="722"/>
      <c r="G465" s="643">
        <f t="shared" si="57"/>
        <v>1547.9333333333334</v>
      </c>
      <c r="H465" s="659">
        <f t="shared" si="56"/>
        <v>98.804255319148936</v>
      </c>
      <c r="I465" s="660">
        <v>0</v>
      </c>
      <c r="J465" s="29">
        <v>0</v>
      </c>
    </row>
    <row r="466" spans="1:10" x14ac:dyDescent="0.2">
      <c r="A466" s="918" t="s">
        <v>1454</v>
      </c>
      <c r="B466" s="780" t="s">
        <v>1455</v>
      </c>
      <c r="C466" s="768">
        <v>30000000</v>
      </c>
      <c r="D466" s="768">
        <f>30000000-40000-4000-5700000-1000000-1000000</f>
        <v>22256000</v>
      </c>
      <c r="E466" s="722">
        <v>22214566.899999999</v>
      </c>
      <c r="F466" s="722"/>
      <c r="G466" s="643">
        <f t="shared" si="57"/>
        <v>74.048556333333323</v>
      </c>
      <c r="H466" s="659">
        <f t="shared" si="56"/>
        <v>99.813834022286116</v>
      </c>
      <c r="I466" s="660">
        <v>0</v>
      </c>
      <c r="J466" s="29">
        <v>0</v>
      </c>
    </row>
    <row r="467" spans="1:10" ht="15.75" x14ac:dyDescent="0.25">
      <c r="A467" s="922"/>
      <c r="B467" s="923" t="s">
        <v>523</v>
      </c>
      <c r="C467" s="924">
        <f>SUM(C468:C469,C472)</f>
        <v>7530000</v>
      </c>
      <c r="D467" s="924">
        <f>SUM(D468:D469,D472)</f>
        <v>5330797.34</v>
      </c>
      <c r="E467" s="891">
        <v>3474220.17</v>
      </c>
      <c r="F467" s="892">
        <f>SUM(E468:E469,E472)</f>
        <v>3474220.17</v>
      </c>
      <c r="G467" s="788">
        <f t="shared" si="57"/>
        <v>46.138382071713146</v>
      </c>
      <c r="H467" s="788">
        <f t="shared" si="56"/>
        <v>65.172617685743788</v>
      </c>
      <c r="I467" s="826">
        <f t="shared" ref="I467:I516" si="58">E467/J467*100</f>
        <v>79.792016158545067</v>
      </c>
      <c r="J467" s="29">
        <v>4354094.9800000004</v>
      </c>
    </row>
    <row r="468" spans="1:10" x14ac:dyDescent="0.2">
      <c r="A468" s="925">
        <v>2219</v>
      </c>
      <c r="B468" s="926" t="s">
        <v>1456</v>
      </c>
      <c r="C468" s="927">
        <v>0</v>
      </c>
      <c r="D468" s="927">
        <f>1000000+100000+400000-299202.66</f>
        <v>1200797.3400000001</v>
      </c>
      <c r="E468" s="735">
        <v>1200797.3400000001</v>
      </c>
      <c r="F468" s="896"/>
      <c r="G468" s="642">
        <v>0</v>
      </c>
      <c r="H468" s="644">
        <f t="shared" si="56"/>
        <v>100</v>
      </c>
      <c r="I468" s="928">
        <v>0</v>
      </c>
      <c r="J468" s="29">
        <v>0</v>
      </c>
    </row>
    <row r="469" spans="1:10" x14ac:dyDescent="0.2">
      <c r="A469" s="779">
        <v>3613</v>
      </c>
      <c r="B469" s="920" t="s">
        <v>1457</v>
      </c>
      <c r="C469" s="899">
        <f t="shared" ref="C469:D469" si="59">SUM(C470:C471)</f>
        <v>2000000</v>
      </c>
      <c r="D469" s="899">
        <f t="shared" si="59"/>
        <v>500000</v>
      </c>
      <c r="E469" s="899">
        <v>325646.5</v>
      </c>
      <c r="F469" s="900">
        <f>SUM(E470:E471)</f>
        <v>325646.5</v>
      </c>
      <c r="G469" s="642">
        <f t="shared" si="57"/>
        <v>16.282325</v>
      </c>
      <c r="H469" s="644">
        <f t="shared" si="56"/>
        <v>65.129300000000001</v>
      </c>
      <c r="I469" s="651">
        <f t="shared" si="58"/>
        <v>56.791213965574372</v>
      </c>
      <c r="J469" s="29">
        <v>573410</v>
      </c>
    </row>
    <row r="470" spans="1:10" x14ac:dyDescent="0.2">
      <c r="A470" s="846" t="s">
        <v>1458</v>
      </c>
      <c r="B470" s="930" t="s">
        <v>1459</v>
      </c>
      <c r="C470" s="722">
        <v>0</v>
      </c>
      <c r="D470" s="722">
        <f>200000</f>
        <v>200000</v>
      </c>
      <c r="E470" s="722">
        <v>198137.5</v>
      </c>
      <c r="F470" s="722"/>
      <c r="G470" s="643">
        <v>0</v>
      </c>
      <c r="H470" s="659">
        <f t="shared" si="56"/>
        <v>99.068750000000009</v>
      </c>
      <c r="I470" s="664">
        <v>0</v>
      </c>
      <c r="J470" s="29">
        <v>0</v>
      </c>
    </row>
    <row r="471" spans="1:10" ht="25.5" x14ac:dyDescent="0.2">
      <c r="A471" s="846" t="s">
        <v>525</v>
      </c>
      <c r="B471" s="930" t="s">
        <v>1460</v>
      </c>
      <c r="C471" s="722">
        <v>2000000</v>
      </c>
      <c r="D471" s="722">
        <f>2000000-200000-1500000</f>
        <v>300000</v>
      </c>
      <c r="E471" s="722">
        <v>127509</v>
      </c>
      <c r="F471" s="722"/>
      <c r="G471" s="643">
        <f t="shared" si="57"/>
        <v>6.3754500000000007</v>
      </c>
      <c r="H471" s="659">
        <f t="shared" si="56"/>
        <v>42.503</v>
      </c>
      <c r="I471" s="664">
        <f t="shared" si="58"/>
        <v>22.236968312376835</v>
      </c>
      <c r="J471" s="654">
        <v>573410</v>
      </c>
    </row>
    <row r="472" spans="1:10" x14ac:dyDescent="0.2">
      <c r="A472" s="769">
        <v>3639</v>
      </c>
      <c r="B472" s="898" t="s">
        <v>1461</v>
      </c>
      <c r="C472" s="899">
        <f>SUM(C473:C477)</f>
        <v>5530000</v>
      </c>
      <c r="D472" s="899">
        <f>SUM(D473:D477)</f>
        <v>3630000</v>
      </c>
      <c r="E472" s="899">
        <v>1947776.33</v>
      </c>
      <c r="F472" s="722">
        <f>SUM(E473:E477)</f>
        <v>1947776.33</v>
      </c>
      <c r="G472" s="642">
        <f t="shared" si="57"/>
        <v>35.221995117540686</v>
      </c>
      <c r="H472" s="644">
        <f t="shared" si="56"/>
        <v>53.657750137741047</v>
      </c>
      <c r="I472" s="651">
        <f t="shared" si="58"/>
        <v>51.519138743578367</v>
      </c>
      <c r="J472" s="29">
        <v>3780684.96</v>
      </c>
    </row>
    <row r="473" spans="1:10" x14ac:dyDescent="0.2">
      <c r="A473" s="846" t="s">
        <v>530</v>
      </c>
      <c r="B473" s="847" t="s">
        <v>1462</v>
      </c>
      <c r="C473" s="722">
        <v>40000</v>
      </c>
      <c r="D473" s="722">
        <v>40000</v>
      </c>
      <c r="E473" s="722">
        <v>20733.810000000001</v>
      </c>
      <c r="F473" s="722"/>
      <c r="G473" s="643">
        <f t="shared" si="57"/>
        <v>51.834524999999999</v>
      </c>
      <c r="H473" s="659">
        <f t="shared" si="56"/>
        <v>51.834524999999999</v>
      </c>
      <c r="I473" s="664">
        <f t="shared" si="58"/>
        <v>77.798223314540877</v>
      </c>
      <c r="J473" s="29">
        <v>26650.75</v>
      </c>
    </row>
    <row r="474" spans="1:10" x14ac:dyDescent="0.2">
      <c r="A474" s="846" t="s">
        <v>534</v>
      </c>
      <c r="B474" s="847" t="s">
        <v>1463</v>
      </c>
      <c r="C474" s="722">
        <v>515000</v>
      </c>
      <c r="D474" s="722">
        <f>515000</f>
        <v>515000</v>
      </c>
      <c r="E474" s="722">
        <v>499125.2</v>
      </c>
      <c r="F474" s="722"/>
      <c r="G474" s="643">
        <f t="shared" si="57"/>
        <v>96.917514563106806</v>
      </c>
      <c r="H474" s="659">
        <f t="shared" si="56"/>
        <v>96.917514563106806</v>
      </c>
      <c r="I474" s="664">
        <f t="shared" si="58"/>
        <v>102.80373716279718</v>
      </c>
      <c r="J474" s="29">
        <v>485512.7</v>
      </c>
    </row>
    <row r="475" spans="1:10" ht="25.5" x14ac:dyDescent="0.2">
      <c r="A475" s="846" t="s">
        <v>536</v>
      </c>
      <c r="B475" s="930" t="s">
        <v>1464</v>
      </c>
      <c r="C475" s="722">
        <v>4950000</v>
      </c>
      <c r="D475" s="722">
        <f>4950000-400000+(-1000000-100000)-59290-400000</f>
        <v>2990710</v>
      </c>
      <c r="E475" s="722">
        <v>1352605</v>
      </c>
      <c r="F475" s="722"/>
      <c r="G475" s="643">
        <f t="shared" si="57"/>
        <v>27.325353535353536</v>
      </c>
      <c r="H475" s="659">
        <f t="shared" si="56"/>
        <v>45.22688592340949</v>
      </c>
      <c r="I475" s="664">
        <f t="shared" si="58"/>
        <v>96.241536418513746</v>
      </c>
      <c r="J475" s="654">
        <v>1405427.48</v>
      </c>
    </row>
    <row r="476" spans="1:10" x14ac:dyDescent="0.2">
      <c r="A476" s="846" t="s">
        <v>1465</v>
      </c>
      <c r="B476" s="930" t="s">
        <v>1466</v>
      </c>
      <c r="C476" s="722">
        <v>0</v>
      </c>
      <c r="D476" s="722">
        <f>(41503+17787)</f>
        <v>59290</v>
      </c>
      <c r="E476" s="722">
        <v>59290</v>
      </c>
      <c r="F476" s="722"/>
      <c r="G476" s="643">
        <v>0</v>
      </c>
      <c r="H476" s="659">
        <f t="shared" si="56"/>
        <v>100</v>
      </c>
      <c r="I476" s="664">
        <v>0</v>
      </c>
      <c r="J476" s="29">
        <v>0</v>
      </c>
    </row>
    <row r="477" spans="1:10" x14ac:dyDescent="0.2">
      <c r="A477" s="846" t="s">
        <v>538</v>
      </c>
      <c r="B477" s="906" t="s">
        <v>1467</v>
      </c>
      <c r="C477" s="722">
        <v>25000</v>
      </c>
      <c r="D477" s="722">
        <v>25000</v>
      </c>
      <c r="E477" s="722">
        <v>16022.32</v>
      </c>
      <c r="F477" s="722"/>
      <c r="G477" s="643">
        <f t="shared" si="57"/>
        <v>64.089280000000002</v>
      </c>
      <c r="H477" s="659">
        <f t="shared" si="56"/>
        <v>64.089280000000002</v>
      </c>
      <c r="I477" s="664">
        <f t="shared" si="58"/>
        <v>122.36336351243504</v>
      </c>
      <c r="J477" s="29">
        <v>13094.05</v>
      </c>
    </row>
    <row r="478" spans="1:10" ht="15.75" x14ac:dyDescent="0.25">
      <c r="A478" s="931"/>
      <c r="B478" s="932" t="s">
        <v>1468</v>
      </c>
      <c r="C478" s="891">
        <f>SUM(C479,C483,C485)</f>
        <v>3805000</v>
      </c>
      <c r="D478" s="891">
        <f>SUM(D479,D483,D485)</f>
        <v>4614189.45</v>
      </c>
      <c r="E478" s="891">
        <v>2840433.45</v>
      </c>
      <c r="F478" s="933">
        <f>SUM(E479,E483,E485)</f>
        <v>2840433.45</v>
      </c>
      <c r="G478" s="788">
        <f t="shared" si="57"/>
        <v>74.650024967148497</v>
      </c>
      <c r="H478" s="788">
        <f t="shared" si="56"/>
        <v>61.558665520333157</v>
      </c>
      <c r="I478" s="826">
        <f t="shared" si="58"/>
        <v>1017.8544015198405</v>
      </c>
      <c r="J478" s="29">
        <v>279060.88</v>
      </c>
    </row>
    <row r="479" spans="1:10" x14ac:dyDescent="0.2">
      <c r="A479" s="893">
        <v>3311</v>
      </c>
      <c r="B479" s="894" t="s">
        <v>1469</v>
      </c>
      <c r="C479" s="895">
        <f t="shared" ref="C479:D479" si="60">SUM(C480:C482)</f>
        <v>800000</v>
      </c>
      <c r="D479" s="895">
        <f t="shared" si="60"/>
        <v>1608000</v>
      </c>
      <c r="E479" s="895">
        <v>362149</v>
      </c>
      <c r="F479" s="905">
        <f>SUM(E480:E482)</f>
        <v>362149</v>
      </c>
      <c r="G479" s="642">
        <f t="shared" si="57"/>
        <v>45.268625</v>
      </c>
      <c r="H479" s="644">
        <f t="shared" si="56"/>
        <v>22.521703980099502</v>
      </c>
      <c r="I479" s="645">
        <f t="shared" si="58"/>
        <v>11971.867768595041</v>
      </c>
      <c r="J479" s="29">
        <v>3025</v>
      </c>
    </row>
    <row r="480" spans="1:10" x14ac:dyDescent="0.2">
      <c r="A480" s="918" t="s">
        <v>1470</v>
      </c>
      <c r="B480" s="780" t="s">
        <v>1471</v>
      </c>
      <c r="C480" s="768">
        <v>250000</v>
      </c>
      <c r="D480" s="768">
        <f>250000+(379000+50000)</f>
        <v>679000</v>
      </c>
      <c r="E480" s="722">
        <v>35000</v>
      </c>
      <c r="F480" s="722"/>
      <c r="G480" s="643">
        <f t="shared" si="57"/>
        <v>14.000000000000002</v>
      </c>
      <c r="H480" s="659">
        <f t="shared" si="56"/>
        <v>5.1546391752577314</v>
      </c>
      <c r="I480" s="664">
        <f t="shared" si="58"/>
        <v>1157.0247933884298</v>
      </c>
      <c r="J480" s="29">
        <v>3025</v>
      </c>
    </row>
    <row r="481" spans="1:248" x14ac:dyDescent="0.2">
      <c r="A481" s="918" t="s">
        <v>1472</v>
      </c>
      <c r="B481" s="780" t="s">
        <v>1473</v>
      </c>
      <c r="C481" s="768">
        <v>250000</v>
      </c>
      <c r="D481" s="768">
        <f>250000+379000-27150</f>
        <v>601850</v>
      </c>
      <c r="E481" s="722">
        <v>0</v>
      </c>
      <c r="F481" s="722"/>
      <c r="G481" s="643">
        <f t="shared" si="57"/>
        <v>0</v>
      </c>
      <c r="H481" s="659">
        <f t="shared" si="56"/>
        <v>0</v>
      </c>
      <c r="I481" s="660">
        <v>0</v>
      </c>
      <c r="J481" s="29">
        <v>0</v>
      </c>
    </row>
    <row r="482" spans="1:248" x14ac:dyDescent="0.2">
      <c r="A482" s="846" t="s">
        <v>1474</v>
      </c>
      <c r="B482" s="780" t="s">
        <v>1475</v>
      </c>
      <c r="C482" s="768">
        <v>300000</v>
      </c>
      <c r="D482" s="768">
        <f>300000+27150</f>
        <v>327150</v>
      </c>
      <c r="E482" s="722">
        <v>327149</v>
      </c>
      <c r="F482" s="722"/>
      <c r="G482" s="643">
        <f t="shared" si="57"/>
        <v>109.04966666666667</v>
      </c>
      <c r="H482" s="659">
        <f t="shared" si="56"/>
        <v>99.999694329818126</v>
      </c>
      <c r="I482" s="660">
        <v>0</v>
      </c>
      <c r="J482" s="29">
        <v>0</v>
      </c>
    </row>
    <row r="483" spans="1:248" x14ac:dyDescent="0.2">
      <c r="A483" s="779">
        <v>3326</v>
      </c>
      <c r="B483" s="920" t="s">
        <v>1476</v>
      </c>
      <c r="C483" s="921">
        <f>SUM(C484)</f>
        <v>1600000</v>
      </c>
      <c r="D483" s="921">
        <f>SUM(D484)</f>
        <v>1441189.45</v>
      </c>
      <c r="E483" s="934">
        <v>1441189.45</v>
      </c>
      <c r="F483" s="902"/>
      <c r="G483" s="642">
        <f t="shared" si="57"/>
        <v>90.074340624999991</v>
      </c>
      <c r="H483" s="644">
        <f t="shared" si="56"/>
        <v>100</v>
      </c>
      <c r="I483" s="645">
        <v>0</v>
      </c>
      <c r="J483" s="29">
        <v>0</v>
      </c>
    </row>
    <row r="484" spans="1:248" x14ac:dyDescent="0.2">
      <c r="A484" s="846" t="s">
        <v>1894</v>
      </c>
      <c r="B484" s="780" t="s">
        <v>1478</v>
      </c>
      <c r="C484" s="768">
        <v>1600000</v>
      </c>
      <c r="D484" s="768">
        <f>1600000+(-65328.6-93481.95)</f>
        <v>1441189.45</v>
      </c>
      <c r="E484" s="722">
        <v>1141189.45</v>
      </c>
      <c r="F484" s="722"/>
      <c r="G484" s="643">
        <f t="shared" si="57"/>
        <v>71.324340624999991</v>
      </c>
      <c r="H484" s="659">
        <f t="shared" si="56"/>
        <v>79.183860942085033</v>
      </c>
      <c r="I484" s="660">
        <v>0</v>
      </c>
      <c r="J484" s="29">
        <v>0</v>
      </c>
    </row>
    <row r="485" spans="1:248" x14ac:dyDescent="0.2">
      <c r="A485" s="779">
        <v>3392</v>
      </c>
      <c r="B485" s="920" t="s">
        <v>1479</v>
      </c>
      <c r="C485" s="921">
        <f>SUM(C486:C489)</f>
        <v>1405000</v>
      </c>
      <c r="D485" s="921">
        <f>SUM(D486:D489)</f>
        <v>1565000</v>
      </c>
      <c r="E485" s="934">
        <v>1037095</v>
      </c>
      <c r="F485" s="902">
        <f>SUM(E486:E489)</f>
        <v>1037095</v>
      </c>
      <c r="G485" s="642">
        <f t="shared" si="57"/>
        <v>73.814590747330968</v>
      </c>
      <c r="H485" s="644">
        <f t="shared" si="56"/>
        <v>66.268051118210863</v>
      </c>
      <c r="I485" s="651">
        <f t="shared" si="58"/>
        <v>375.71021564298087</v>
      </c>
      <c r="J485" s="29">
        <v>276035.88</v>
      </c>
    </row>
    <row r="486" spans="1:248" x14ac:dyDescent="0.2">
      <c r="A486" s="918" t="s">
        <v>1480</v>
      </c>
      <c r="B486" s="780" t="s">
        <v>1481</v>
      </c>
      <c r="C486" s="768">
        <v>750000</v>
      </c>
      <c r="D486" s="768">
        <f>750000-6000</f>
        <v>744000</v>
      </c>
      <c r="E486" s="722">
        <v>698170</v>
      </c>
      <c r="F486" s="722"/>
      <c r="G486" s="643">
        <f t="shared" si="57"/>
        <v>93.089333333333329</v>
      </c>
      <c r="H486" s="659">
        <f t="shared" si="56"/>
        <v>93.840053763440849</v>
      </c>
      <c r="I486" s="660">
        <v>0</v>
      </c>
      <c r="J486" s="29">
        <v>0</v>
      </c>
    </row>
    <row r="487" spans="1:248" x14ac:dyDescent="0.2">
      <c r="A487" s="918" t="s">
        <v>1482</v>
      </c>
      <c r="B487" s="780" t="s">
        <v>1483</v>
      </c>
      <c r="C487" s="768">
        <v>5000</v>
      </c>
      <c r="D487" s="768">
        <v>5000</v>
      </c>
      <c r="E487" s="722">
        <v>0</v>
      </c>
      <c r="F487" s="722"/>
      <c r="G487" s="643">
        <f t="shared" si="57"/>
        <v>0</v>
      </c>
      <c r="H487" s="659">
        <f t="shared" si="56"/>
        <v>0</v>
      </c>
      <c r="I487" s="660">
        <v>0</v>
      </c>
      <c r="J487" s="29">
        <v>0</v>
      </c>
    </row>
    <row r="488" spans="1:248" x14ac:dyDescent="0.2">
      <c r="A488" s="846" t="s">
        <v>1484</v>
      </c>
      <c r="B488" s="780" t="s">
        <v>1485</v>
      </c>
      <c r="C488" s="768">
        <v>150000</v>
      </c>
      <c r="D488" s="768">
        <f>150000+6000</f>
        <v>156000</v>
      </c>
      <c r="E488" s="902">
        <v>156000</v>
      </c>
      <c r="F488" s="902"/>
      <c r="G488" s="643">
        <f t="shared" si="57"/>
        <v>104</v>
      </c>
      <c r="H488" s="659">
        <f t="shared" si="56"/>
        <v>100</v>
      </c>
      <c r="I488" s="660">
        <v>0</v>
      </c>
      <c r="J488" s="29">
        <v>0</v>
      </c>
    </row>
    <row r="489" spans="1:248" x14ac:dyDescent="0.2">
      <c r="A489" s="935" t="s">
        <v>1486</v>
      </c>
      <c r="B489" s="936" t="s">
        <v>1487</v>
      </c>
      <c r="C489" s="937">
        <v>500000</v>
      </c>
      <c r="D489" s="937">
        <f>500000+160000</f>
        <v>660000</v>
      </c>
      <c r="E489" s="902">
        <v>182925</v>
      </c>
      <c r="F489" s="902"/>
      <c r="G489" s="643">
        <f t="shared" si="57"/>
        <v>36.585000000000001</v>
      </c>
      <c r="H489" s="659">
        <f t="shared" si="56"/>
        <v>27.71590909090909</v>
      </c>
      <c r="I489" s="660">
        <v>0</v>
      </c>
      <c r="J489" s="29">
        <v>0</v>
      </c>
    </row>
    <row r="490" spans="1:248" ht="15.75" x14ac:dyDescent="0.25">
      <c r="A490" s="938"/>
      <c r="B490" s="939" t="s">
        <v>1488</v>
      </c>
      <c r="C490" s="924">
        <f t="shared" ref="C490:D490" si="61">SUM(C491)</f>
        <v>8650000</v>
      </c>
      <c r="D490" s="924">
        <f t="shared" si="61"/>
        <v>13150000</v>
      </c>
      <c r="E490" s="891">
        <v>1878114.06</v>
      </c>
      <c r="F490" s="940"/>
      <c r="G490" s="788">
        <f t="shared" si="57"/>
        <v>21.712301271676303</v>
      </c>
      <c r="H490" s="788">
        <f t="shared" si="56"/>
        <v>14.282236197718632</v>
      </c>
      <c r="I490" s="826">
        <f t="shared" si="58"/>
        <v>26.809865153126328</v>
      </c>
      <c r="J490" s="29">
        <v>7005309.6100000003</v>
      </c>
    </row>
    <row r="491" spans="1:248" x14ac:dyDescent="0.2">
      <c r="A491" s="941">
        <v>6171</v>
      </c>
      <c r="B491" s="942" t="s">
        <v>1489</v>
      </c>
      <c r="C491" s="943">
        <f>SUM(C492:C494)</f>
        <v>8650000</v>
      </c>
      <c r="D491" s="943">
        <f>SUM(D492:D494)</f>
        <v>13150000</v>
      </c>
      <c r="E491" s="895">
        <v>1878114.06</v>
      </c>
      <c r="F491" s="905">
        <f>SUM(E492:E494)</f>
        <v>1878114.06</v>
      </c>
      <c r="G491" s="642">
        <f t="shared" si="57"/>
        <v>21.712301271676303</v>
      </c>
      <c r="H491" s="644">
        <f t="shared" si="56"/>
        <v>14.282236197718632</v>
      </c>
      <c r="I491" s="645">
        <f t="shared" si="58"/>
        <v>26.809865153126328</v>
      </c>
      <c r="J491" s="29">
        <v>7005309.6100000003</v>
      </c>
    </row>
    <row r="492" spans="1:248" x14ac:dyDescent="0.2">
      <c r="A492" s="846" t="s">
        <v>1490</v>
      </c>
      <c r="B492" s="897" t="s">
        <v>1491</v>
      </c>
      <c r="C492" s="722">
        <v>0</v>
      </c>
      <c r="D492" s="722">
        <v>150470</v>
      </c>
      <c r="E492" s="722">
        <v>150470</v>
      </c>
      <c r="F492" s="722"/>
      <c r="G492" s="643">
        <v>0</v>
      </c>
      <c r="H492" s="659">
        <f t="shared" si="56"/>
        <v>100</v>
      </c>
      <c r="I492" s="664">
        <f t="shared" si="58"/>
        <v>6.517520682635249</v>
      </c>
      <c r="J492" s="29">
        <v>2308700</v>
      </c>
    </row>
    <row r="493" spans="1:248" x14ac:dyDescent="0.2">
      <c r="A493" s="846" t="s">
        <v>1492</v>
      </c>
      <c r="B493" s="897" t="s">
        <v>1493</v>
      </c>
      <c r="C493" s="722">
        <v>8300000</v>
      </c>
      <c r="D493" s="722">
        <f>8300000-20000-150470+4500000</f>
        <v>12629530</v>
      </c>
      <c r="E493" s="722">
        <v>1370694.06</v>
      </c>
      <c r="F493" s="722"/>
      <c r="G493" s="643">
        <f t="shared" si="57"/>
        <v>16.514386265060242</v>
      </c>
      <c r="H493" s="659">
        <f t="shared" si="56"/>
        <v>10.853088436386786</v>
      </c>
      <c r="I493" s="664">
        <f t="shared" si="58"/>
        <v>2832.0125206611569</v>
      </c>
      <c r="J493" s="29">
        <v>48400</v>
      </c>
    </row>
    <row r="494" spans="1:248" x14ac:dyDescent="0.2">
      <c r="A494" s="876" t="s">
        <v>1494</v>
      </c>
      <c r="B494" s="901" t="s">
        <v>1495</v>
      </c>
      <c r="C494" s="725">
        <v>350000</v>
      </c>
      <c r="D494" s="725">
        <f>350000+20000</f>
        <v>370000</v>
      </c>
      <c r="E494" s="725">
        <v>356950</v>
      </c>
      <c r="F494" s="725"/>
      <c r="G494" s="643">
        <f t="shared" si="57"/>
        <v>101.98571428571428</v>
      </c>
      <c r="H494" s="659">
        <f t="shared" si="56"/>
        <v>96.472972972972968</v>
      </c>
      <c r="I494" s="664">
        <f t="shared" si="58"/>
        <v>590</v>
      </c>
      <c r="J494" s="29">
        <v>60500</v>
      </c>
    </row>
    <row r="495" spans="1:248" s="944" customFormat="1" ht="15.75" x14ac:dyDescent="0.25">
      <c r="A495" s="931"/>
      <c r="B495" s="945" t="s">
        <v>1496</v>
      </c>
      <c r="C495" s="891">
        <f>SUM(C505,C496,C498,C500,C503)</f>
        <v>5955000</v>
      </c>
      <c r="D495" s="891">
        <f>SUM(D505,D496,D498,D500,D503)</f>
        <v>7485000</v>
      </c>
      <c r="E495" s="891">
        <v>5109394.7300000004</v>
      </c>
      <c r="F495" s="933">
        <f>SUM(E505,E496,E498,E500,E503)</f>
        <v>5109394.7300000004</v>
      </c>
      <c r="G495" s="788">
        <f t="shared" si="57"/>
        <v>85.800079429051223</v>
      </c>
      <c r="H495" s="788">
        <f t="shared" si="56"/>
        <v>68.261786639946564</v>
      </c>
      <c r="I495" s="826">
        <f t="shared" si="58"/>
        <v>257.66749724604779</v>
      </c>
      <c r="J495" s="29">
        <v>1982941.11</v>
      </c>
      <c r="K495" s="1"/>
      <c r="L495" s="1"/>
      <c r="M495" s="1"/>
      <c r="N495" s="1"/>
      <c r="O495" s="1"/>
      <c r="P495" s="1"/>
      <c r="Q495" s="1"/>
      <c r="R495" s="1"/>
      <c r="S495" s="1"/>
      <c r="T495" s="1"/>
      <c r="U495" s="1"/>
      <c r="V495" s="1"/>
      <c r="W495" s="1"/>
      <c r="X495" s="1"/>
      <c r="Y495" s="1"/>
      <c r="Z495" s="1"/>
      <c r="AA495" s="1"/>
      <c r="AB495" s="1"/>
      <c r="AC495" s="1"/>
      <c r="AD495" s="1"/>
      <c r="AE495" s="1"/>
      <c r="AF495" s="1"/>
      <c r="A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row>
    <row r="496" spans="1:248" s="98" customFormat="1" x14ac:dyDescent="0.2">
      <c r="A496" s="683">
        <v>2321</v>
      </c>
      <c r="B496" s="949" t="s">
        <v>1215</v>
      </c>
      <c r="C496" s="899">
        <f t="shared" ref="C496:D498" si="62">SUM(C497:C497)</f>
        <v>250000</v>
      </c>
      <c r="D496" s="899">
        <f t="shared" si="62"/>
        <v>250000</v>
      </c>
      <c r="E496" s="899">
        <v>0</v>
      </c>
      <c r="F496" s="722"/>
      <c r="G496" s="643">
        <f t="shared" si="57"/>
        <v>0</v>
      </c>
      <c r="H496" s="659">
        <f t="shared" si="56"/>
        <v>0</v>
      </c>
      <c r="I496" s="660">
        <v>0</v>
      </c>
      <c r="J496" s="29">
        <v>0</v>
      </c>
    </row>
    <row r="497" spans="1:248" s="951" customFormat="1" x14ac:dyDescent="0.2">
      <c r="A497" s="952" t="s">
        <v>1500</v>
      </c>
      <c r="B497" s="874" t="s">
        <v>1501</v>
      </c>
      <c r="C497" s="902">
        <v>250000</v>
      </c>
      <c r="D497" s="902">
        <v>250000</v>
      </c>
      <c r="E497" s="722">
        <v>0</v>
      </c>
      <c r="F497" s="722"/>
      <c r="G497" s="643">
        <f t="shared" si="57"/>
        <v>0</v>
      </c>
      <c r="H497" s="659">
        <f t="shared" si="56"/>
        <v>0</v>
      </c>
      <c r="I497" s="660">
        <v>0</v>
      </c>
      <c r="J497" s="29">
        <v>0</v>
      </c>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row>
    <row r="498" spans="1:248" ht="13.5" customHeight="1" x14ac:dyDescent="0.2">
      <c r="A498" s="953">
        <v>3612</v>
      </c>
      <c r="B498" s="954" t="s">
        <v>1502</v>
      </c>
      <c r="C498" s="955">
        <f t="shared" si="62"/>
        <v>400000</v>
      </c>
      <c r="D498" s="955">
        <f t="shared" si="62"/>
        <v>400000</v>
      </c>
      <c r="E498" s="899">
        <v>12000</v>
      </c>
      <c r="F498" s="900"/>
      <c r="G498" s="642">
        <f t="shared" si="57"/>
        <v>3</v>
      </c>
      <c r="H498" s="644">
        <f t="shared" si="56"/>
        <v>3</v>
      </c>
      <c r="I498" s="645">
        <v>0</v>
      </c>
      <c r="J498" s="29">
        <v>0</v>
      </c>
    </row>
    <row r="499" spans="1:248" x14ac:dyDescent="0.2">
      <c r="A499" s="846"/>
      <c r="B499" s="874" t="s">
        <v>1503</v>
      </c>
      <c r="C499" s="837">
        <v>400000</v>
      </c>
      <c r="D499" s="837">
        <v>400000</v>
      </c>
      <c r="E499" s="722">
        <v>12000</v>
      </c>
      <c r="F499" s="722"/>
      <c r="G499" s="643">
        <f t="shared" si="57"/>
        <v>3</v>
      </c>
      <c r="H499" s="659">
        <f t="shared" si="56"/>
        <v>3</v>
      </c>
      <c r="I499" s="660">
        <v>0</v>
      </c>
      <c r="J499" s="29">
        <v>0</v>
      </c>
    </row>
    <row r="500" spans="1:248" x14ac:dyDescent="0.2">
      <c r="A500" s="956">
        <v>3613</v>
      </c>
      <c r="B500" s="957" t="s">
        <v>1277</v>
      </c>
      <c r="C500" s="934">
        <f t="shared" ref="C500:D500" si="63">SUM(C501:C502)</f>
        <v>700000</v>
      </c>
      <c r="D500" s="934">
        <f t="shared" si="63"/>
        <v>630000</v>
      </c>
      <c r="E500" s="899">
        <v>170000</v>
      </c>
      <c r="F500" s="722"/>
      <c r="G500" s="643">
        <f t="shared" si="57"/>
        <v>24.285714285714285</v>
      </c>
      <c r="H500" s="659">
        <f t="shared" si="56"/>
        <v>26.984126984126984</v>
      </c>
      <c r="I500" s="660">
        <v>0</v>
      </c>
      <c r="J500" s="29">
        <v>0</v>
      </c>
    </row>
    <row r="501" spans="1:248" x14ac:dyDescent="0.2">
      <c r="A501" s="958" t="s">
        <v>1504</v>
      </c>
      <c r="B501" s="706" t="s">
        <v>1505</v>
      </c>
      <c r="C501" s="722">
        <v>400000</v>
      </c>
      <c r="D501" s="722">
        <f>400000-70000</f>
        <v>330000</v>
      </c>
      <c r="E501" s="722">
        <v>170000</v>
      </c>
      <c r="F501" s="722"/>
      <c r="G501" s="643">
        <f t="shared" si="57"/>
        <v>42.5</v>
      </c>
      <c r="H501" s="659">
        <f t="shared" si="56"/>
        <v>51.515151515151516</v>
      </c>
      <c r="I501" s="660">
        <v>0</v>
      </c>
      <c r="J501" s="29">
        <v>0</v>
      </c>
    </row>
    <row r="502" spans="1:248" s="951" customFormat="1" x14ac:dyDescent="0.2">
      <c r="A502" s="958" t="s">
        <v>1506</v>
      </c>
      <c r="B502" s="706" t="s">
        <v>1507</v>
      </c>
      <c r="C502" s="722">
        <v>300000</v>
      </c>
      <c r="D502" s="722">
        <v>300000</v>
      </c>
      <c r="E502" s="722">
        <v>0</v>
      </c>
      <c r="F502" s="722"/>
      <c r="G502" s="643">
        <f t="shared" si="57"/>
        <v>0</v>
      </c>
      <c r="H502" s="659">
        <f t="shared" si="56"/>
        <v>0</v>
      </c>
      <c r="I502" s="660">
        <v>0</v>
      </c>
      <c r="J502" s="29">
        <v>0</v>
      </c>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row>
    <row r="503" spans="1:248" x14ac:dyDescent="0.2">
      <c r="A503" s="959">
        <v>3722</v>
      </c>
      <c r="B503" s="960" t="s">
        <v>1508</v>
      </c>
      <c r="C503" s="899">
        <f t="shared" ref="C503:D505" si="64">SUM(C504:C504)</f>
        <v>4600000</v>
      </c>
      <c r="D503" s="899">
        <f t="shared" si="64"/>
        <v>6200000</v>
      </c>
      <c r="E503" s="899">
        <v>4927394.7300000004</v>
      </c>
      <c r="F503" s="722"/>
      <c r="G503" s="642">
        <f t="shared" si="57"/>
        <v>107.11727673913045</v>
      </c>
      <c r="H503" s="644">
        <f t="shared" si="56"/>
        <v>79.474108548387107</v>
      </c>
      <c r="I503" s="651">
        <f t="shared" si="58"/>
        <v>50902.83811983472</v>
      </c>
      <c r="J503" s="29">
        <v>9680</v>
      </c>
    </row>
    <row r="504" spans="1:248" x14ac:dyDescent="0.2">
      <c r="A504" s="846" t="s">
        <v>1509</v>
      </c>
      <c r="B504" s="706" t="s">
        <v>1510</v>
      </c>
      <c r="C504" s="722">
        <v>4600000</v>
      </c>
      <c r="D504" s="722">
        <f>4600000+1600000</f>
        <v>6200000</v>
      </c>
      <c r="E504" s="722">
        <v>4927394.7300000004</v>
      </c>
      <c r="F504" s="722"/>
      <c r="G504" s="643">
        <f t="shared" si="57"/>
        <v>107.11727673913045</v>
      </c>
      <c r="H504" s="659">
        <f t="shared" si="56"/>
        <v>79.474108548387107</v>
      </c>
      <c r="I504" s="664">
        <f t="shared" si="58"/>
        <v>50902.83811983472</v>
      </c>
      <c r="J504" s="29">
        <v>9680</v>
      </c>
    </row>
    <row r="505" spans="1:248" s="946" customFormat="1" x14ac:dyDescent="0.2">
      <c r="A505" s="769">
        <v>3745</v>
      </c>
      <c r="B505" s="769" t="s">
        <v>1497</v>
      </c>
      <c r="C505" s="899">
        <f t="shared" si="64"/>
        <v>5000</v>
      </c>
      <c r="D505" s="899">
        <f>SUM(D506:D506)</f>
        <v>5000</v>
      </c>
      <c r="E505" s="899">
        <v>0</v>
      </c>
      <c r="F505" s="900"/>
      <c r="G505" s="642">
        <f t="shared" si="57"/>
        <v>0</v>
      </c>
      <c r="H505" s="644">
        <f t="shared" si="56"/>
        <v>0</v>
      </c>
      <c r="I505" s="645">
        <v>0</v>
      </c>
      <c r="J505" s="29">
        <v>1973261.11</v>
      </c>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row>
    <row r="506" spans="1:248" s="944" customFormat="1" x14ac:dyDescent="0.2">
      <c r="A506" s="1216" t="s">
        <v>1498</v>
      </c>
      <c r="B506" s="948" t="s">
        <v>1499</v>
      </c>
      <c r="C506" s="722">
        <v>5000</v>
      </c>
      <c r="D506" s="722">
        <v>5000</v>
      </c>
      <c r="E506" s="722">
        <v>0</v>
      </c>
      <c r="F506" s="722"/>
      <c r="G506" s="643">
        <f t="shared" si="57"/>
        <v>0</v>
      </c>
      <c r="H506" s="659">
        <f t="shared" si="56"/>
        <v>0</v>
      </c>
      <c r="I506" s="660">
        <v>0</v>
      </c>
      <c r="J506" s="29">
        <v>219615</v>
      </c>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row>
    <row r="507" spans="1:248" ht="15.75" x14ac:dyDescent="0.25">
      <c r="A507" s="903"/>
      <c r="B507" s="904" t="s">
        <v>1511</v>
      </c>
      <c r="C507" s="911">
        <f>SUM(C513,C508,C527,C535,C541,C543)</f>
        <v>76802000</v>
      </c>
      <c r="D507" s="911">
        <f>SUM(D513,D508,D527,D535,D541,D543)</f>
        <v>54242000</v>
      </c>
      <c r="E507" s="911">
        <v>34680677.969999999</v>
      </c>
      <c r="F507" s="963">
        <f>SUM(E508,E513,E527,E535,E541,E543)</f>
        <v>34680677.969999999</v>
      </c>
      <c r="G507" s="788">
        <f t="shared" si="57"/>
        <v>45.155956837061531</v>
      </c>
      <c r="H507" s="788">
        <f t="shared" si="56"/>
        <v>63.936945485048483</v>
      </c>
      <c r="I507" s="826">
        <f t="shared" si="58"/>
        <v>85.596836383225721</v>
      </c>
      <c r="J507" s="29">
        <v>40516308.119999997</v>
      </c>
    </row>
    <row r="508" spans="1:248" x14ac:dyDescent="0.2">
      <c r="A508" s="964">
        <v>3412</v>
      </c>
      <c r="B508" s="965" t="s">
        <v>1512</v>
      </c>
      <c r="C508" s="966">
        <f>SUM(C509:C512)</f>
        <v>22500000</v>
      </c>
      <c r="D508" s="966">
        <f>SUM(D509:D512)</f>
        <v>3500000</v>
      </c>
      <c r="E508" s="966">
        <v>625570</v>
      </c>
      <c r="F508" s="967">
        <f>SUM(E509:E512)</f>
        <v>625570</v>
      </c>
      <c r="G508" s="642">
        <f t="shared" si="57"/>
        <v>2.7803111111111112</v>
      </c>
      <c r="H508" s="644">
        <f t="shared" si="56"/>
        <v>17.873428571428569</v>
      </c>
      <c r="I508" s="651">
        <f t="shared" si="58"/>
        <v>48.860079741818332</v>
      </c>
      <c r="J508" s="29">
        <v>1280329.47</v>
      </c>
    </row>
    <row r="509" spans="1:248" x14ac:dyDescent="0.2">
      <c r="A509" s="846" t="s">
        <v>1513</v>
      </c>
      <c r="B509" s="968" t="s">
        <v>1514</v>
      </c>
      <c r="C509" s="969">
        <v>20000000</v>
      </c>
      <c r="D509" s="969">
        <f>20000000-19000000</f>
        <v>1000000</v>
      </c>
      <c r="E509" s="969">
        <v>408980</v>
      </c>
      <c r="F509" s="969"/>
      <c r="G509" s="643">
        <f t="shared" si="57"/>
        <v>2.0448999999999997</v>
      </c>
      <c r="H509" s="659">
        <f t="shared" si="56"/>
        <v>40.898000000000003</v>
      </c>
      <c r="I509" s="664">
        <f t="shared" si="58"/>
        <v>338</v>
      </c>
      <c r="J509" s="29">
        <v>121000</v>
      </c>
    </row>
    <row r="510" spans="1:248" x14ac:dyDescent="0.2">
      <c r="A510" s="846" t="s">
        <v>1515</v>
      </c>
      <c r="B510" s="968" t="s">
        <v>1516</v>
      </c>
      <c r="C510" s="969">
        <v>700000</v>
      </c>
      <c r="D510" s="969">
        <v>700000</v>
      </c>
      <c r="E510" s="969">
        <v>0</v>
      </c>
      <c r="F510" s="969"/>
      <c r="G510" s="643">
        <f t="shared" si="57"/>
        <v>0</v>
      </c>
      <c r="H510" s="659">
        <f t="shared" si="56"/>
        <v>0</v>
      </c>
      <c r="I510" s="660">
        <v>0</v>
      </c>
      <c r="J510" s="29">
        <v>0</v>
      </c>
    </row>
    <row r="511" spans="1:248" x14ac:dyDescent="0.2">
      <c r="A511" s="846" t="s">
        <v>1517</v>
      </c>
      <c r="B511" s="968" t="s">
        <v>1518</v>
      </c>
      <c r="C511" s="969">
        <v>500000</v>
      </c>
      <c r="D511" s="969">
        <v>500000</v>
      </c>
      <c r="E511" s="969">
        <v>216590</v>
      </c>
      <c r="F511" s="969"/>
      <c r="G511" s="643">
        <f t="shared" si="57"/>
        <v>43.317999999999998</v>
      </c>
      <c r="H511" s="659">
        <f t="shared" si="56"/>
        <v>43.317999999999998</v>
      </c>
      <c r="I511" s="660">
        <v>0</v>
      </c>
      <c r="J511" s="29">
        <v>0</v>
      </c>
    </row>
    <row r="512" spans="1:248" x14ac:dyDescent="0.2">
      <c r="A512" s="846" t="s">
        <v>1519</v>
      </c>
      <c r="B512" s="968" t="s">
        <v>1520</v>
      </c>
      <c r="C512" s="969">
        <v>1300000</v>
      </c>
      <c r="D512" s="969">
        <v>1300000</v>
      </c>
      <c r="E512" s="722">
        <v>0</v>
      </c>
      <c r="F512" s="722"/>
      <c r="G512" s="643">
        <f t="shared" si="57"/>
        <v>0</v>
      </c>
      <c r="H512" s="659">
        <f t="shared" si="56"/>
        <v>0</v>
      </c>
      <c r="I512" s="660">
        <v>0</v>
      </c>
      <c r="J512" s="29">
        <v>0</v>
      </c>
    </row>
    <row r="513" spans="1:10" x14ac:dyDescent="0.2">
      <c r="A513" s="769">
        <v>3612</v>
      </c>
      <c r="B513" s="898" t="s">
        <v>1502</v>
      </c>
      <c r="C513" s="970">
        <f>SUM(C514:C526)</f>
        <v>22660000</v>
      </c>
      <c r="D513" s="970">
        <f>SUM(D514:D526)</f>
        <v>19600000</v>
      </c>
      <c r="E513" s="899">
        <v>13937611.17</v>
      </c>
      <c r="F513" s="722">
        <f>SUM(E514:E526)</f>
        <v>13937611.17</v>
      </c>
      <c r="G513" s="642">
        <f t="shared" si="57"/>
        <v>61.507551500441302</v>
      </c>
      <c r="H513" s="644">
        <f t="shared" si="56"/>
        <v>71.110261071428567</v>
      </c>
      <c r="I513" s="651">
        <f t="shared" si="58"/>
        <v>355.69040026586316</v>
      </c>
      <c r="J513" s="29">
        <v>3918467.06</v>
      </c>
    </row>
    <row r="514" spans="1:10" x14ac:dyDescent="0.2">
      <c r="A514" s="846" t="s">
        <v>1521</v>
      </c>
      <c r="B514" s="847" t="s">
        <v>1522</v>
      </c>
      <c r="C514" s="722">
        <v>10000</v>
      </c>
      <c r="D514" s="722">
        <v>10000</v>
      </c>
      <c r="E514" s="722">
        <v>0</v>
      </c>
      <c r="F514" s="722"/>
      <c r="G514" s="643">
        <f t="shared" si="57"/>
        <v>0</v>
      </c>
      <c r="H514" s="659">
        <f t="shared" si="56"/>
        <v>0</v>
      </c>
      <c r="I514" s="660">
        <v>0</v>
      </c>
      <c r="J514" s="29">
        <v>323000</v>
      </c>
    </row>
    <row r="515" spans="1:10" x14ac:dyDescent="0.2">
      <c r="A515" s="846" t="s">
        <v>1523</v>
      </c>
      <c r="B515" s="847" t="s">
        <v>1524</v>
      </c>
      <c r="C515" s="722">
        <v>8800000</v>
      </c>
      <c r="D515" s="722">
        <f>8800000-1000000</f>
        <v>7800000</v>
      </c>
      <c r="E515" s="722">
        <v>7306037.1699999999</v>
      </c>
      <c r="F515" s="722"/>
      <c r="G515" s="643">
        <f t="shared" si="57"/>
        <v>83.023149659090905</v>
      </c>
      <c r="H515" s="659">
        <f t="shared" si="56"/>
        <v>93.667143205128198</v>
      </c>
      <c r="I515" s="664">
        <f t="shared" si="58"/>
        <v>2276.0240404984424</v>
      </c>
      <c r="J515" s="29">
        <v>321000</v>
      </c>
    </row>
    <row r="516" spans="1:10" x14ac:dyDescent="0.2">
      <c r="A516" s="846" t="s">
        <v>1525</v>
      </c>
      <c r="B516" s="897" t="s">
        <v>1526</v>
      </c>
      <c r="C516" s="722">
        <v>400000</v>
      </c>
      <c r="D516" s="722">
        <v>400000</v>
      </c>
      <c r="E516" s="722">
        <v>393250</v>
      </c>
      <c r="F516" s="722"/>
      <c r="G516" s="643">
        <f t="shared" si="57"/>
        <v>98.3125</v>
      </c>
      <c r="H516" s="659">
        <f t="shared" si="56"/>
        <v>98.3125</v>
      </c>
      <c r="I516" s="664">
        <f t="shared" si="58"/>
        <v>28.106345663824822</v>
      </c>
      <c r="J516" s="29">
        <v>1399150.23</v>
      </c>
    </row>
    <row r="517" spans="1:10" x14ac:dyDescent="0.2">
      <c r="A517" s="846" t="s">
        <v>1527</v>
      </c>
      <c r="B517" s="897" t="s">
        <v>1528</v>
      </c>
      <c r="C517" s="722">
        <v>500000</v>
      </c>
      <c r="D517" s="722">
        <v>500000</v>
      </c>
      <c r="E517" s="722">
        <v>335500</v>
      </c>
      <c r="F517" s="900"/>
      <c r="G517" s="643">
        <f t="shared" si="57"/>
        <v>67.100000000000009</v>
      </c>
      <c r="H517" s="659">
        <f t="shared" si="56"/>
        <v>67.100000000000009</v>
      </c>
      <c r="I517" s="660">
        <v>0</v>
      </c>
      <c r="J517" s="29">
        <v>0</v>
      </c>
    </row>
    <row r="518" spans="1:10" x14ac:dyDescent="0.2">
      <c r="A518" s="846" t="s">
        <v>1529</v>
      </c>
      <c r="B518" s="897" t="s">
        <v>1530</v>
      </c>
      <c r="C518" s="722">
        <v>550000</v>
      </c>
      <c r="D518" s="722">
        <f>550000-550000</f>
        <v>0</v>
      </c>
      <c r="E518" s="722">
        <v>0</v>
      </c>
      <c r="F518" s="722"/>
      <c r="G518" s="643">
        <f t="shared" si="57"/>
        <v>0</v>
      </c>
      <c r="H518" s="659">
        <v>0</v>
      </c>
      <c r="I518" s="660">
        <v>0</v>
      </c>
      <c r="J518" s="29">
        <v>0</v>
      </c>
    </row>
    <row r="519" spans="1:10" x14ac:dyDescent="0.2">
      <c r="A519" s="846" t="s">
        <v>1531</v>
      </c>
      <c r="B519" s="897" t="s">
        <v>1532</v>
      </c>
      <c r="C519" s="722">
        <v>450000</v>
      </c>
      <c r="D519" s="722">
        <v>450000</v>
      </c>
      <c r="E519" s="722">
        <v>0</v>
      </c>
      <c r="F519" s="722"/>
      <c r="G519" s="643">
        <f t="shared" si="57"/>
        <v>0</v>
      </c>
      <c r="H519" s="659">
        <f t="shared" ref="H519:H582" si="65">E519/D519*100</f>
        <v>0</v>
      </c>
      <c r="I519" s="660">
        <v>0</v>
      </c>
      <c r="J519" s="29">
        <v>0</v>
      </c>
    </row>
    <row r="520" spans="1:10" x14ac:dyDescent="0.2">
      <c r="A520" s="846" t="s">
        <v>1533</v>
      </c>
      <c r="B520" s="897" t="s">
        <v>1534</v>
      </c>
      <c r="C520" s="722">
        <v>450000</v>
      </c>
      <c r="D520" s="722">
        <v>450000</v>
      </c>
      <c r="E520" s="722">
        <v>0</v>
      </c>
      <c r="F520" s="722"/>
      <c r="G520" s="643">
        <f t="shared" si="57"/>
        <v>0</v>
      </c>
      <c r="H520" s="659">
        <f t="shared" si="65"/>
        <v>0</v>
      </c>
      <c r="I520" s="660">
        <v>0</v>
      </c>
      <c r="J520" s="29">
        <v>0</v>
      </c>
    </row>
    <row r="521" spans="1:10" x14ac:dyDescent="0.2">
      <c r="A521" s="846" t="s">
        <v>1535</v>
      </c>
      <c r="B521" s="971" t="s">
        <v>1536</v>
      </c>
      <c r="C521" s="722">
        <v>400000</v>
      </c>
      <c r="D521" s="722">
        <v>400000</v>
      </c>
      <c r="E521" s="722">
        <v>99220</v>
      </c>
      <c r="F521" s="722"/>
      <c r="G521" s="643">
        <f t="shared" si="57"/>
        <v>24.805</v>
      </c>
      <c r="H521" s="659">
        <f t="shared" si="65"/>
        <v>24.805</v>
      </c>
      <c r="I521" s="660">
        <v>0</v>
      </c>
      <c r="J521" s="29">
        <v>0</v>
      </c>
    </row>
    <row r="522" spans="1:10" x14ac:dyDescent="0.2">
      <c r="A522" s="846" t="s">
        <v>1537</v>
      </c>
      <c r="B522" s="971" t="s">
        <v>1538</v>
      </c>
      <c r="C522" s="722">
        <v>300000</v>
      </c>
      <c r="D522" s="722">
        <v>300000</v>
      </c>
      <c r="E522" s="722">
        <v>235000</v>
      </c>
      <c r="F522" s="722"/>
      <c r="G522" s="643">
        <f t="shared" ref="G522:G585" si="66">E522/C522*100</f>
        <v>78.333333333333329</v>
      </c>
      <c r="H522" s="659">
        <f t="shared" si="65"/>
        <v>78.333333333333329</v>
      </c>
      <c r="I522" s="660">
        <v>0</v>
      </c>
      <c r="J522" s="29">
        <v>0</v>
      </c>
    </row>
    <row r="523" spans="1:10" x14ac:dyDescent="0.2">
      <c r="A523" s="846" t="s">
        <v>1539</v>
      </c>
      <c r="B523" s="971" t="s">
        <v>1540</v>
      </c>
      <c r="C523" s="722">
        <v>300000</v>
      </c>
      <c r="D523" s="722">
        <v>300000</v>
      </c>
      <c r="E523" s="722">
        <v>54450</v>
      </c>
      <c r="F523" s="722"/>
      <c r="G523" s="643">
        <f t="shared" si="66"/>
        <v>18.149999999999999</v>
      </c>
      <c r="H523" s="659">
        <f t="shared" si="65"/>
        <v>18.149999999999999</v>
      </c>
      <c r="I523" s="660">
        <v>0</v>
      </c>
      <c r="J523" s="29">
        <v>0</v>
      </c>
    </row>
    <row r="524" spans="1:10" x14ac:dyDescent="0.2">
      <c r="A524" s="846" t="s">
        <v>1541</v>
      </c>
      <c r="B524" s="971" t="s">
        <v>1542</v>
      </c>
      <c r="C524" s="722">
        <v>0</v>
      </c>
      <c r="D524" s="722">
        <v>550000</v>
      </c>
      <c r="E524" s="722">
        <v>299475</v>
      </c>
      <c r="F524" s="722"/>
      <c r="G524" s="643">
        <v>0</v>
      </c>
      <c r="H524" s="659">
        <f t="shared" si="65"/>
        <v>54.449999999999996</v>
      </c>
      <c r="I524" s="660">
        <v>0</v>
      </c>
      <c r="J524" s="29">
        <v>0</v>
      </c>
    </row>
    <row r="525" spans="1:10" x14ac:dyDescent="0.2">
      <c r="A525" s="846" t="s">
        <v>1543</v>
      </c>
      <c r="B525" s="971" t="s">
        <v>1544</v>
      </c>
      <c r="C525" s="722">
        <v>6000000</v>
      </c>
      <c r="D525" s="722">
        <f>6000000-1900000</f>
        <v>4100000</v>
      </c>
      <c r="E525" s="722">
        <v>1212395</v>
      </c>
      <c r="F525" s="722"/>
      <c r="G525" s="643">
        <f t="shared" si="66"/>
        <v>20.206583333333334</v>
      </c>
      <c r="H525" s="659">
        <f t="shared" si="65"/>
        <v>29.570609756097561</v>
      </c>
      <c r="I525" s="660">
        <v>0</v>
      </c>
      <c r="J525" s="29">
        <v>0</v>
      </c>
    </row>
    <row r="526" spans="1:10" x14ac:dyDescent="0.2">
      <c r="A526" s="846" t="s">
        <v>1545</v>
      </c>
      <c r="B526" s="897" t="s">
        <v>1546</v>
      </c>
      <c r="C526" s="722">
        <v>4500000</v>
      </c>
      <c r="D526" s="722">
        <f>4500000-160000</f>
        <v>4340000</v>
      </c>
      <c r="E526" s="722">
        <v>4002284</v>
      </c>
      <c r="F526" s="722"/>
      <c r="G526" s="643">
        <f t="shared" si="66"/>
        <v>88.93964444444444</v>
      </c>
      <c r="H526" s="659">
        <f t="shared" si="65"/>
        <v>92.218525345622112</v>
      </c>
      <c r="I526" s="660">
        <v>0</v>
      </c>
      <c r="J526" s="29">
        <v>0</v>
      </c>
    </row>
    <row r="527" spans="1:10" x14ac:dyDescent="0.2">
      <c r="A527" s="959">
        <v>3613</v>
      </c>
      <c r="B527" s="898" t="s">
        <v>1277</v>
      </c>
      <c r="C527" s="899">
        <f>SUM(C528:C534)</f>
        <v>15837000</v>
      </c>
      <c r="D527" s="899">
        <f>SUM(D528:D534)</f>
        <v>14037000</v>
      </c>
      <c r="E527" s="899">
        <v>11328721.6</v>
      </c>
      <c r="F527" s="722">
        <f>SUM(E528:E534)</f>
        <v>11328721.6</v>
      </c>
      <c r="G527" s="642">
        <f t="shared" si="66"/>
        <v>71.53325503567595</v>
      </c>
      <c r="H527" s="644">
        <f t="shared" si="65"/>
        <v>80.706145187718164</v>
      </c>
      <c r="I527" s="651">
        <f t="shared" ref="I527:I587" si="67">E527/J527*100</f>
        <v>165.29394301959047</v>
      </c>
      <c r="J527" s="29">
        <v>6853682.2300000004</v>
      </c>
    </row>
    <row r="528" spans="1:10" x14ac:dyDescent="0.2">
      <c r="A528" s="846" t="s">
        <v>1547</v>
      </c>
      <c r="B528" s="897" t="s">
        <v>1548</v>
      </c>
      <c r="C528" s="722">
        <v>1000000</v>
      </c>
      <c r="D528" s="722">
        <f>1000000-300000-653500</f>
        <v>46500</v>
      </c>
      <c r="E528" s="722">
        <v>46500</v>
      </c>
      <c r="F528" s="722"/>
      <c r="G528" s="643">
        <f t="shared" si="66"/>
        <v>4.6500000000000004</v>
      </c>
      <c r="H528" s="659">
        <f t="shared" si="65"/>
        <v>100</v>
      </c>
      <c r="I528" s="660">
        <v>0</v>
      </c>
      <c r="J528" s="29">
        <v>0</v>
      </c>
    </row>
    <row r="529" spans="1:10" x14ac:dyDescent="0.2">
      <c r="A529" s="846" t="s">
        <v>1549</v>
      </c>
      <c r="B529" s="897" t="s">
        <v>1550</v>
      </c>
      <c r="C529" s="722">
        <v>3500000</v>
      </c>
      <c r="D529" s="722">
        <f>3500000-3500000</f>
        <v>0</v>
      </c>
      <c r="E529" s="722">
        <v>0</v>
      </c>
      <c r="F529" s="722"/>
      <c r="G529" s="643">
        <f t="shared" si="66"/>
        <v>0</v>
      </c>
      <c r="H529" s="659">
        <v>0</v>
      </c>
      <c r="I529" s="660">
        <v>0</v>
      </c>
      <c r="J529" s="29">
        <v>0</v>
      </c>
    </row>
    <row r="530" spans="1:10" x14ac:dyDescent="0.2">
      <c r="A530" s="846" t="s">
        <v>1551</v>
      </c>
      <c r="B530" s="897" t="s">
        <v>1552</v>
      </c>
      <c r="C530" s="722">
        <v>6687000</v>
      </c>
      <c r="D530" s="722">
        <f>6687000+5600000+300000+853500+54000</f>
        <v>13494500</v>
      </c>
      <c r="E530" s="722">
        <v>11265281.6</v>
      </c>
      <c r="F530" s="722"/>
      <c r="G530" s="643">
        <f t="shared" si="66"/>
        <v>168.4654045162255</v>
      </c>
      <c r="H530" s="659">
        <f t="shared" si="65"/>
        <v>83.480540961132306</v>
      </c>
      <c r="I530" s="660">
        <v>0</v>
      </c>
      <c r="J530" s="29">
        <v>0</v>
      </c>
    </row>
    <row r="531" spans="1:10" x14ac:dyDescent="0.2">
      <c r="A531" s="846" t="s">
        <v>1553</v>
      </c>
      <c r="B531" s="897" t="s">
        <v>1554</v>
      </c>
      <c r="C531" s="722">
        <v>500000</v>
      </c>
      <c r="D531" s="722">
        <f>500000-500000</f>
        <v>0</v>
      </c>
      <c r="E531" s="722">
        <v>0</v>
      </c>
      <c r="F531" s="722"/>
      <c r="G531" s="643">
        <f t="shared" si="66"/>
        <v>0</v>
      </c>
      <c r="H531" s="659">
        <v>0</v>
      </c>
      <c r="I531" s="660">
        <v>0</v>
      </c>
      <c r="J531" s="29">
        <v>0</v>
      </c>
    </row>
    <row r="532" spans="1:10" x14ac:dyDescent="0.2">
      <c r="A532" s="972" t="s">
        <v>1555</v>
      </c>
      <c r="B532" s="897" t="s">
        <v>1556</v>
      </c>
      <c r="C532" s="722">
        <v>3500000</v>
      </c>
      <c r="D532" s="722">
        <f>3500000+(-900000-200000)-2300000+40000</f>
        <v>140000</v>
      </c>
      <c r="E532" s="902">
        <v>0</v>
      </c>
      <c r="F532" s="902"/>
      <c r="G532" s="643">
        <f t="shared" si="66"/>
        <v>0</v>
      </c>
      <c r="H532" s="659">
        <f t="shared" si="65"/>
        <v>0</v>
      </c>
      <c r="I532" s="660">
        <v>0</v>
      </c>
      <c r="J532" s="29">
        <v>0</v>
      </c>
    </row>
    <row r="533" spans="1:10" x14ac:dyDescent="0.2">
      <c r="A533" s="846" t="s">
        <v>1557</v>
      </c>
      <c r="B533" s="897" t="s">
        <v>1558</v>
      </c>
      <c r="C533" s="722">
        <v>250000</v>
      </c>
      <c r="D533" s="722">
        <f>250000-40000</f>
        <v>210000</v>
      </c>
      <c r="E533" s="722">
        <v>0</v>
      </c>
      <c r="F533" s="900"/>
      <c r="G533" s="643">
        <f t="shared" si="66"/>
        <v>0</v>
      </c>
      <c r="H533" s="659">
        <f t="shared" si="65"/>
        <v>0</v>
      </c>
      <c r="I533" s="660">
        <v>0</v>
      </c>
      <c r="J533" s="29">
        <v>0</v>
      </c>
    </row>
    <row r="534" spans="1:10" x14ac:dyDescent="0.2">
      <c r="A534" s="846" t="s">
        <v>1559</v>
      </c>
      <c r="B534" s="897" t="s">
        <v>1560</v>
      </c>
      <c r="C534" s="722">
        <v>400000</v>
      </c>
      <c r="D534" s="722">
        <f>400000-200000-54000</f>
        <v>146000</v>
      </c>
      <c r="E534" s="722">
        <v>16940</v>
      </c>
      <c r="F534" s="722"/>
      <c r="G534" s="643">
        <f t="shared" si="66"/>
        <v>4.2349999999999994</v>
      </c>
      <c r="H534" s="659">
        <f t="shared" si="65"/>
        <v>11.602739726027398</v>
      </c>
      <c r="I534" s="973">
        <v>0</v>
      </c>
      <c r="J534" s="29">
        <v>0</v>
      </c>
    </row>
    <row r="535" spans="1:10" ht="12.75" customHeight="1" x14ac:dyDescent="0.2">
      <c r="A535" s="974">
        <v>3634</v>
      </c>
      <c r="B535" s="975" t="s">
        <v>1561</v>
      </c>
      <c r="C535" s="735">
        <f>SUM(C536:C540)</f>
        <v>15805000</v>
      </c>
      <c r="D535" s="735">
        <f>SUM(D536:D540)</f>
        <v>13105000</v>
      </c>
      <c r="E535" s="976">
        <v>8357736.2000000002</v>
      </c>
      <c r="F535" s="977">
        <f>SUM(E536:E540)</f>
        <v>8357736.2000000002</v>
      </c>
      <c r="G535" s="646">
        <f t="shared" si="66"/>
        <v>52.880330275229362</v>
      </c>
      <c r="H535" s="978">
        <f t="shared" si="65"/>
        <v>63.775171308660816</v>
      </c>
      <c r="I535" s="651">
        <f t="shared" si="67"/>
        <v>29.393015397584193</v>
      </c>
      <c r="J535" s="29">
        <v>28434429.359999999</v>
      </c>
    </row>
    <row r="536" spans="1:10" x14ac:dyDescent="0.2">
      <c r="A536" s="846" t="s">
        <v>1562</v>
      </c>
      <c r="B536" s="897" t="s">
        <v>1563</v>
      </c>
      <c r="C536" s="722">
        <v>200000</v>
      </c>
      <c r="D536" s="722">
        <v>200000</v>
      </c>
      <c r="E536" s="722">
        <v>0</v>
      </c>
      <c r="F536" s="722"/>
      <c r="G536" s="643">
        <f t="shared" si="66"/>
        <v>0</v>
      </c>
      <c r="H536" s="659">
        <f t="shared" si="65"/>
        <v>0</v>
      </c>
      <c r="I536" s="664">
        <f t="shared" si="67"/>
        <v>0</v>
      </c>
      <c r="J536" s="29">
        <v>1500462.92</v>
      </c>
    </row>
    <row r="537" spans="1:10" x14ac:dyDescent="0.2">
      <c r="A537" s="846" t="s">
        <v>1564</v>
      </c>
      <c r="B537" s="897" t="s">
        <v>1565</v>
      </c>
      <c r="C537" s="722">
        <v>800000</v>
      </c>
      <c r="D537" s="722">
        <v>800000</v>
      </c>
      <c r="E537" s="722">
        <v>0</v>
      </c>
      <c r="F537" s="722"/>
      <c r="G537" s="643">
        <f t="shared" si="66"/>
        <v>0</v>
      </c>
      <c r="H537" s="659">
        <f t="shared" si="65"/>
        <v>0</v>
      </c>
      <c r="I537" s="660">
        <v>0</v>
      </c>
      <c r="J537" s="29">
        <v>0</v>
      </c>
    </row>
    <row r="538" spans="1:10" x14ac:dyDescent="0.2">
      <c r="A538" s="846" t="s">
        <v>1566</v>
      </c>
      <c r="B538" s="897" t="s">
        <v>1567</v>
      </c>
      <c r="C538" s="722">
        <v>3300000</v>
      </c>
      <c r="D538" s="722">
        <v>3300000</v>
      </c>
      <c r="E538" s="722">
        <v>121000</v>
      </c>
      <c r="F538" s="722"/>
      <c r="G538" s="643">
        <f t="shared" si="66"/>
        <v>3.6666666666666665</v>
      </c>
      <c r="H538" s="659">
        <f t="shared" si="65"/>
        <v>3.6666666666666665</v>
      </c>
      <c r="I538" s="664">
        <f t="shared" si="67"/>
        <v>5.0708113450276384</v>
      </c>
      <c r="J538" s="29">
        <v>2386205.91</v>
      </c>
    </row>
    <row r="539" spans="1:10" x14ac:dyDescent="0.2">
      <c r="A539" s="846" t="s">
        <v>1568</v>
      </c>
      <c r="B539" s="897" t="s">
        <v>1569</v>
      </c>
      <c r="C539" s="722">
        <v>5000</v>
      </c>
      <c r="D539" s="722">
        <v>5000</v>
      </c>
      <c r="E539" s="722">
        <v>0</v>
      </c>
      <c r="F539" s="722"/>
      <c r="G539" s="643">
        <f t="shared" si="66"/>
        <v>0</v>
      </c>
      <c r="H539" s="659">
        <f t="shared" si="65"/>
        <v>0</v>
      </c>
      <c r="I539" s="660">
        <v>0</v>
      </c>
      <c r="J539" s="29">
        <v>0</v>
      </c>
    </row>
    <row r="540" spans="1:10" x14ac:dyDescent="0.2">
      <c r="A540" s="846" t="s">
        <v>1895</v>
      </c>
      <c r="B540" s="897" t="s">
        <v>1571</v>
      </c>
      <c r="C540" s="722">
        <v>11500000</v>
      </c>
      <c r="D540" s="722">
        <f>11500000-2500000-200000</f>
        <v>8800000</v>
      </c>
      <c r="E540" s="722">
        <v>8236736.2000000002</v>
      </c>
      <c r="F540" s="722"/>
      <c r="G540" s="643">
        <f t="shared" si="66"/>
        <v>71.623793043478273</v>
      </c>
      <c r="H540" s="659">
        <f t="shared" si="65"/>
        <v>93.599275000000006</v>
      </c>
      <c r="I540" s="664">
        <f t="shared" si="67"/>
        <v>3437.9898989898988</v>
      </c>
      <c r="J540" s="29">
        <v>239580</v>
      </c>
    </row>
    <row r="541" spans="1:10" ht="12.75" customHeight="1" x14ac:dyDescent="0.2">
      <c r="A541" s="769">
        <v>4351</v>
      </c>
      <c r="B541" s="898" t="s">
        <v>772</v>
      </c>
      <c r="C541" s="899">
        <f>SUM(C542)</f>
        <v>0</v>
      </c>
      <c r="D541" s="899">
        <f>SUM(D542)</f>
        <v>3500000</v>
      </c>
      <c r="E541" s="970">
        <v>67434</v>
      </c>
      <c r="F541" s="979">
        <f>SUM(E542,E549,E551,E568,E574)</f>
        <v>5505124.8200000003</v>
      </c>
      <c r="G541" s="642">
        <v>0</v>
      </c>
      <c r="H541" s="644">
        <f t="shared" si="65"/>
        <v>1.9266857142857141</v>
      </c>
      <c r="I541" s="651">
        <f t="shared" si="67"/>
        <v>749.26666666666665</v>
      </c>
      <c r="J541" s="29">
        <v>9000</v>
      </c>
    </row>
    <row r="542" spans="1:10" x14ac:dyDescent="0.2">
      <c r="A542" s="846" t="s">
        <v>1549</v>
      </c>
      <c r="B542" s="897" t="s">
        <v>1550</v>
      </c>
      <c r="C542" s="722">
        <v>0</v>
      </c>
      <c r="D542" s="722">
        <v>3500000</v>
      </c>
      <c r="E542" s="722">
        <v>67434</v>
      </c>
      <c r="F542" s="722"/>
      <c r="G542" s="643">
        <v>0</v>
      </c>
      <c r="H542" s="659">
        <f t="shared" si="65"/>
        <v>1.9266857142857141</v>
      </c>
      <c r="I542" s="664">
        <f t="shared" si="67"/>
        <v>749.26666666666665</v>
      </c>
      <c r="J542" s="29">
        <v>9000</v>
      </c>
    </row>
    <row r="543" spans="1:10" ht="12.75" customHeight="1" x14ac:dyDescent="0.2">
      <c r="A543" s="769">
        <v>4374</v>
      </c>
      <c r="B543" s="898" t="s">
        <v>753</v>
      </c>
      <c r="C543" s="899">
        <f>SUM(C544)</f>
        <v>0</v>
      </c>
      <c r="D543" s="899">
        <f>SUM(D544)</f>
        <v>500000</v>
      </c>
      <c r="E543" s="970">
        <v>363605</v>
      </c>
      <c r="F543" s="979">
        <f>SUM(E544,E551,E553,E570,E576)</f>
        <v>30449111.170000002</v>
      </c>
      <c r="G543" s="642">
        <v>0</v>
      </c>
      <c r="H543" s="644">
        <f t="shared" si="65"/>
        <v>72.721000000000004</v>
      </c>
      <c r="I543" s="651">
        <f t="shared" si="67"/>
        <v>1196.0690789473683</v>
      </c>
      <c r="J543" s="29">
        <v>30400</v>
      </c>
    </row>
    <row r="544" spans="1:10" x14ac:dyDescent="0.2">
      <c r="A544" s="846" t="s">
        <v>1553</v>
      </c>
      <c r="B544" s="897" t="s">
        <v>1554</v>
      </c>
      <c r="C544" s="722">
        <v>0</v>
      </c>
      <c r="D544" s="722">
        <v>500000</v>
      </c>
      <c r="E544" s="902">
        <v>363605</v>
      </c>
      <c r="F544" s="902"/>
      <c r="G544" s="643">
        <v>0</v>
      </c>
      <c r="H544" s="659">
        <f t="shared" si="65"/>
        <v>72.721000000000004</v>
      </c>
      <c r="I544" s="664">
        <f t="shared" si="67"/>
        <v>1782.3774509803923</v>
      </c>
      <c r="J544" s="29">
        <v>20400</v>
      </c>
    </row>
    <row r="545" spans="1:10" ht="15.75" x14ac:dyDescent="0.25">
      <c r="A545" s="981"/>
      <c r="B545" s="903" t="s">
        <v>546</v>
      </c>
      <c r="C545" s="911">
        <f>SUM(C546,C552,C554,C557,C562)</f>
        <v>22807000</v>
      </c>
      <c r="D545" s="911">
        <f>SUM(D546,D552,D554,D557,D562)</f>
        <v>15617000</v>
      </c>
      <c r="E545" s="891">
        <v>12237242</v>
      </c>
      <c r="F545" s="933">
        <f>SUM(E546,E552,E554,E557,E562)</f>
        <v>12237242</v>
      </c>
      <c r="G545" s="788">
        <f t="shared" si="66"/>
        <v>53.655640812031393</v>
      </c>
      <c r="H545" s="788">
        <f t="shared" si="65"/>
        <v>78.358468335787919</v>
      </c>
      <c r="I545" s="826">
        <f t="shared" si="67"/>
        <v>80.557450217861074</v>
      </c>
      <c r="J545" s="29">
        <v>15190701.75</v>
      </c>
    </row>
    <row r="546" spans="1:10" x14ac:dyDescent="0.2">
      <c r="A546" s="913">
        <v>3412</v>
      </c>
      <c r="B546" s="894" t="s">
        <v>1572</v>
      </c>
      <c r="C546" s="735">
        <f>SUM(C547:C551)</f>
        <v>13037000</v>
      </c>
      <c r="D546" s="735">
        <f>SUM(D547:D551)</f>
        <v>6597000</v>
      </c>
      <c r="E546" s="735">
        <v>3675165</v>
      </c>
      <c r="F546" s="708">
        <f>SUM(E547:E551)</f>
        <v>3675165</v>
      </c>
      <c r="G546" s="642">
        <f t="shared" si="66"/>
        <v>28.190266165528875</v>
      </c>
      <c r="H546" s="644">
        <f t="shared" si="65"/>
        <v>55.709640745793543</v>
      </c>
      <c r="I546" s="651">
        <f t="shared" si="67"/>
        <v>32.21623604711715</v>
      </c>
      <c r="J546" s="29">
        <v>11407803.800000001</v>
      </c>
    </row>
    <row r="547" spans="1:10" x14ac:dyDescent="0.2">
      <c r="A547" s="846" t="s">
        <v>1573</v>
      </c>
      <c r="B547" s="897" t="s">
        <v>1574</v>
      </c>
      <c r="C547" s="722">
        <v>650000</v>
      </c>
      <c r="D547" s="722">
        <f>650000+380000</f>
        <v>1030000</v>
      </c>
      <c r="E547" s="722">
        <v>31500</v>
      </c>
      <c r="F547" s="722"/>
      <c r="G547" s="643">
        <f t="shared" si="66"/>
        <v>4.8461538461538458</v>
      </c>
      <c r="H547" s="659">
        <f t="shared" si="65"/>
        <v>3.058252427184466</v>
      </c>
      <c r="I547" s="660">
        <v>0</v>
      </c>
      <c r="J547" s="29">
        <v>0</v>
      </c>
    </row>
    <row r="548" spans="1:10" x14ac:dyDescent="0.2">
      <c r="A548" s="846" t="s">
        <v>1575</v>
      </c>
      <c r="B548" s="897" t="s">
        <v>1576</v>
      </c>
      <c r="C548" s="722">
        <v>250000</v>
      </c>
      <c r="D548" s="722">
        <f>250000+100000</f>
        <v>350000</v>
      </c>
      <c r="E548" s="722">
        <v>20160</v>
      </c>
      <c r="F548" s="722"/>
      <c r="G548" s="643">
        <f t="shared" si="66"/>
        <v>8.0640000000000001</v>
      </c>
      <c r="H548" s="659">
        <f t="shared" si="65"/>
        <v>5.76</v>
      </c>
      <c r="I548" s="660">
        <v>0</v>
      </c>
      <c r="J548" s="29">
        <v>0</v>
      </c>
    </row>
    <row r="549" spans="1:10" x14ac:dyDescent="0.2">
      <c r="A549" s="846" t="s">
        <v>1577</v>
      </c>
      <c r="B549" s="847" t="s">
        <v>1578</v>
      </c>
      <c r="C549" s="722">
        <v>137000</v>
      </c>
      <c r="D549" s="722">
        <f>137000+730000</f>
        <v>867000</v>
      </c>
      <c r="E549" s="722">
        <v>96800</v>
      </c>
      <c r="F549" s="722"/>
      <c r="G549" s="643">
        <f t="shared" si="66"/>
        <v>70.65693430656934</v>
      </c>
      <c r="H549" s="659">
        <f t="shared" si="65"/>
        <v>11.164936562860438</v>
      </c>
      <c r="I549" s="660">
        <v>0</v>
      </c>
      <c r="J549" s="29">
        <v>0</v>
      </c>
    </row>
    <row r="550" spans="1:10" x14ac:dyDescent="0.2">
      <c r="A550" s="846" t="s">
        <v>1579</v>
      </c>
      <c r="B550" s="897" t="s">
        <v>1580</v>
      </c>
      <c r="C550" s="722">
        <v>4000000</v>
      </c>
      <c r="D550" s="722">
        <f>4000000-480000-1320000-2120000</f>
        <v>80000</v>
      </c>
      <c r="E550" s="722">
        <v>0</v>
      </c>
      <c r="F550" s="722"/>
      <c r="G550" s="643">
        <f t="shared" si="66"/>
        <v>0</v>
      </c>
      <c r="H550" s="659">
        <f t="shared" si="65"/>
        <v>0</v>
      </c>
      <c r="I550" s="660">
        <v>0</v>
      </c>
      <c r="J550" s="29">
        <v>515614.5</v>
      </c>
    </row>
    <row r="551" spans="1:10" ht="12.75" customHeight="1" x14ac:dyDescent="0.2">
      <c r="A551" s="846" t="s">
        <v>1896</v>
      </c>
      <c r="B551" s="897" t="s">
        <v>1582</v>
      </c>
      <c r="C551" s="722">
        <v>8000000</v>
      </c>
      <c r="D551" s="722">
        <f>8000000-730000-3000000</f>
        <v>4270000</v>
      </c>
      <c r="E551" s="722">
        <v>3526705</v>
      </c>
      <c r="F551" s="722"/>
      <c r="G551" s="643">
        <f t="shared" si="66"/>
        <v>44.083812500000001</v>
      </c>
      <c r="H551" s="659">
        <f t="shared" si="65"/>
        <v>82.592622950819674</v>
      </c>
      <c r="I551" s="660">
        <v>0</v>
      </c>
      <c r="J551" s="29">
        <v>0</v>
      </c>
    </row>
    <row r="552" spans="1:10" x14ac:dyDescent="0.2">
      <c r="A552" s="769">
        <v>3613</v>
      </c>
      <c r="B552" s="898" t="s">
        <v>1277</v>
      </c>
      <c r="C552" s="899">
        <f t="shared" ref="C552:D552" si="68">SUM(C553:C553)</f>
        <v>300000</v>
      </c>
      <c r="D552" s="899">
        <f t="shared" si="68"/>
        <v>300000</v>
      </c>
      <c r="E552" s="899">
        <v>65230</v>
      </c>
      <c r="F552" s="722"/>
      <c r="G552" s="642">
        <f t="shared" si="66"/>
        <v>21.743333333333332</v>
      </c>
      <c r="H552" s="644">
        <f t="shared" si="65"/>
        <v>21.743333333333332</v>
      </c>
      <c r="I552" s="645">
        <v>0</v>
      </c>
      <c r="J552" s="29">
        <v>0</v>
      </c>
    </row>
    <row r="553" spans="1:10" ht="12.75" customHeight="1" x14ac:dyDescent="0.2">
      <c r="A553" s="846" t="s">
        <v>553</v>
      </c>
      <c r="B553" s="897" t="s">
        <v>1583</v>
      </c>
      <c r="C553" s="722">
        <v>300000</v>
      </c>
      <c r="D553" s="722">
        <v>300000</v>
      </c>
      <c r="E553" s="722">
        <v>65230</v>
      </c>
      <c r="F553" s="722"/>
      <c r="G553" s="643">
        <f t="shared" si="66"/>
        <v>21.743333333333332</v>
      </c>
      <c r="H553" s="659">
        <f t="shared" si="65"/>
        <v>21.743333333333332</v>
      </c>
      <c r="I553" s="660">
        <v>0</v>
      </c>
      <c r="J553" s="29">
        <v>0</v>
      </c>
    </row>
    <row r="554" spans="1:10" ht="12.75" customHeight="1" x14ac:dyDescent="0.2">
      <c r="A554" s="769">
        <v>3631</v>
      </c>
      <c r="B554" s="898" t="s">
        <v>1584</v>
      </c>
      <c r="C554" s="899">
        <f>SUM(C555:C556)</f>
        <v>7850000</v>
      </c>
      <c r="D554" s="899">
        <f>SUM(D555:D556)</f>
        <v>7850000</v>
      </c>
      <c r="E554" s="899">
        <v>7647517.4000000004</v>
      </c>
      <c r="F554" s="900">
        <f>SUM(E555:E556)</f>
        <v>7647514.4000000004</v>
      </c>
      <c r="G554" s="642">
        <f t="shared" si="66"/>
        <v>97.420603821656059</v>
      </c>
      <c r="H554" s="644">
        <f t="shared" si="65"/>
        <v>97.420603821656059</v>
      </c>
      <c r="I554" s="651">
        <f t="shared" si="67"/>
        <v>252.49181450473111</v>
      </c>
      <c r="J554" s="29">
        <v>3028817.95</v>
      </c>
    </row>
    <row r="555" spans="1:10" ht="12.75" customHeight="1" x14ac:dyDescent="0.2">
      <c r="A555" s="846" t="s">
        <v>567</v>
      </c>
      <c r="B555" s="897" t="s">
        <v>1585</v>
      </c>
      <c r="C555" s="722">
        <v>7600000</v>
      </c>
      <c r="D555" s="722">
        <f>7600000+110000</f>
        <v>7710000</v>
      </c>
      <c r="E555" s="722">
        <v>7569914.4000000004</v>
      </c>
      <c r="F555" s="722"/>
      <c r="G555" s="643">
        <f t="shared" si="66"/>
        <v>99.604136842105277</v>
      </c>
      <c r="H555" s="659">
        <f t="shared" si="65"/>
        <v>98.183066147859932</v>
      </c>
      <c r="I555" s="664">
        <f t="shared" si="67"/>
        <v>8715.4264793078237</v>
      </c>
      <c r="J555" s="29">
        <v>86856.5</v>
      </c>
    </row>
    <row r="556" spans="1:10" ht="12.75" customHeight="1" x14ac:dyDescent="0.2">
      <c r="A556" s="846" t="s">
        <v>1586</v>
      </c>
      <c r="B556" s="897" t="s">
        <v>1587</v>
      </c>
      <c r="C556" s="722">
        <v>250000</v>
      </c>
      <c r="D556" s="722">
        <f>250000-110000</f>
        <v>140000</v>
      </c>
      <c r="E556" s="722">
        <v>77600</v>
      </c>
      <c r="F556" s="722"/>
      <c r="G556" s="643">
        <f t="shared" si="66"/>
        <v>31.04</v>
      </c>
      <c r="H556" s="659">
        <f t="shared" si="65"/>
        <v>55.428571428571431</v>
      </c>
      <c r="I556" s="660">
        <v>0</v>
      </c>
      <c r="J556" s="29">
        <v>0</v>
      </c>
    </row>
    <row r="557" spans="1:10" ht="12.75" customHeight="1" x14ac:dyDescent="0.2">
      <c r="A557" s="769">
        <v>3632</v>
      </c>
      <c r="B557" s="898" t="s">
        <v>1306</v>
      </c>
      <c r="C557" s="899">
        <f t="shared" ref="C557:D557" si="69">SUM(C558:C561)</f>
        <v>1220000</v>
      </c>
      <c r="D557" s="899">
        <f t="shared" si="69"/>
        <v>870000</v>
      </c>
      <c r="E557" s="899">
        <v>849329.6</v>
      </c>
      <c r="F557" s="900">
        <f>SUM(E558:E561)</f>
        <v>849329.6</v>
      </c>
      <c r="G557" s="642">
        <f t="shared" si="66"/>
        <v>69.617180327868851</v>
      </c>
      <c r="H557" s="644">
        <f t="shared" si="65"/>
        <v>97.624091954022987</v>
      </c>
      <c r="I557" s="651">
        <f t="shared" si="67"/>
        <v>112.63123276044982</v>
      </c>
      <c r="J557" s="29">
        <v>754080</v>
      </c>
    </row>
    <row r="558" spans="1:10" x14ac:dyDescent="0.2">
      <c r="A558" s="846" t="s">
        <v>1588</v>
      </c>
      <c r="B558" s="897" t="s">
        <v>1589</v>
      </c>
      <c r="C558" s="722">
        <v>10000</v>
      </c>
      <c r="D558" s="722">
        <v>10000</v>
      </c>
      <c r="E558" s="722">
        <v>0</v>
      </c>
      <c r="F558" s="722"/>
      <c r="G558" s="643">
        <f t="shared" si="66"/>
        <v>0</v>
      </c>
      <c r="H558" s="659">
        <f t="shared" si="65"/>
        <v>0</v>
      </c>
      <c r="I558" s="660">
        <v>0</v>
      </c>
      <c r="J558" s="29">
        <v>742080</v>
      </c>
    </row>
    <row r="559" spans="1:10" x14ac:dyDescent="0.2">
      <c r="A559" s="846" t="s">
        <v>1588</v>
      </c>
      <c r="B559" s="847" t="s">
        <v>1590</v>
      </c>
      <c r="C559" s="722">
        <v>5000</v>
      </c>
      <c r="D559" s="722">
        <v>5000</v>
      </c>
      <c r="E559" s="722">
        <v>0</v>
      </c>
      <c r="F559" s="722"/>
      <c r="G559" s="643">
        <f t="shared" si="66"/>
        <v>0</v>
      </c>
      <c r="H559" s="659">
        <f t="shared" si="65"/>
        <v>0</v>
      </c>
      <c r="I559" s="660">
        <v>0</v>
      </c>
      <c r="J559" s="29">
        <v>0</v>
      </c>
    </row>
    <row r="560" spans="1:10" ht="12.75" customHeight="1" x14ac:dyDescent="0.2">
      <c r="A560" s="846" t="s">
        <v>588</v>
      </c>
      <c r="B560" s="847" t="s">
        <v>1591</v>
      </c>
      <c r="C560" s="722">
        <v>1200000</v>
      </c>
      <c r="D560" s="722">
        <f>1200000-350000</f>
        <v>850000</v>
      </c>
      <c r="E560" s="722">
        <v>849329.6</v>
      </c>
      <c r="F560" s="722"/>
      <c r="G560" s="643">
        <f t="shared" si="66"/>
        <v>70.777466666666669</v>
      </c>
      <c r="H560" s="659">
        <f t="shared" si="65"/>
        <v>99.92112941176471</v>
      </c>
      <c r="I560" s="660">
        <v>0</v>
      </c>
      <c r="J560" s="29">
        <v>0</v>
      </c>
    </row>
    <row r="561" spans="1:10" x14ac:dyDescent="0.2">
      <c r="A561" s="846" t="s">
        <v>1592</v>
      </c>
      <c r="B561" s="847" t="s">
        <v>1593</v>
      </c>
      <c r="C561" s="722">
        <v>5000</v>
      </c>
      <c r="D561" s="722">
        <v>5000</v>
      </c>
      <c r="E561" s="722">
        <v>0</v>
      </c>
      <c r="F561" s="722"/>
      <c r="G561" s="643">
        <f t="shared" si="66"/>
        <v>0</v>
      </c>
      <c r="H561" s="659">
        <f t="shared" si="65"/>
        <v>0</v>
      </c>
      <c r="I561" s="660">
        <v>0</v>
      </c>
      <c r="J561" s="29">
        <v>12000</v>
      </c>
    </row>
    <row r="562" spans="1:10" ht="13.5" customHeight="1" x14ac:dyDescent="0.2">
      <c r="A562" s="957">
        <v>3633</v>
      </c>
      <c r="B562" s="982" t="s">
        <v>1594</v>
      </c>
      <c r="C562" s="934">
        <f>SUM(C563:C563)</f>
        <v>400000</v>
      </c>
      <c r="D562" s="934">
        <f>SUM(D563:D563)</f>
        <v>0</v>
      </c>
      <c r="E562" s="934">
        <v>0</v>
      </c>
      <c r="F562" s="902"/>
      <c r="G562" s="642">
        <f t="shared" si="66"/>
        <v>0</v>
      </c>
      <c r="H562" s="644">
        <v>0</v>
      </c>
      <c r="I562" s="983">
        <v>0</v>
      </c>
      <c r="J562" s="29">
        <v>0</v>
      </c>
    </row>
    <row r="563" spans="1:10" ht="12.75" customHeight="1" x14ac:dyDescent="0.2">
      <c r="A563" s="958" t="s">
        <v>1595</v>
      </c>
      <c r="B563" s="984" t="s">
        <v>1596</v>
      </c>
      <c r="C563" s="902">
        <v>400000</v>
      </c>
      <c r="D563" s="902">
        <f>400000-400000</f>
        <v>0</v>
      </c>
      <c r="E563" s="902">
        <v>0</v>
      </c>
      <c r="F563" s="902"/>
      <c r="G563" s="643">
        <f t="shared" si="66"/>
        <v>0</v>
      </c>
      <c r="H563" s="659">
        <v>0</v>
      </c>
      <c r="I563" s="985">
        <v>0</v>
      </c>
      <c r="J563" s="29">
        <v>0</v>
      </c>
    </row>
    <row r="564" spans="1:10" ht="15" customHeight="1" x14ac:dyDescent="0.25">
      <c r="A564" s="903"/>
      <c r="B564" s="903" t="s">
        <v>1597</v>
      </c>
      <c r="C564" s="891">
        <f t="shared" ref="C564:D567" si="70">SUM(C565:C565)</f>
        <v>400000</v>
      </c>
      <c r="D564" s="891">
        <f t="shared" si="70"/>
        <v>64806</v>
      </c>
      <c r="E564" s="891">
        <v>64806</v>
      </c>
      <c r="F564" s="940"/>
      <c r="G564" s="788">
        <f t="shared" si="66"/>
        <v>16.201499999999999</v>
      </c>
      <c r="H564" s="788">
        <f t="shared" si="65"/>
        <v>100</v>
      </c>
      <c r="I564" s="826">
        <f t="shared" si="67"/>
        <v>136.27589107349385</v>
      </c>
      <c r="J564" s="29">
        <v>47555</v>
      </c>
    </row>
    <row r="565" spans="1:10" ht="12.75" customHeight="1" x14ac:dyDescent="0.2">
      <c r="A565" s="986" t="s">
        <v>603</v>
      </c>
      <c r="B565" s="987" t="s">
        <v>1598</v>
      </c>
      <c r="C565" s="708">
        <v>400000</v>
      </c>
      <c r="D565" s="708">
        <f>400000-335194</f>
        <v>64806</v>
      </c>
      <c r="E565" s="708">
        <v>64806</v>
      </c>
      <c r="F565" s="708"/>
      <c r="G565" s="643">
        <f t="shared" si="66"/>
        <v>16.201499999999999</v>
      </c>
      <c r="H565" s="659">
        <f t="shared" si="65"/>
        <v>100</v>
      </c>
      <c r="I565" s="664">
        <f t="shared" si="67"/>
        <v>136.27589107349385</v>
      </c>
      <c r="J565" s="29">
        <v>47555</v>
      </c>
    </row>
    <row r="566" spans="1:10" x14ac:dyDescent="0.2">
      <c r="A566" s="988"/>
      <c r="B566" s="989"/>
      <c r="C566" s="990"/>
      <c r="D566" s="990"/>
      <c r="E566" s="725"/>
      <c r="F566" s="725"/>
      <c r="G566" s="725"/>
      <c r="H566" s="725"/>
      <c r="I566" s="991"/>
      <c r="J566" s="29"/>
    </row>
    <row r="567" spans="1:10" ht="20.25" x14ac:dyDescent="0.3">
      <c r="A567" s="992"/>
      <c r="B567" s="993" t="s">
        <v>31</v>
      </c>
      <c r="C567" s="994">
        <f t="shared" si="70"/>
        <v>15000</v>
      </c>
      <c r="D567" s="994">
        <f t="shared" si="70"/>
        <v>15000</v>
      </c>
      <c r="E567" s="995">
        <v>15000</v>
      </c>
      <c r="F567" s="996"/>
      <c r="G567" s="810">
        <f t="shared" si="66"/>
        <v>100</v>
      </c>
      <c r="H567" s="810">
        <f t="shared" si="65"/>
        <v>100</v>
      </c>
      <c r="I567" s="997">
        <f t="shared" si="67"/>
        <v>107.14285714285714</v>
      </c>
      <c r="J567" s="29">
        <v>14000</v>
      </c>
    </row>
    <row r="568" spans="1:10" x14ac:dyDescent="0.2">
      <c r="A568" s="998">
        <v>2141</v>
      </c>
      <c r="B568" s="999" t="s">
        <v>1599</v>
      </c>
      <c r="C568" s="652">
        <v>15000</v>
      </c>
      <c r="D568" s="652">
        <v>15000</v>
      </c>
      <c r="E568" s="652">
        <v>15000</v>
      </c>
      <c r="F568" s="653"/>
      <c r="G568" s="642">
        <f t="shared" si="66"/>
        <v>100</v>
      </c>
      <c r="H568" s="644">
        <f t="shared" si="65"/>
        <v>100</v>
      </c>
      <c r="I568" s="651">
        <f t="shared" si="67"/>
        <v>107.14285714285714</v>
      </c>
      <c r="J568" s="29">
        <v>14000</v>
      </c>
    </row>
    <row r="569" spans="1:10" s="244" customFormat="1" ht="12.75" customHeight="1" x14ac:dyDescent="0.25">
      <c r="A569" s="1000"/>
      <c r="B569" s="1001"/>
      <c r="C569" s="872"/>
      <c r="D569" s="872"/>
      <c r="E569" s="872"/>
      <c r="F569" s="872"/>
      <c r="G569" s="872"/>
      <c r="H569" s="872"/>
      <c r="I569" s="1002"/>
      <c r="J569" s="1003"/>
    </row>
    <row r="570" spans="1:10" s="98" customFormat="1" ht="20.25" x14ac:dyDescent="0.3">
      <c r="A570" s="909"/>
      <c r="B570" s="624" t="s">
        <v>608</v>
      </c>
      <c r="C570" s="1004">
        <f t="shared" ref="C570:D570" si="71">SUM(C571:C574)</f>
        <v>15625044</v>
      </c>
      <c r="D570" s="1004">
        <f t="shared" si="71"/>
        <v>16876396.609999999</v>
      </c>
      <c r="E570" s="1005">
        <v>15554021.77</v>
      </c>
      <c r="F570" s="825">
        <f>SUM(E571:E574)</f>
        <v>15554021.770000001</v>
      </c>
      <c r="G570" s="810">
        <f t="shared" si="66"/>
        <v>99.545459007987432</v>
      </c>
      <c r="H570" s="810">
        <f t="shared" si="65"/>
        <v>92.164353146237175</v>
      </c>
      <c r="I570" s="997">
        <f t="shared" si="67"/>
        <v>120.44064216624233</v>
      </c>
      <c r="J570" s="29">
        <v>12914263.4</v>
      </c>
    </row>
    <row r="571" spans="1:10" s="98" customFormat="1" ht="29.25" customHeight="1" x14ac:dyDescent="0.2">
      <c r="A571" s="678">
        <v>2141</v>
      </c>
      <c r="B571" s="999" t="s">
        <v>1600</v>
      </c>
      <c r="C571" s="652">
        <v>871332</v>
      </c>
      <c r="D571" s="652">
        <f>871332+77027.69+77027.69-77027.69</f>
        <v>948359.69</v>
      </c>
      <c r="E571" s="652">
        <v>912501.82</v>
      </c>
      <c r="F571" s="653"/>
      <c r="G571" s="642">
        <f t="shared" si="66"/>
        <v>104.72492918887404</v>
      </c>
      <c r="H571" s="644">
        <f t="shared" si="65"/>
        <v>96.218958863593201</v>
      </c>
      <c r="I571" s="651">
        <f t="shared" si="67"/>
        <v>94.371190139232439</v>
      </c>
      <c r="J571" s="654">
        <v>966928.38</v>
      </c>
    </row>
    <row r="572" spans="1:10" s="98" customFormat="1" ht="79.5" customHeight="1" x14ac:dyDescent="0.2">
      <c r="A572" s="683">
        <v>2143</v>
      </c>
      <c r="B572" s="648" t="s">
        <v>1601</v>
      </c>
      <c r="C572" s="652">
        <v>13609712</v>
      </c>
      <c r="D572" s="652">
        <f>13609712+(34702.89+196649.72)-535000+80000+300000+(-77027.69-100000)+(60000+10000+10000-60000-10000-10000)-10000</f>
        <v>13499036.92</v>
      </c>
      <c r="E572" s="652">
        <v>12687920.15</v>
      </c>
      <c r="F572" s="653"/>
      <c r="G572" s="642">
        <f t="shared" si="66"/>
        <v>93.226955500601335</v>
      </c>
      <c r="H572" s="644">
        <f t="shared" si="65"/>
        <v>93.991298973349274</v>
      </c>
      <c r="I572" s="651">
        <f t="shared" si="67"/>
        <v>112.99224800885865</v>
      </c>
      <c r="J572" s="654">
        <v>11229018.25</v>
      </c>
    </row>
    <row r="573" spans="1:10" s="98" customFormat="1" ht="27.75" customHeight="1" x14ac:dyDescent="0.2">
      <c r="A573" s="683">
        <v>3399</v>
      </c>
      <c r="B573" s="648" t="s">
        <v>1602</v>
      </c>
      <c r="C573" s="652">
        <v>70000</v>
      </c>
      <c r="D573" s="652">
        <f>70000+100000</f>
        <v>170000</v>
      </c>
      <c r="E573" s="652">
        <v>154413.98000000001</v>
      </c>
      <c r="F573" s="653"/>
      <c r="G573" s="642">
        <f t="shared" si="66"/>
        <v>220.59139999999999</v>
      </c>
      <c r="H573" s="644">
        <f t="shared" si="65"/>
        <v>90.831752941176475</v>
      </c>
      <c r="I573" s="651">
        <f t="shared" si="67"/>
        <v>540.15945854616507</v>
      </c>
      <c r="J573" s="654">
        <v>28586.74</v>
      </c>
    </row>
    <row r="574" spans="1:10" s="98" customFormat="1" ht="29.25" customHeight="1" x14ac:dyDescent="0.2">
      <c r="A574" s="683">
        <v>6223</v>
      </c>
      <c r="B574" s="648" t="s">
        <v>1603</v>
      </c>
      <c r="C574" s="652">
        <v>1074000</v>
      </c>
      <c r="D574" s="652">
        <f>1074000+535000+500000+150000</f>
        <v>2259000</v>
      </c>
      <c r="E574" s="652">
        <v>1799185.82</v>
      </c>
      <c r="F574" s="653"/>
      <c r="G574" s="642">
        <f t="shared" si="66"/>
        <v>167.52195716945997</v>
      </c>
      <c r="H574" s="644">
        <f t="shared" si="65"/>
        <v>79.64523328906597</v>
      </c>
      <c r="I574" s="651">
        <f t="shared" si="67"/>
        <v>260.85362993401924</v>
      </c>
      <c r="J574" s="654">
        <v>689730.03</v>
      </c>
    </row>
    <row r="575" spans="1:10" s="98" customFormat="1" x14ac:dyDescent="0.2">
      <c r="A575" s="1006"/>
      <c r="B575" s="1007"/>
      <c r="C575" s="872"/>
      <c r="D575" s="872"/>
      <c r="E575" s="872"/>
      <c r="F575" s="872"/>
      <c r="G575" s="872"/>
      <c r="H575" s="872"/>
      <c r="I575" s="1008"/>
      <c r="J575" s="29"/>
    </row>
    <row r="576" spans="1:10" s="98" customFormat="1" ht="20.25" x14ac:dyDescent="0.3">
      <c r="A576" s="1009"/>
      <c r="B576" s="1010" t="s">
        <v>33</v>
      </c>
      <c r="C576" s="1011">
        <f t="shared" ref="C576:D576" si="72">SUM(C577,C578)</f>
        <v>11266280</v>
      </c>
      <c r="D576" s="1011">
        <f t="shared" si="72"/>
        <v>10941317</v>
      </c>
      <c r="E576" s="1012">
        <v>10939549.4</v>
      </c>
      <c r="F576" s="1013">
        <f>SUM(E577:E578)</f>
        <v>10939549.4</v>
      </c>
      <c r="G576" s="810">
        <f t="shared" si="66"/>
        <v>97.099924731144625</v>
      </c>
      <c r="H576" s="810">
        <f t="shared" si="65"/>
        <v>99.983844723628792</v>
      </c>
      <c r="I576" s="997">
        <f t="shared" si="67"/>
        <v>106.23773106388515</v>
      </c>
      <c r="J576" s="29">
        <v>10297235.539999999</v>
      </c>
    </row>
    <row r="577" spans="1:10" s="98" customFormat="1" ht="24.75" x14ac:dyDescent="0.2">
      <c r="A577" s="683">
        <v>2223</v>
      </c>
      <c r="B577" s="648" t="s">
        <v>1604</v>
      </c>
      <c r="C577" s="679">
        <v>87000</v>
      </c>
      <c r="D577" s="679">
        <f>87000+4216</f>
        <v>91216</v>
      </c>
      <c r="E577" s="679">
        <v>90316.3</v>
      </c>
      <c r="F577" s="860"/>
      <c r="G577" s="642">
        <f t="shared" si="66"/>
        <v>103.81183908045976</v>
      </c>
      <c r="H577" s="644">
        <f t="shared" si="65"/>
        <v>99.013659884230847</v>
      </c>
      <c r="I577" s="651">
        <f t="shared" si="67"/>
        <v>112.62576300159456</v>
      </c>
      <c r="J577" s="654">
        <v>80191.509999999995</v>
      </c>
    </row>
    <row r="578" spans="1:10" s="98" customFormat="1" x14ac:dyDescent="0.2">
      <c r="A578" s="683">
        <v>2292</v>
      </c>
      <c r="B578" s="640" t="s">
        <v>1605</v>
      </c>
      <c r="C578" s="652">
        <f t="shared" ref="C578:D578" si="73">SUM(C579:C583)</f>
        <v>11179280</v>
      </c>
      <c r="D578" s="652">
        <f t="shared" si="73"/>
        <v>10850101</v>
      </c>
      <c r="E578" s="652">
        <v>10849233.1</v>
      </c>
      <c r="F578" s="653">
        <f>SUM(E579:E583)</f>
        <v>10849233.1</v>
      </c>
      <c r="G578" s="642">
        <f t="shared" si="66"/>
        <v>97.047690906748912</v>
      </c>
      <c r="H578" s="644">
        <f t="shared" si="65"/>
        <v>99.992000996119756</v>
      </c>
      <c r="I578" s="651">
        <f t="shared" si="67"/>
        <v>106.18759269455747</v>
      </c>
      <c r="J578" s="29">
        <v>10217044.029999999</v>
      </c>
    </row>
    <row r="579" spans="1:10" s="98" customFormat="1" x14ac:dyDescent="0.2">
      <c r="A579" s="683"/>
      <c r="B579" s="658" t="s">
        <v>617</v>
      </c>
      <c r="C579" s="653">
        <v>1917280</v>
      </c>
      <c r="D579" s="653">
        <f>1917280</f>
        <v>1917280</v>
      </c>
      <c r="E579" s="653">
        <v>1917280</v>
      </c>
      <c r="F579" s="653"/>
      <c r="G579" s="643">
        <f t="shared" si="66"/>
        <v>100</v>
      </c>
      <c r="H579" s="659">
        <f t="shared" si="65"/>
        <v>100</v>
      </c>
      <c r="I579" s="664">
        <f t="shared" si="67"/>
        <v>92.257160193649185</v>
      </c>
      <c r="J579" s="29">
        <v>2078191</v>
      </c>
    </row>
    <row r="580" spans="1:10" s="98" customFormat="1" x14ac:dyDescent="0.2">
      <c r="A580" s="683"/>
      <c r="B580" s="658" t="s">
        <v>1606</v>
      </c>
      <c r="C580" s="653">
        <v>8500000</v>
      </c>
      <c r="D580" s="653">
        <f>8500000-200458</f>
        <v>8299542</v>
      </c>
      <c r="E580" s="653">
        <v>8299542</v>
      </c>
      <c r="F580" s="653"/>
      <c r="G580" s="643">
        <f t="shared" si="66"/>
        <v>97.6416705882353</v>
      </c>
      <c r="H580" s="659">
        <f t="shared" si="65"/>
        <v>100</v>
      </c>
      <c r="I580" s="664">
        <f t="shared" si="67"/>
        <v>108.66119402985075</v>
      </c>
      <c r="J580" s="29">
        <v>7638000</v>
      </c>
    </row>
    <row r="581" spans="1:10" s="98" customFormat="1" x14ac:dyDescent="0.2">
      <c r="A581" s="683"/>
      <c r="B581" s="666" t="s">
        <v>1607</v>
      </c>
      <c r="C581" s="653">
        <v>350000</v>
      </c>
      <c r="D581" s="653">
        <v>350000</v>
      </c>
      <c r="E581" s="653">
        <v>350000</v>
      </c>
      <c r="F581" s="653"/>
      <c r="G581" s="643">
        <f t="shared" si="66"/>
        <v>100</v>
      </c>
      <c r="H581" s="659">
        <f t="shared" si="65"/>
        <v>100</v>
      </c>
      <c r="I581" s="664">
        <f t="shared" si="67"/>
        <v>196.8592512598992</v>
      </c>
      <c r="J581" s="88">
        <v>177792</v>
      </c>
    </row>
    <row r="582" spans="1:10" s="98" customFormat="1" x14ac:dyDescent="0.2">
      <c r="A582" s="1014"/>
      <c r="B582" s="1015" t="s">
        <v>1608</v>
      </c>
      <c r="C582" s="650">
        <v>400000</v>
      </c>
      <c r="D582" s="650">
        <f>400000-11858-124505</f>
        <v>263637</v>
      </c>
      <c r="E582" s="650">
        <v>263637</v>
      </c>
      <c r="F582" s="650"/>
      <c r="G582" s="643">
        <f t="shared" si="66"/>
        <v>65.90925</v>
      </c>
      <c r="H582" s="659">
        <f t="shared" si="65"/>
        <v>100</v>
      </c>
      <c r="I582" s="664">
        <f t="shared" si="67"/>
        <v>8.3683606092174898</v>
      </c>
      <c r="J582" s="29">
        <v>3150402</v>
      </c>
    </row>
    <row r="583" spans="1:10" s="98" customFormat="1" x14ac:dyDescent="0.2">
      <c r="A583" s="1016"/>
      <c r="B583" s="1017" t="s">
        <v>1609</v>
      </c>
      <c r="C583" s="833">
        <v>12000</v>
      </c>
      <c r="D583" s="833">
        <f>12000+11858-4216</f>
        <v>19642</v>
      </c>
      <c r="E583" s="833">
        <v>18774.099999999999</v>
      </c>
      <c r="F583" s="833"/>
      <c r="G583" s="643">
        <f t="shared" si="66"/>
        <v>156.45083333333332</v>
      </c>
      <c r="H583" s="659">
        <f t="shared" ref="H583:H646" si="74">E583/D583*100</f>
        <v>95.581407188677318</v>
      </c>
      <c r="I583" s="664">
        <f t="shared" si="67"/>
        <v>245.12372976734648</v>
      </c>
      <c r="J583" s="29">
        <v>7659.03</v>
      </c>
    </row>
    <row r="584" spans="1:10" s="98" customFormat="1" x14ac:dyDescent="0.2">
      <c r="A584" s="1008"/>
      <c r="B584" s="1017"/>
      <c r="C584" s="671"/>
      <c r="D584" s="671"/>
      <c r="E584" s="671"/>
      <c r="F584" s="671"/>
      <c r="G584" s="671"/>
      <c r="H584" s="671"/>
      <c r="I584" s="1018"/>
      <c r="J584" s="29"/>
    </row>
    <row r="585" spans="1:10" s="98" customFormat="1" ht="20.25" x14ac:dyDescent="0.3">
      <c r="A585" s="909"/>
      <c r="B585" s="624" t="s">
        <v>34</v>
      </c>
      <c r="C585" s="752">
        <f t="shared" ref="C585:D589" si="75">SUM(C586:C587)</f>
        <v>162000</v>
      </c>
      <c r="D585" s="752">
        <f t="shared" si="75"/>
        <v>162000</v>
      </c>
      <c r="E585" s="1019">
        <v>88043.839999999997</v>
      </c>
      <c r="F585" s="963">
        <f>SUM(E586:E587)</f>
        <v>88043.839999999997</v>
      </c>
      <c r="G585" s="810">
        <f t="shared" si="66"/>
        <v>54.348049382716049</v>
      </c>
      <c r="H585" s="810">
        <f t="shared" si="74"/>
        <v>54.348049382716049</v>
      </c>
      <c r="I585" s="997">
        <f t="shared" si="67"/>
        <v>122.12536584689219</v>
      </c>
      <c r="J585" s="29">
        <v>72093</v>
      </c>
    </row>
    <row r="586" spans="1:10" s="98" customFormat="1" ht="12.75" customHeight="1" x14ac:dyDescent="0.2">
      <c r="A586" s="683">
        <v>2223</v>
      </c>
      <c r="B586" s="640" t="s">
        <v>1610</v>
      </c>
      <c r="C586" s="652">
        <v>150000</v>
      </c>
      <c r="D586" s="652">
        <v>150000</v>
      </c>
      <c r="E586" s="652">
        <v>86277.84</v>
      </c>
      <c r="F586" s="653"/>
      <c r="G586" s="642">
        <f t="shared" ref="G586:G587" si="76">E586/D586*100</f>
        <v>57.518559999999994</v>
      </c>
      <c r="H586" s="644">
        <f t="shared" si="74"/>
        <v>57.518559999999994</v>
      </c>
      <c r="I586" s="651">
        <f t="shared" si="67"/>
        <v>126.24978416424004</v>
      </c>
      <c r="J586" s="29">
        <v>68339</v>
      </c>
    </row>
    <row r="587" spans="1:10" s="98" customFormat="1" x14ac:dyDescent="0.2">
      <c r="A587" s="683">
        <v>6171</v>
      </c>
      <c r="B587" s="640" t="s">
        <v>1611</v>
      </c>
      <c r="C587" s="652">
        <v>12000</v>
      </c>
      <c r="D587" s="652">
        <v>12000</v>
      </c>
      <c r="E587" s="652">
        <v>1766</v>
      </c>
      <c r="F587" s="653"/>
      <c r="G587" s="642">
        <f t="shared" si="76"/>
        <v>14.716666666666667</v>
      </c>
      <c r="H587" s="644">
        <f t="shared" si="74"/>
        <v>14.716666666666667</v>
      </c>
      <c r="I587" s="651">
        <f t="shared" si="67"/>
        <v>47.043153969099627</v>
      </c>
      <c r="J587" s="29">
        <v>3754</v>
      </c>
    </row>
    <row r="588" spans="1:10" s="98" customFormat="1" x14ac:dyDescent="0.2">
      <c r="A588" s="1020"/>
      <c r="B588" s="1021"/>
      <c r="C588" s="872"/>
      <c r="D588" s="872"/>
      <c r="E588" s="878"/>
      <c r="F588" s="878"/>
      <c r="G588" s="878"/>
      <c r="H588" s="878"/>
      <c r="I588" s="749"/>
      <c r="J588" s="29"/>
    </row>
    <row r="589" spans="1:10" s="98" customFormat="1" ht="20.25" x14ac:dyDescent="0.3">
      <c r="A589" s="1009"/>
      <c r="B589" s="1022" t="s">
        <v>624</v>
      </c>
      <c r="C589" s="819">
        <f t="shared" si="75"/>
        <v>1000000</v>
      </c>
      <c r="D589" s="819">
        <f>SUM(D590:D591)</f>
        <v>1937000</v>
      </c>
      <c r="E589" s="1019">
        <v>1417855.04</v>
      </c>
      <c r="F589" s="963">
        <f>SUM(E590:E591)</f>
        <v>1417855.04</v>
      </c>
      <c r="G589" s="810">
        <f>E589/C589*100</f>
        <v>141.785504</v>
      </c>
      <c r="H589" s="810">
        <f t="shared" si="74"/>
        <v>73.198504904491486</v>
      </c>
      <c r="I589" s="997">
        <f t="shared" ref="I589:I651" si="77">E589/J589*100</f>
        <v>143.38965569857604</v>
      </c>
      <c r="J589" s="29">
        <v>988812.64</v>
      </c>
    </row>
    <row r="590" spans="1:10" s="98" customFormat="1" x14ac:dyDescent="0.2">
      <c r="A590" s="1024">
        <v>6115</v>
      </c>
      <c r="B590" s="953" t="s">
        <v>1897</v>
      </c>
      <c r="C590" s="649">
        <v>500000</v>
      </c>
      <c r="D590" s="649">
        <f>500000+713000</f>
        <v>1213000</v>
      </c>
      <c r="E590" s="652">
        <v>697812.47</v>
      </c>
      <c r="F590" s="653"/>
      <c r="G590" s="642">
        <f t="shared" ref="G590:G591" si="78">E590/D590*100</f>
        <v>57.527821104699093</v>
      </c>
      <c r="H590" s="644">
        <f t="shared" si="74"/>
        <v>57.527821104699093</v>
      </c>
      <c r="I590" s="651">
        <v>0</v>
      </c>
      <c r="J590" s="29">
        <v>0</v>
      </c>
    </row>
    <row r="591" spans="1:10" s="98" customFormat="1" x14ac:dyDescent="0.2">
      <c r="A591" s="769">
        <v>6117</v>
      </c>
      <c r="B591" s="683" t="s">
        <v>1612</v>
      </c>
      <c r="C591" s="649">
        <v>500000</v>
      </c>
      <c r="D591" s="649">
        <f>500000+(724000-500000)</f>
        <v>724000</v>
      </c>
      <c r="E591" s="652">
        <v>720042.57</v>
      </c>
      <c r="F591" s="653"/>
      <c r="G591" s="642">
        <f t="shared" si="78"/>
        <v>99.453393646408827</v>
      </c>
      <c r="H591" s="644">
        <f t="shared" si="74"/>
        <v>99.453393646408827</v>
      </c>
      <c r="I591" s="651">
        <v>0</v>
      </c>
      <c r="J591" s="29">
        <v>0</v>
      </c>
    </row>
    <row r="592" spans="1:10" s="98" customFormat="1" x14ac:dyDescent="0.2">
      <c r="A592" s="1025"/>
      <c r="B592" s="1026"/>
      <c r="C592" s="670"/>
      <c r="D592" s="670"/>
      <c r="E592" s="1027"/>
      <c r="F592" s="792"/>
      <c r="G592" s="1027"/>
      <c r="H592" s="1027"/>
      <c r="I592" s="1028"/>
      <c r="J592" s="29"/>
    </row>
    <row r="593" spans="1:11" customFormat="1" ht="20.25" x14ac:dyDescent="0.3">
      <c r="A593" s="992"/>
      <c r="B593" s="1029" t="s">
        <v>36</v>
      </c>
      <c r="C593" s="1030">
        <f t="shared" ref="C593:D593" si="79">C594+C638+C665</f>
        <v>112714300</v>
      </c>
      <c r="D593" s="1030">
        <f t="shared" si="79"/>
        <v>132119459.63999999</v>
      </c>
      <c r="E593" s="1019">
        <v>131086108.81999999</v>
      </c>
      <c r="F593" s="963">
        <f>SUM(E594,E638,E665)</f>
        <v>131086108.81999999</v>
      </c>
      <c r="G593" s="810">
        <f t="shared" ref="G593:G594" si="80">E593/C593*100</f>
        <v>116.29944809132469</v>
      </c>
      <c r="H593" s="810">
        <f t="shared" si="74"/>
        <v>99.217866298563678</v>
      </c>
      <c r="I593" s="997">
        <f t="shared" si="77"/>
        <v>99.905581925967482</v>
      </c>
      <c r="J593" s="88">
        <v>131209994.77</v>
      </c>
    </row>
    <row r="594" spans="1:11" customFormat="1" ht="15.75" x14ac:dyDescent="0.25">
      <c r="A594" s="903"/>
      <c r="B594" s="1031" t="s">
        <v>627</v>
      </c>
      <c r="C594" s="911">
        <f t="shared" ref="C594:D594" si="81">SUM(C595,C611,C636,C631)</f>
        <v>44001000</v>
      </c>
      <c r="D594" s="911">
        <f t="shared" si="81"/>
        <v>58112026.089999996</v>
      </c>
      <c r="E594" s="911">
        <v>58100559.049999997</v>
      </c>
      <c r="F594" s="1032">
        <f>SUM(E595,E611,E631,E636)</f>
        <v>58100559.050000004</v>
      </c>
      <c r="G594" s="788">
        <f t="shared" si="80"/>
        <v>132.04372411990636</v>
      </c>
      <c r="H594" s="788">
        <f t="shared" si="74"/>
        <v>99.980267354674154</v>
      </c>
      <c r="I594" s="826">
        <f t="shared" si="77"/>
        <v>93.252825883131123</v>
      </c>
      <c r="J594" s="88">
        <v>62304341.450000003</v>
      </c>
    </row>
    <row r="595" spans="1:11" customFormat="1" x14ac:dyDescent="0.2">
      <c r="A595" s="974">
        <v>3111</v>
      </c>
      <c r="B595" s="1033" t="s">
        <v>1613</v>
      </c>
      <c r="C595" s="895">
        <f t="shared" ref="C595:D595" si="82">SUM(C596:C598)</f>
        <v>9931000</v>
      </c>
      <c r="D595" s="895">
        <f t="shared" si="82"/>
        <v>11033100.49</v>
      </c>
      <c r="E595" s="895">
        <v>11033100.49</v>
      </c>
      <c r="F595" s="1034">
        <f>SUM(E596:E598)</f>
        <v>11033100.49</v>
      </c>
      <c r="G595" s="642">
        <f>E595/D595*100</f>
        <v>100</v>
      </c>
      <c r="H595" s="644">
        <f t="shared" si="74"/>
        <v>100</v>
      </c>
      <c r="I595" s="651">
        <f t="shared" si="77"/>
        <v>96.937914084291933</v>
      </c>
      <c r="J595" s="88">
        <v>11381615.33</v>
      </c>
      <c r="K595" s="2"/>
    </row>
    <row r="596" spans="1:11" customFormat="1" x14ac:dyDescent="0.2">
      <c r="A596" s="706"/>
      <c r="B596" s="1035" t="s">
        <v>629</v>
      </c>
      <c r="C596" s="1036">
        <f t="shared" ref="C596:D598" si="83">+C600+C604+C608</f>
        <v>8544000</v>
      </c>
      <c r="D596" s="1036">
        <f t="shared" si="83"/>
        <v>8945097.9900000002</v>
      </c>
      <c r="E596" s="722">
        <v>8945097.9900000002</v>
      </c>
      <c r="F596" s="722">
        <f t="shared" ref="F596:F598" si="84">SUM(E600,E604,E608)</f>
        <v>8945097.9900000002</v>
      </c>
      <c r="G596" s="643">
        <f t="shared" ref="G596:G636" si="85">E596/C596*100</f>
        <v>104.69449894662921</v>
      </c>
      <c r="H596" s="659">
        <f t="shared" si="74"/>
        <v>100</v>
      </c>
      <c r="I596" s="664">
        <f t="shared" si="77"/>
        <v>101.698236206611</v>
      </c>
      <c r="J596" s="88">
        <v>8795725.7899999991</v>
      </c>
    </row>
    <row r="597" spans="1:11" customFormat="1" x14ac:dyDescent="0.2">
      <c r="A597" s="706"/>
      <c r="B597" s="1035" t="s">
        <v>1614</v>
      </c>
      <c r="C597" s="1036">
        <f t="shared" si="83"/>
        <v>937000</v>
      </c>
      <c r="D597" s="1036">
        <f>+D601+D605+D609</f>
        <v>1539602.5</v>
      </c>
      <c r="E597" s="722">
        <v>1539602.5</v>
      </c>
      <c r="F597" s="722">
        <f t="shared" si="84"/>
        <v>1539602.5</v>
      </c>
      <c r="G597" s="643">
        <f t="shared" si="85"/>
        <v>164.31189967982925</v>
      </c>
      <c r="H597" s="659">
        <f t="shared" si="74"/>
        <v>100</v>
      </c>
      <c r="I597" s="664">
        <f t="shared" si="77"/>
        <v>74.771596358363041</v>
      </c>
      <c r="J597" s="88">
        <v>2059074</v>
      </c>
    </row>
    <row r="598" spans="1:11" customFormat="1" x14ac:dyDescent="0.2">
      <c r="A598" s="706"/>
      <c r="B598" s="1035" t="s">
        <v>1615</v>
      </c>
      <c r="C598" s="1036">
        <f t="shared" si="83"/>
        <v>450000</v>
      </c>
      <c r="D598" s="1036">
        <f t="shared" si="83"/>
        <v>548400</v>
      </c>
      <c r="E598" s="722">
        <v>548400</v>
      </c>
      <c r="F598" s="722">
        <f t="shared" si="84"/>
        <v>548400</v>
      </c>
      <c r="G598" s="643">
        <f t="shared" si="85"/>
        <v>121.86666666666666</v>
      </c>
      <c r="H598" s="659">
        <f t="shared" si="74"/>
        <v>100</v>
      </c>
      <c r="I598" s="664">
        <f t="shared" si="77"/>
        <v>104.09715704286171</v>
      </c>
      <c r="J598" s="88">
        <v>526815.54</v>
      </c>
    </row>
    <row r="599" spans="1:11" customFormat="1" x14ac:dyDescent="0.2">
      <c r="A599" s="706"/>
      <c r="B599" s="971" t="s">
        <v>1616</v>
      </c>
      <c r="C599" s="899">
        <f t="shared" ref="C599:D599" si="86">C600+C601+C602</f>
        <v>2687000</v>
      </c>
      <c r="D599" s="899">
        <f t="shared" si="86"/>
        <v>3185840</v>
      </c>
      <c r="E599" s="899">
        <v>3185840</v>
      </c>
      <c r="F599" s="722">
        <f>SUM(E600:E602)</f>
        <v>3185840</v>
      </c>
      <c r="G599" s="642">
        <f t="shared" si="85"/>
        <v>118.56494231484926</v>
      </c>
      <c r="H599" s="644">
        <f t="shared" si="74"/>
        <v>100</v>
      </c>
      <c r="I599" s="651">
        <f t="shared" si="77"/>
        <v>76.233155957515947</v>
      </c>
      <c r="J599" s="88">
        <v>4179074</v>
      </c>
    </row>
    <row r="600" spans="1:11" customFormat="1" x14ac:dyDescent="0.2">
      <c r="A600" s="706"/>
      <c r="B600" s="971" t="s">
        <v>1617</v>
      </c>
      <c r="C600" s="1037">
        <v>2673000</v>
      </c>
      <c r="D600" s="1037">
        <f>2673000-1160</f>
        <v>2671840</v>
      </c>
      <c r="E600" s="722">
        <v>2671840</v>
      </c>
      <c r="F600" s="722"/>
      <c r="G600" s="643">
        <f t="shared" si="85"/>
        <v>99.956603067714184</v>
      </c>
      <c r="H600" s="659">
        <f t="shared" si="74"/>
        <v>100</v>
      </c>
      <c r="I600" s="664">
        <f t="shared" si="77"/>
        <v>92.933565217391305</v>
      </c>
      <c r="J600" s="88">
        <v>2875000</v>
      </c>
    </row>
    <row r="601" spans="1:11" customFormat="1" ht="24.75" x14ac:dyDescent="0.2">
      <c r="A601" s="706" t="s">
        <v>634</v>
      </c>
      <c r="B601" s="971" t="s">
        <v>1618</v>
      </c>
      <c r="C601" s="1037">
        <v>14000</v>
      </c>
      <c r="D601" s="1037">
        <f>14000+500000</f>
        <v>514000</v>
      </c>
      <c r="E601" s="708">
        <v>514000</v>
      </c>
      <c r="F601" s="708"/>
      <c r="G601" s="643">
        <f t="shared" si="85"/>
        <v>3671.4285714285716</v>
      </c>
      <c r="H601" s="659">
        <f t="shared" si="74"/>
        <v>100</v>
      </c>
      <c r="I601" s="664">
        <f t="shared" si="77"/>
        <v>39.41494117665102</v>
      </c>
      <c r="J601" s="32">
        <v>1304074</v>
      </c>
    </row>
    <row r="602" spans="1:11" customFormat="1" x14ac:dyDescent="0.2">
      <c r="A602" s="706"/>
      <c r="B602" s="971" t="s">
        <v>1619</v>
      </c>
      <c r="C602" s="1037">
        <v>0</v>
      </c>
      <c r="D602" s="1037">
        <v>0</v>
      </c>
      <c r="E602" s="708">
        <v>0</v>
      </c>
      <c r="F602" s="708"/>
      <c r="G602" s="643">
        <v>0</v>
      </c>
      <c r="H602" s="659">
        <v>0</v>
      </c>
      <c r="I602" s="664">
        <v>0</v>
      </c>
      <c r="J602" s="88">
        <v>0</v>
      </c>
    </row>
    <row r="603" spans="1:11" customFormat="1" ht="15" x14ac:dyDescent="0.2">
      <c r="A603" s="706"/>
      <c r="B603" s="1038" t="s">
        <v>1620</v>
      </c>
      <c r="C603" s="1039">
        <f t="shared" ref="C603:D603" si="87">SUM(C604:C606)</f>
        <v>4000000</v>
      </c>
      <c r="D603" s="1039">
        <f t="shared" si="87"/>
        <v>4100000</v>
      </c>
      <c r="E603" s="735">
        <v>4100000</v>
      </c>
      <c r="F603" s="708">
        <f>SUM(E604:E606)</f>
        <v>4100000</v>
      </c>
      <c r="G603" s="642">
        <f t="shared" si="85"/>
        <v>102.49999999999999</v>
      </c>
      <c r="H603" s="644">
        <f t="shared" si="74"/>
        <v>100</v>
      </c>
      <c r="I603" s="651">
        <f t="shared" si="77"/>
        <v>116.71390586094905</v>
      </c>
      <c r="J603" s="88">
        <v>3512863.33</v>
      </c>
    </row>
    <row r="604" spans="1:11" customFormat="1" x14ac:dyDescent="0.2">
      <c r="A604" s="706"/>
      <c r="B604" s="971" t="s">
        <v>1621</v>
      </c>
      <c r="C604" s="1037">
        <f>70000+3075000</f>
        <v>3145000</v>
      </c>
      <c r="D604" s="1037">
        <f>70000+3075000+100000-100000</f>
        <v>3145000</v>
      </c>
      <c r="E604" s="722">
        <v>3145000</v>
      </c>
      <c r="F604" s="722"/>
      <c r="G604" s="643">
        <f t="shared" si="85"/>
        <v>100</v>
      </c>
      <c r="H604" s="659">
        <f t="shared" si="74"/>
        <v>100</v>
      </c>
      <c r="I604" s="664">
        <f t="shared" si="77"/>
        <v>97.190115104586496</v>
      </c>
      <c r="J604" s="88">
        <v>3235925.79</v>
      </c>
    </row>
    <row r="605" spans="1:11" customFormat="1" ht="26.25" customHeight="1" x14ac:dyDescent="0.2">
      <c r="A605" s="706"/>
      <c r="B605" s="971" t="s">
        <v>1622</v>
      </c>
      <c r="C605" s="1037">
        <v>455000</v>
      </c>
      <c r="D605" s="1037">
        <v>455000</v>
      </c>
      <c r="E605" s="722">
        <v>455000</v>
      </c>
      <c r="F605" s="722"/>
      <c r="G605" s="643">
        <f t="shared" si="85"/>
        <v>100</v>
      </c>
      <c r="H605" s="659">
        <f t="shared" si="74"/>
        <v>100</v>
      </c>
      <c r="I605" s="664">
        <v>0</v>
      </c>
      <c r="J605" s="32">
        <v>0</v>
      </c>
    </row>
    <row r="606" spans="1:11" customFormat="1" x14ac:dyDescent="0.2">
      <c r="A606" s="706"/>
      <c r="B606" s="971" t="s">
        <v>1623</v>
      </c>
      <c r="C606" s="1037">
        <v>400000</v>
      </c>
      <c r="D606" s="1037">
        <f>400000+100000</f>
        <v>500000</v>
      </c>
      <c r="E606" s="708">
        <v>500000</v>
      </c>
      <c r="F606" s="708"/>
      <c r="G606" s="643">
        <f t="shared" si="85"/>
        <v>125</v>
      </c>
      <c r="H606" s="659">
        <f t="shared" si="74"/>
        <v>100</v>
      </c>
      <c r="I606" s="664">
        <f t="shared" si="77"/>
        <v>180.54612603260648</v>
      </c>
      <c r="J606" s="88">
        <v>276937.53999999998</v>
      </c>
    </row>
    <row r="607" spans="1:11" customFormat="1" x14ac:dyDescent="0.2">
      <c r="A607" s="706"/>
      <c r="B607" s="971" t="s">
        <v>1624</v>
      </c>
      <c r="C607" s="1039">
        <f>SUM(C608:C610)</f>
        <v>3244000</v>
      </c>
      <c r="D607" s="1039">
        <f>SUM(D608:D610)</f>
        <v>3747260.49</v>
      </c>
      <c r="E607" s="735">
        <v>3747260.49</v>
      </c>
      <c r="F607" s="708">
        <f>SUM(E608:E610)</f>
        <v>3747260.49</v>
      </c>
      <c r="G607" s="642">
        <f t="shared" si="85"/>
        <v>115.51357860665846</v>
      </c>
      <c r="H607" s="644">
        <f t="shared" si="74"/>
        <v>100</v>
      </c>
      <c r="I607" s="651">
        <f t="shared" si="77"/>
        <v>101.56063726970213</v>
      </c>
      <c r="J607" s="88">
        <v>3689678</v>
      </c>
    </row>
    <row r="608" spans="1:11" customFormat="1" x14ac:dyDescent="0.2">
      <c r="A608" s="706"/>
      <c r="B608" s="971" t="s">
        <v>1625</v>
      </c>
      <c r="C608" s="1037">
        <v>2726000</v>
      </c>
      <c r="D608" s="1037">
        <f>2726000+192228+(3419.6+30776.4)-1284-1196+(-1303.8-11734.2)+(12834+115506)+63011.99</f>
        <v>3128257.99</v>
      </c>
      <c r="E608" s="708">
        <v>3128257.99</v>
      </c>
      <c r="F608" s="708"/>
      <c r="G608" s="643">
        <f t="shared" si="85"/>
        <v>114.75634592809978</v>
      </c>
      <c r="H608" s="659">
        <f t="shared" si="74"/>
        <v>100</v>
      </c>
      <c r="I608" s="664">
        <f t="shared" si="77"/>
        <v>116.5173566001192</v>
      </c>
      <c r="J608" s="88">
        <v>2684800</v>
      </c>
    </row>
    <row r="609" spans="1:10" customFormat="1" ht="24.75" x14ac:dyDescent="0.2">
      <c r="A609" s="706"/>
      <c r="B609" s="971" t="s">
        <v>1626</v>
      </c>
      <c r="C609" s="1037">
        <v>468000</v>
      </c>
      <c r="D609" s="1037">
        <f>468000+102602.5</f>
        <v>570602.5</v>
      </c>
      <c r="E609" s="708">
        <v>570602.5</v>
      </c>
      <c r="F609" s="708"/>
      <c r="G609" s="643">
        <f t="shared" si="85"/>
        <v>121.92361111111111</v>
      </c>
      <c r="H609" s="659">
        <f t="shared" si="74"/>
        <v>100</v>
      </c>
      <c r="I609" s="664">
        <f t="shared" si="77"/>
        <v>75.576490066225162</v>
      </c>
      <c r="J609" s="32">
        <v>755000</v>
      </c>
    </row>
    <row r="610" spans="1:10" customFormat="1" x14ac:dyDescent="0.2">
      <c r="A610" s="706"/>
      <c r="B610" s="971" t="s">
        <v>1627</v>
      </c>
      <c r="C610" s="1037">
        <v>50000</v>
      </c>
      <c r="D610" s="1037">
        <f>50000-1600</f>
        <v>48400</v>
      </c>
      <c r="E610" s="722">
        <v>48400</v>
      </c>
      <c r="F610" s="722"/>
      <c r="G610" s="643">
        <f t="shared" si="85"/>
        <v>96.8</v>
      </c>
      <c r="H610" s="659">
        <f t="shared" si="74"/>
        <v>100</v>
      </c>
      <c r="I610" s="664">
        <f t="shared" si="77"/>
        <v>19.369452292718847</v>
      </c>
      <c r="J610" s="88">
        <v>249878</v>
      </c>
    </row>
    <row r="611" spans="1:10" customFormat="1" x14ac:dyDescent="0.2">
      <c r="A611" s="769">
        <v>3113</v>
      </c>
      <c r="B611" s="1040" t="s">
        <v>644</v>
      </c>
      <c r="C611" s="1039">
        <f>SUM(C612:C615)</f>
        <v>31532000</v>
      </c>
      <c r="D611" s="1039">
        <f>SUM(D612:D615)</f>
        <v>43904015.599999994</v>
      </c>
      <c r="E611" s="735">
        <v>43903851.600000001</v>
      </c>
      <c r="F611" s="708">
        <f>SUM(E612:E615)</f>
        <v>43903851.599999994</v>
      </c>
      <c r="G611" s="642">
        <f t="shared" si="85"/>
        <v>139.23586071292655</v>
      </c>
      <c r="H611" s="644">
        <f t="shared" si="74"/>
        <v>99.999626457858696</v>
      </c>
      <c r="I611" s="651">
        <f t="shared" si="77"/>
        <v>96.670139038208646</v>
      </c>
      <c r="J611" s="88">
        <v>45416146.119999997</v>
      </c>
    </row>
    <row r="612" spans="1:10" customFormat="1" x14ac:dyDescent="0.2">
      <c r="A612" s="769"/>
      <c r="B612" s="971" t="s">
        <v>645</v>
      </c>
      <c r="C612" s="1037">
        <v>548000</v>
      </c>
      <c r="D612" s="1037">
        <f>548000-22000-100000-200000-11107</f>
        <v>214893</v>
      </c>
      <c r="E612" s="708">
        <v>214729</v>
      </c>
      <c r="F612" s="708"/>
      <c r="G612" s="643">
        <f t="shared" si="85"/>
        <v>39.184124087591243</v>
      </c>
      <c r="H612" s="659">
        <f t="shared" si="74"/>
        <v>99.92368294918866</v>
      </c>
      <c r="I612" s="664">
        <f t="shared" si="77"/>
        <v>690.82456648328673</v>
      </c>
      <c r="J612" s="88">
        <v>31083</v>
      </c>
    </row>
    <row r="613" spans="1:10" customFormat="1" x14ac:dyDescent="0.2">
      <c r="A613" s="706"/>
      <c r="B613" s="971" t="s">
        <v>646</v>
      </c>
      <c r="C613" s="1036">
        <f t="shared" ref="C613:D614" si="88">+C617+C621+C624+C628</f>
        <v>26899000</v>
      </c>
      <c r="D613" s="1036">
        <f t="shared" si="88"/>
        <v>32725418.050000001</v>
      </c>
      <c r="E613" s="708">
        <v>32725418.050000001</v>
      </c>
      <c r="F613" s="708">
        <f t="shared" ref="F613:F614" si="89">SUM(E617,E621,E624,E628)</f>
        <v>32725418.050000001</v>
      </c>
      <c r="G613" s="643">
        <f t="shared" si="85"/>
        <v>121.6603518718168</v>
      </c>
      <c r="H613" s="659">
        <f t="shared" si="74"/>
        <v>100</v>
      </c>
      <c r="I613" s="664">
        <f t="shared" si="77"/>
        <v>86.935507304285537</v>
      </c>
      <c r="J613" s="88">
        <v>37643327.869999997</v>
      </c>
    </row>
    <row r="614" spans="1:10" customFormat="1" x14ac:dyDescent="0.2">
      <c r="A614" s="706"/>
      <c r="B614" s="971" t="s">
        <v>1628</v>
      </c>
      <c r="C614" s="1036">
        <f t="shared" si="88"/>
        <v>2123000</v>
      </c>
      <c r="D614" s="1036">
        <f t="shared" si="88"/>
        <v>2942605.5</v>
      </c>
      <c r="E614" s="708">
        <v>2942605.5</v>
      </c>
      <c r="F614" s="708">
        <f t="shared" si="89"/>
        <v>2942605.5</v>
      </c>
      <c r="G614" s="643">
        <f t="shared" si="85"/>
        <v>138.60600565237871</v>
      </c>
      <c r="H614" s="659">
        <f t="shared" si="74"/>
        <v>100</v>
      </c>
      <c r="I614" s="664">
        <f t="shared" si="77"/>
        <v>75.560714869892578</v>
      </c>
      <c r="J614" s="88">
        <v>3894359</v>
      </c>
    </row>
    <row r="615" spans="1:10" customFormat="1" x14ac:dyDescent="0.2">
      <c r="A615" s="706"/>
      <c r="B615" s="971" t="s">
        <v>1629</v>
      </c>
      <c r="C615" s="1036">
        <f t="shared" ref="C615:D615" si="90">+C619+C626+C630</f>
        <v>1962000</v>
      </c>
      <c r="D615" s="1036">
        <f t="shared" si="90"/>
        <v>8021099.0500000007</v>
      </c>
      <c r="E615" s="722">
        <v>8021099.0499999998</v>
      </c>
      <c r="F615" s="722">
        <f>SUM(E619,E626,E630)</f>
        <v>8021099.0499999998</v>
      </c>
      <c r="G615" s="643">
        <f t="shared" si="85"/>
        <v>408.82258154943935</v>
      </c>
      <c r="H615" s="659">
        <f t="shared" si="74"/>
        <v>99.999999999999986</v>
      </c>
      <c r="I615" s="664">
        <f t="shared" si="77"/>
        <v>208.48231440842312</v>
      </c>
      <c r="J615" s="88">
        <v>3847376.25</v>
      </c>
    </row>
    <row r="616" spans="1:10" customFormat="1" x14ac:dyDescent="0.2">
      <c r="A616" s="706"/>
      <c r="B616" s="971" t="s">
        <v>1630</v>
      </c>
      <c r="C616" s="1039">
        <f>SUM(C617:C619)</f>
        <v>10921000</v>
      </c>
      <c r="D616" s="1039">
        <f>SUM(D617:D619)</f>
        <v>11247960</v>
      </c>
      <c r="E616" s="735">
        <v>11247960</v>
      </c>
      <c r="F616" s="708">
        <f>SUM(E617:E619)</f>
        <v>11247960</v>
      </c>
      <c r="G616" s="642">
        <f t="shared" si="85"/>
        <v>102.99386503067484</v>
      </c>
      <c r="H616" s="644">
        <f t="shared" si="74"/>
        <v>100</v>
      </c>
      <c r="I616" s="651">
        <f t="shared" si="77"/>
        <v>71.149300890005449</v>
      </c>
      <c r="J616" s="88">
        <v>15808953.65</v>
      </c>
    </row>
    <row r="617" spans="1:10" customFormat="1" x14ac:dyDescent="0.2">
      <c r="A617" s="706"/>
      <c r="B617" s="971" t="s">
        <v>1631</v>
      </c>
      <c r="C617" s="1037">
        <v>9498000</v>
      </c>
      <c r="D617" s="1037">
        <f>9498000+90488+(4890+44010)+(-1607.2-14464.8)+32936+(9850+88650)</f>
        <v>9752752</v>
      </c>
      <c r="E617" s="722">
        <v>9752752</v>
      </c>
      <c r="F617" s="722"/>
      <c r="G617" s="643">
        <f t="shared" si="85"/>
        <v>102.68216466624554</v>
      </c>
      <c r="H617" s="659">
        <f t="shared" si="74"/>
        <v>100</v>
      </c>
      <c r="I617" s="664">
        <f t="shared" si="77"/>
        <v>70.388091576550138</v>
      </c>
      <c r="J617" s="88">
        <v>13855684.65</v>
      </c>
    </row>
    <row r="618" spans="1:10" customFormat="1" ht="27.75" customHeight="1" x14ac:dyDescent="0.2">
      <c r="A618" s="706"/>
      <c r="B618" s="971" t="s">
        <v>1632</v>
      </c>
      <c r="C618" s="1037">
        <v>1131000</v>
      </c>
      <c r="D618" s="1037">
        <f>1131000+72208</f>
        <v>1203208</v>
      </c>
      <c r="E618" s="722">
        <v>1203208</v>
      </c>
      <c r="F618" s="722"/>
      <c r="G618" s="643">
        <f t="shared" si="85"/>
        <v>106.38443854995579</v>
      </c>
      <c r="H618" s="659">
        <f t="shared" si="74"/>
        <v>100</v>
      </c>
      <c r="I618" s="664">
        <f t="shared" si="77"/>
        <v>224.3639923546688</v>
      </c>
      <c r="J618" s="32">
        <v>536275</v>
      </c>
    </row>
    <row r="619" spans="1:10" customFormat="1" x14ac:dyDescent="0.2">
      <c r="A619" s="706"/>
      <c r="B619" s="971" t="s">
        <v>1633</v>
      </c>
      <c r="C619" s="1037">
        <v>292000</v>
      </c>
      <c r="D619" s="1037">
        <v>292000</v>
      </c>
      <c r="E619" s="1036">
        <v>292000</v>
      </c>
      <c r="F619" s="1036"/>
      <c r="G619" s="643">
        <f t="shared" si="85"/>
        <v>100</v>
      </c>
      <c r="H619" s="659">
        <f t="shared" si="74"/>
        <v>100</v>
      </c>
      <c r="I619" s="664">
        <f t="shared" si="77"/>
        <v>20.607003275948944</v>
      </c>
      <c r="J619" s="88">
        <v>1416994</v>
      </c>
    </row>
    <row r="620" spans="1:10" customFormat="1" x14ac:dyDescent="0.2">
      <c r="A620" s="706"/>
      <c r="B620" s="971" t="s">
        <v>1634</v>
      </c>
      <c r="C620" s="1039">
        <f t="shared" ref="C620:D620" si="91">SUM(C621:C622)</f>
        <v>5733000</v>
      </c>
      <c r="D620" s="1039">
        <f t="shared" si="91"/>
        <v>6100871</v>
      </c>
      <c r="E620" s="1039">
        <v>6100871</v>
      </c>
      <c r="F620" s="1036">
        <f>SUM(E621:E622)</f>
        <v>6100871</v>
      </c>
      <c r="G620" s="642">
        <f t="shared" si="85"/>
        <v>106.41672771672772</v>
      </c>
      <c r="H620" s="644">
        <f t="shared" si="74"/>
        <v>100</v>
      </c>
      <c r="I620" s="651">
        <f t="shared" si="77"/>
        <v>59.841493001979906</v>
      </c>
      <c r="J620" s="88">
        <v>10195051.449999999</v>
      </c>
    </row>
    <row r="621" spans="1:10" customFormat="1" x14ac:dyDescent="0.2">
      <c r="A621" s="706"/>
      <c r="B621" s="971" t="s">
        <v>1635</v>
      </c>
      <c r="C621" s="1037">
        <v>5433000</v>
      </c>
      <c r="D621" s="1037">
        <f>5433000+(7519+67671)+173723+(-5202.4-46821.6)+(17098.2+153883.8)</f>
        <v>5800871</v>
      </c>
      <c r="E621" s="722">
        <v>5800871</v>
      </c>
      <c r="F621" s="900"/>
      <c r="G621" s="643">
        <f t="shared" si="85"/>
        <v>106.77104730351554</v>
      </c>
      <c r="H621" s="659">
        <f t="shared" si="74"/>
        <v>100</v>
      </c>
      <c r="I621" s="664">
        <f t="shared" si="77"/>
        <v>58.171780334080417</v>
      </c>
      <c r="J621" s="88">
        <v>9971967.4499999993</v>
      </c>
    </row>
    <row r="622" spans="1:10" customFormat="1" ht="24.75" x14ac:dyDescent="0.2">
      <c r="A622" s="706"/>
      <c r="B622" s="971" t="s">
        <v>1636</v>
      </c>
      <c r="C622" s="1037">
        <v>300000</v>
      </c>
      <c r="D622" s="1037">
        <v>300000</v>
      </c>
      <c r="E622" s="708">
        <v>300000</v>
      </c>
      <c r="F622" s="708"/>
      <c r="G622" s="643">
        <f t="shared" si="85"/>
        <v>100</v>
      </c>
      <c r="H622" s="659">
        <f t="shared" si="74"/>
        <v>100</v>
      </c>
      <c r="I622" s="664">
        <f t="shared" si="77"/>
        <v>134.4784924064478</v>
      </c>
      <c r="J622" s="32">
        <v>223084</v>
      </c>
    </row>
    <row r="623" spans="1:10" customFormat="1" x14ac:dyDescent="0.2">
      <c r="A623" s="706"/>
      <c r="B623" s="971" t="s">
        <v>1637</v>
      </c>
      <c r="C623" s="1039">
        <f t="shared" ref="C623:D627" si="92">SUM(C624:C626)</f>
        <v>5192000</v>
      </c>
      <c r="D623" s="1039">
        <f t="shared" si="92"/>
        <v>16366259.600000001</v>
      </c>
      <c r="E623" s="735">
        <v>16366259.6</v>
      </c>
      <c r="F623" s="708">
        <f>SUM(E624:E626)</f>
        <v>16366259.600000001</v>
      </c>
      <c r="G623" s="642">
        <f t="shared" si="85"/>
        <v>315.22071648690292</v>
      </c>
      <c r="H623" s="644">
        <f t="shared" si="74"/>
        <v>99.999999999999986</v>
      </c>
      <c r="I623" s="651">
        <f t="shared" si="77"/>
        <v>224.32480066735718</v>
      </c>
      <c r="J623" s="88">
        <v>7295786.9800000004</v>
      </c>
    </row>
    <row r="624" spans="1:10" customFormat="1" x14ac:dyDescent="0.2">
      <c r="A624" s="706"/>
      <c r="B624" s="971" t="s">
        <v>1638</v>
      </c>
      <c r="C624" s="1037">
        <v>4927000</v>
      </c>
      <c r="D624" s="1037">
        <f>4927000+(6180+55620)+313948+(261245.45+4441172.63)-13443.03+(-4116-37044)+(9159.75+82437.75)</f>
        <v>10042160.550000001</v>
      </c>
      <c r="E624" s="708">
        <v>10042160.550000001</v>
      </c>
      <c r="F624" s="708"/>
      <c r="G624" s="643">
        <f t="shared" si="85"/>
        <v>203.81896793180437</v>
      </c>
      <c r="H624" s="659">
        <f t="shared" si="74"/>
        <v>100</v>
      </c>
      <c r="I624" s="664">
        <f t="shared" si="77"/>
        <v>210.70934881598026</v>
      </c>
      <c r="J624" s="88">
        <v>4765882.7699999996</v>
      </c>
    </row>
    <row r="625" spans="1:10" customFormat="1" ht="24.75" x14ac:dyDescent="0.2">
      <c r="A625" s="706"/>
      <c r="B625" s="971" t="s">
        <v>1639</v>
      </c>
      <c r="C625" s="1037">
        <v>265000</v>
      </c>
      <c r="D625" s="1037">
        <v>265000</v>
      </c>
      <c r="E625" s="722">
        <v>265000</v>
      </c>
      <c r="F625" s="722"/>
      <c r="G625" s="643">
        <f t="shared" si="85"/>
        <v>100</v>
      </c>
      <c r="H625" s="659">
        <f t="shared" si="74"/>
        <v>100</v>
      </c>
      <c r="I625" s="664">
        <f t="shared" si="77"/>
        <v>20.622568093385212</v>
      </c>
      <c r="J625" s="32">
        <v>1285000</v>
      </c>
    </row>
    <row r="626" spans="1:10" customFormat="1" ht="24.75" x14ac:dyDescent="0.2">
      <c r="A626" s="706"/>
      <c r="B626" s="971" t="s">
        <v>1640</v>
      </c>
      <c r="C626" s="1037">
        <v>0</v>
      </c>
      <c r="D626" s="1037">
        <f>(336616.61+5722482.44)</f>
        <v>6059099.0500000007</v>
      </c>
      <c r="E626" s="722">
        <v>6059099.0499999998</v>
      </c>
      <c r="F626" s="722"/>
      <c r="G626" s="643">
        <v>0</v>
      </c>
      <c r="H626" s="659">
        <f t="shared" si="74"/>
        <v>99.999999999999986</v>
      </c>
      <c r="I626" s="664">
        <f t="shared" si="77"/>
        <v>486.7120699993456</v>
      </c>
      <c r="J626" s="32">
        <v>1244904.21</v>
      </c>
    </row>
    <row r="627" spans="1:10" customFormat="1" x14ac:dyDescent="0.2">
      <c r="A627" s="706"/>
      <c r="B627" s="971" t="s">
        <v>1641</v>
      </c>
      <c r="C627" s="1039">
        <f t="shared" si="92"/>
        <v>9138000</v>
      </c>
      <c r="D627" s="1039">
        <f t="shared" si="92"/>
        <v>9974032</v>
      </c>
      <c r="E627" s="735">
        <v>9974032</v>
      </c>
      <c r="F627" s="708">
        <f>SUM(E628:E630)</f>
        <v>9974032</v>
      </c>
      <c r="G627" s="642">
        <f t="shared" si="85"/>
        <v>109.14896038520463</v>
      </c>
      <c r="H627" s="644">
        <f t="shared" si="74"/>
        <v>100</v>
      </c>
      <c r="I627" s="651">
        <f t="shared" si="77"/>
        <v>82.53047835656983</v>
      </c>
      <c r="J627" s="88">
        <v>12085271.039999999</v>
      </c>
    </row>
    <row r="628" spans="1:10" customFormat="1" x14ac:dyDescent="0.2">
      <c r="A628" s="706"/>
      <c r="B628" s="971" t="s">
        <v>1642</v>
      </c>
      <c r="C628" s="1037">
        <v>7041000</v>
      </c>
      <c r="D628" s="1037">
        <f>7041000+(11663.45+104971.05)-28000</f>
        <v>7129634.5</v>
      </c>
      <c r="E628" s="708">
        <v>7129634.5</v>
      </c>
      <c r="F628" s="708"/>
      <c r="G628" s="643">
        <f t="shared" si="85"/>
        <v>101.25883397244711</v>
      </c>
      <c r="H628" s="659">
        <f t="shared" si="74"/>
        <v>100</v>
      </c>
      <c r="I628" s="664">
        <f t="shared" si="77"/>
        <v>78.782293694452449</v>
      </c>
      <c r="J628" s="88">
        <v>9049793</v>
      </c>
    </row>
    <row r="629" spans="1:10" customFormat="1" ht="24.75" x14ac:dyDescent="0.2">
      <c r="A629" s="706"/>
      <c r="B629" s="971" t="s">
        <v>1643</v>
      </c>
      <c r="C629" s="1037">
        <v>427000</v>
      </c>
      <c r="D629" s="1037">
        <f>427000+850000-102602.5</f>
        <v>1174397.5</v>
      </c>
      <c r="E629" s="708">
        <v>1174397.5</v>
      </c>
      <c r="F629" s="708"/>
      <c r="G629" s="643">
        <f t="shared" si="85"/>
        <v>275.0345433255269</v>
      </c>
      <c r="H629" s="659">
        <f t="shared" si="74"/>
        <v>100</v>
      </c>
      <c r="I629" s="664">
        <f t="shared" si="77"/>
        <v>63.48094594594594</v>
      </c>
      <c r="J629" s="32">
        <v>1850000</v>
      </c>
    </row>
    <row r="630" spans="1:10" customFormat="1" ht="25.5" x14ac:dyDescent="0.2">
      <c r="A630" s="706"/>
      <c r="B630" s="971" t="s">
        <v>1644</v>
      </c>
      <c r="C630" s="1037">
        <v>1670000</v>
      </c>
      <c r="D630" s="1037">
        <v>1670000</v>
      </c>
      <c r="E630" s="722">
        <v>1670000</v>
      </c>
      <c r="F630" s="722"/>
      <c r="G630" s="643">
        <f t="shared" si="85"/>
        <v>100</v>
      </c>
      <c r="H630" s="659">
        <f t="shared" si="74"/>
        <v>100</v>
      </c>
      <c r="I630" s="664">
        <f t="shared" si="77"/>
        <v>140.87144119514858</v>
      </c>
      <c r="J630" s="32">
        <v>1185478.04</v>
      </c>
    </row>
    <row r="631" spans="1:10" customFormat="1" x14ac:dyDescent="0.2">
      <c r="A631" s="769">
        <v>3233</v>
      </c>
      <c r="B631" s="1040" t="s">
        <v>665</v>
      </c>
      <c r="C631" s="1039">
        <f>C632</f>
        <v>2458000</v>
      </c>
      <c r="D631" s="1039">
        <f>D632</f>
        <v>2938600</v>
      </c>
      <c r="E631" s="899">
        <v>2938600</v>
      </c>
      <c r="F631" s="722"/>
      <c r="G631" s="642">
        <f t="shared" si="85"/>
        <v>119.55248169243286</v>
      </c>
      <c r="H631" s="644">
        <f t="shared" si="74"/>
        <v>100</v>
      </c>
      <c r="I631" s="651">
        <f t="shared" si="77"/>
        <v>54.173004455916725</v>
      </c>
      <c r="J631" s="88">
        <v>5424473</v>
      </c>
    </row>
    <row r="632" spans="1:10" customFormat="1" x14ac:dyDescent="0.2">
      <c r="A632" s="769"/>
      <c r="B632" s="971" t="s">
        <v>1645</v>
      </c>
      <c r="C632" s="1036">
        <f>SUM(C633:C635)</f>
        <v>2458000</v>
      </c>
      <c r="D632" s="1036">
        <f>SUM(D633:D635)</f>
        <v>2938600</v>
      </c>
      <c r="E632" s="708">
        <v>2938600</v>
      </c>
      <c r="F632" s="708">
        <f>SUM(E633:E635)</f>
        <v>2938600</v>
      </c>
      <c r="G632" s="643">
        <f t="shared" si="85"/>
        <v>119.55248169243286</v>
      </c>
      <c r="H632" s="659">
        <f t="shared" si="74"/>
        <v>100</v>
      </c>
      <c r="I632" s="664">
        <f t="shared" si="77"/>
        <v>54.173004455916725</v>
      </c>
      <c r="J632" s="88">
        <v>5424473</v>
      </c>
    </row>
    <row r="633" spans="1:10" customFormat="1" x14ac:dyDescent="0.2">
      <c r="A633" s="769"/>
      <c r="B633" s="971" t="s">
        <v>1646</v>
      </c>
      <c r="C633" s="1037">
        <v>2458000</v>
      </c>
      <c r="D633" s="1037">
        <f>2458000+210200+170400+100000</f>
        <v>2938600</v>
      </c>
      <c r="E633" s="708">
        <v>2938600</v>
      </c>
      <c r="F633" s="708"/>
      <c r="G633" s="643">
        <f t="shared" si="85"/>
        <v>119.55248169243286</v>
      </c>
      <c r="H633" s="659">
        <f t="shared" si="74"/>
        <v>100</v>
      </c>
      <c r="I633" s="664">
        <f t="shared" si="77"/>
        <v>58.520677100125795</v>
      </c>
      <c r="J633" s="88">
        <v>5021473</v>
      </c>
    </row>
    <row r="634" spans="1:10" customFormat="1" ht="25.5" x14ac:dyDescent="0.2">
      <c r="A634" s="769"/>
      <c r="B634" s="971" t="s">
        <v>1647</v>
      </c>
      <c r="C634" s="1037">
        <v>0</v>
      </c>
      <c r="D634" s="1037">
        <v>0</v>
      </c>
      <c r="E634" s="708">
        <v>0</v>
      </c>
      <c r="F634" s="708"/>
      <c r="G634" s="643">
        <v>0</v>
      </c>
      <c r="H634" s="659">
        <v>0</v>
      </c>
      <c r="I634" s="664">
        <f t="shared" si="77"/>
        <v>0</v>
      </c>
      <c r="J634" s="32">
        <v>275000</v>
      </c>
    </row>
    <row r="635" spans="1:10" customFormat="1" x14ac:dyDescent="0.2">
      <c r="A635" s="769"/>
      <c r="B635" s="971" t="s">
        <v>1648</v>
      </c>
      <c r="C635" s="1037">
        <v>0</v>
      </c>
      <c r="D635" s="1037">
        <v>0</v>
      </c>
      <c r="E635" s="708">
        <v>0</v>
      </c>
      <c r="F635" s="708"/>
      <c r="G635" s="643">
        <v>0</v>
      </c>
      <c r="H635" s="659">
        <v>0</v>
      </c>
      <c r="I635" s="664">
        <f t="shared" si="77"/>
        <v>0</v>
      </c>
      <c r="J635" s="88">
        <v>128000</v>
      </c>
    </row>
    <row r="636" spans="1:10" customFormat="1" x14ac:dyDescent="0.2">
      <c r="A636" s="769">
        <v>3419</v>
      </c>
      <c r="B636" s="1040" t="s">
        <v>1649</v>
      </c>
      <c r="C636" s="1041">
        <v>80000</v>
      </c>
      <c r="D636" s="1041">
        <f>80000+134310+22000</f>
        <v>236310</v>
      </c>
      <c r="E636" s="735">
        <v>225006.96</v>
      </c>
      <c r="F636" s="708"/>
      <c r="G636" s="642">
        <f t="shared" si="85"/>
        <v>281.25869999999998</v>
      </c>
      <c r="H636" s="644">
        <f t="shared" si="74"/>
        <v>95.216859210359274</v>
      </c>
      <c r="I636" s="651">
        <f t="shared" si="77"/>
        <v>274.04114143739264</v>
      </c>
      <c r="J636" s="88">
        <v>82107</v>
      </c>
    </row>
    <row r="637" spans="1:10" customFormat="1" x14ac:dyDescent="0.2">
      <c r="A637" s="953"/>
      <c r="B637" s="1042"/>
      <c r="C637" s="1043"/>
      <c r="D637" s="1043"/>
      <c r="E637" s="735"/>
      <c r="F637" s="708"/>
      <c r="G637" s="642"/>
      <c r="H637" s="644"/>
      <c r="I637" s="645"/>
      <c r="J637" s="88"/>
    </row>
    <row r="638" spans="1:10" customFormat="1" ht="15.75" x14ac:dyDescent="0.25">
      <c r="A638" s="903"/>
      <c r="B638" s="1031" t="s">
        <v>671</v>
      </c>
      <c r="C638" s="1044">
        <f t="shared" ref="C638:D638" si="93">SUM(C639,C643,C646,C652,C655,C662)</f>
        <v>43723000</v>
      </c>
      <c r="D638" s="1044">
        <f t="shared" si="93"/>
        <v>48063233.549999997</v>
      </c>
      <c r="E638" s="911">
        <v>47730841.049999997</v>
      </c>
      <c r="F638" s="1032">
        <f>SUM(E639,E643,E646,E652,E655,E662)</f>
        <v>47730841.049999997</v>
      </c>
      <c r="G638" s="788">
        <f t="shared" ref="G638:G701" si="94">E638/C638*100</f>
        <v>109.16643654369554</v>
      </c>
      <c r="H638" s="788">
        <f t="shared" si="74"/>
        <v>99.308426679919037</v>
      </c>
      <c r="I638" s="826">
        <f t="shared" si="77"/>
        <v>101.40577515369635</v>
      </c>
      <c r="J638" s="88">
        <v>47069154.57</v>
      </c>
    </row>
    <row r="639" spans="1:10" customFormat="1" x14ac:dyDescent="0.2">
      <c r="A639" s="1045">
        <v>3311</v>
      </c>
      <c r="B639" s="1046" t="s">
        <v>1650</v>
      </c>
      <c r="C639" s="1041">
        <f>SUM(C640:C642)</f>
        <v>14219000</v>
      </c>
      <c r="D639" s="1041">
        <f>SUM(D640:D642)</f>
        <v>13527452</v>
      </c>
      <c r="E639" s="735">
        <v>13527452</v>
      </c>
      <c r="F639" s="708">
        <f>SUM(E640:E641)</f>
        <v>13527452</v>
      </c>
      <c r="G639" s="642">
        <f t="shared" si="94"/>
        <v>95.136451227231163</v>
      </c>
      <c r="H639" s="644">
        <f t="shared" si="74"/>
        <v>100</v>
      </c>
      <c r="I639" s="651">
        <f t="shared" si="77"/>
        <v>97.296293456587961</v>
      </c>
      <c r="J639" s="88">
        <v>13903358</v>
      </c>
    </row>
    <row r="640" spans="1:10" customFormat="1" x14ac:dyDescent="0.2">
      <c r="A640" s="1047"/>
      <c r="B640" s="1048" t="s">
        <v>1651</v>
      </c>
      <c r="C640" s="1037">
        <v>14219000</v>
      </c>
      <c r="D640" s="1037">
        <f>14219000-1548-690000</f>
        <v>13527452</v>
      </c>
      <c r="E640" s="708">
        <v>13527452</v>
      </c>
      <c r="F640" s="708"/>
      <c r="G640" s="643">
        <f t="shared" si="94"/>
        <v>95.136451227231163</v>
      </c>
      <c r="H640" s="659">
        <f t="shared" si="74"/>
        <v>100</v>
      </c>
      <c r="I640" s="664">
        <f t="shared" si="77"/>
        <v>97.296293456587961</v>
      </c>
      <c r="J640" s="88">
        <v>13903358</v>
      </c>
    </row>
    <row r="641" spans="1:10" customFormat="1" x14ac:dyDescent="0.2">
      <c r="A641" s="1047"/>
      <c r="B641" s="1048" t="s">
        <v>1652</v>
      </c>
      <c r="C641" s="1037">
        <v>0</v>
      </c>
      <c r="D641" s="1037">
        <v>0</v>
      </c>
      <c r="E641" s="708">
        <v>0</v>
      </c>
      <c r="F641" s="708"/>
      <c r="G641" s="643">
        <v>0</v>
      </c>
      <c r="H641" s="659">
        <v>0</v>
      </c>
      <c r="I641" s="664">
        <v>0</v>
      </c>
      <c r="J641" s="88">
        <v>0</v>
      </c>
    </row>
    <row r="642" spans="1:10" customFormat="1" x14ac:dyDescent="0.2">
      <c r="A642" s="1047"/>
      <c r="B642" s="971" t="s">
        <v>1653</v>
      </c>
      <c r="C642" s="1037">
        <v>0</v>
      </c>
      <c r="D642" s="1037">
        <v>0</v>
      </c>
      <c r="E642" s="722">
        <v>0</v>
      </c>
      <c r="F642" s="722"/>
      <c r="G642" s="643">
        <v>0</v>
      </c>
      <c r="H642" s="659">
        <v>0</v>
      </c>
      <c r="I642" s="664">
        <v>0</v>
      </c>
      <c r="J642" s="88">
        <v>0</v>
      </c>
    </row>
    <row r="643" spans="1:10" customFormat="1" x14ac:dyDescent="0.2">
      <c r="A643" s="1049">
        <v>3319</v>
      </c>
      <c r="B643" s="1050" t="s">
        <v>676</v>
      </c>
      <c r="C643" s="1039">
        <f t="shared" ref="C643:D643" si="95">SUM(C644:C645)</f>
        <v>1120000</v>
      </c>
      <c r="D643" s="1039">
        <f t="shared" si="95"/>
        <v>1147000</v>
      </c>
      <c r="E643" s="735">
        <v>990778.46</v>
      </c>
      <c r="F643" s="708">
        <f>SUM(E644:E645)</f>
        <v>990778.46</v>
      </c>
      <c r="G643" s="642">
        <f t="shared" si="94"/>
        <v>88.462362499999998</v>
      </c>
      <c r="H643" s="644">
        <f t="shared" si="74"/>
        <v>86.379987794245864</v>
      </c>
      <c r="I643" s="651">
        <f t="shared" si="77"/>
        <v>108.95633866895589</v>
      </c>
      <c r="J643" s="88">
        <v>909335.31</v>
      </c>
    </row>
    <row r="644" spans="1:10" customFormat="1" x14ac:dyDescent="0.2">
      <c r="A644" s="1049"/>
      <c r="B644" s="1048" t="s">
        <v>1654</v>
      </c>
      <c r="C644" s="1037">
        <v>470000</v>
      </c>
      <c r="D644" s="1037">
        <f>470000+(-15000-5000)</f>
        <v>450000</v>
      </c>
      <c r="E644" s="708">
        <v>394174.82</v>
      </c>
      <c r="F644" s="708"/>
      <c r="G644" s="643">
        <f t="shared" si="94"/>
        <v>83.866982978723399</v>
      </c>
      <c r="H644" s="659">
        <f t="shared" si="74"/>
        <v>87.59440444444445</v>
      </c>
      <c r="I644" s="664">
        <f t="shared" si="77"/>
        <v>86.538920006518723</v>
      </c>
      <c r="J644" s="88">
        <v>455488.49</v>
      </c>
    </row>
    <row r="645" spans="1:10" customFormat="1" x14ac:dyDescent="0.2">
      <c r="A645" s="1049"/>
      <c r="B645" s="1051" t="s">
        <v>678</v>
      </c>
      <c r="C645" s="1037">
        <v>650000</v>
      </c>
      <c r="D645" s="1037">
        <f>650000+47000</f>
        <v>697000</v>
      </c>
      <c r="E645" s="722">
        <v>596603.64</v>
      </c>
      <c r="F645" s="722"/>
      <c r="G645" s="643">
        <f t="shared" si="94"/>
        <v>91.785175384615385</v>
      </c>
      <c r="H645" s="659">
        <f t="shared" si="74"/>
        <v>85.595931133428977</v>
      </c>
      <c r="I645" s="664">
        <f t="shared" si="77"/>
        <v>131.454846373056</v>
      </c>
      <c r="J645" s="88">
        <v>453846.82</v>
      </c>
    </row>
    <row r="646" spans="1:10" customFormat="1" x14ac:dyDescent="0.2">
      <c r="A646" s="1049" t="s">
        <v>1655</v>
      </c>
      <c r="B646" s="1050" t="s">
        <v>679</v>
      </c>
      <c r="C646" s="1039">
        <f t="shared" ref="C646:D646" si="96">C647+C649+C650+C651+C648</f>
        <v>593000</v>
      </c>
      <c r="D646" s="1039">
        <f t="shared" si="96"/>
        <v>368000</v>
      </c>
      <c r="E646" s="735">
        <v>277751</v>
      </c>
      <c r="F646" s="708">
        <f>SUM(E647:E651)</f>
        <v>277751</v>
      </c>
      <c r="G646" s="642">
        <f t="shared" si="94"/>
        <v>46.838279932546371</v>
      </c>
      <c r="H646" s="644">
        <f t="shared" si="74"/>
        <v>75.4758152173913</v>
      </c>
      <c r="I646" s="651">
        <f t="shared" si="77"/>
        <v>74.936193174153516</v>
      </c>
      <c r="J646" s="88">
        <v>370650</v>
      </c>
    </row>
    <row r="647" spans="1:10" customFormat="1" x14ac:dyDescent="0.2">
      <c r="A647" s="1047"/>
      <c r="B647" s="1048" t="s">
        <v>1656</v>
      </c>
      <c r="C647" s="1037">
        <v>120000</v>
      </c>
      <c r="D647" s="1037">
        <v>120000</v>
      </c>
      <c r="E647" s="708">
        <v>90000</v>
      </c>
      <c r="F647" s="708"/>
      <c r="G647" s="643">
        <f t="shared" si="94"/>
        <v>75</v>
      </c>
      <c r="H647" s="659">
        <f t="shared" ref="H647:H710" si="97">E647/D647*100</f>
        <v>75</v>
      </c>
      <c r="I647" s="664">
        <v>0</v>
      </c>
      <c r="J647" s="88">
        <v>0</v>
      </c>
    </row>
    <row r="648" spans="1:10" customFormat="1" x14ac:dyDescent="0.2">
      <c r="A648" s="1047"/>
      <c r="B648" s="1048" t="s">
        <v>1657</v>
      </c>
      <c r="C648" s="1037">
        <v>5000</v>
      </c>
      <c r="D648" s="1037">
        <v>5000</v>
      </c>
      <c r="E648" s="708">
        <v>0</v>
      </c>
      <c r="F648" s="708"/>
      <c r="G648" s="643">
        <f t="shared" si="94"/>
        <v>0</v>
      </c>
      <c r="H648" s="659">
        <f t="shared" si="97"/>
        <v>0</v>
      </c>
      <c r="I648" s="664">
        <v>0</v>
      </c>
      <c r="J648" s="88">
        <v>0</v>
      </c>
    </row>
    <row r="649" spans="1:10" customFormat="1" x14ac:dyDescent="0.2">
      <c r="A649" s="1047"/>
      <c r="B649" s="1048" t="s">
        <v>1658</v>
      </c>
      <c r="C649" s="1037">
        <v>100000</v>
      </c>
      <c r="D649" s="1037">
        <f>100000-30000-7000</f>
        <v>63000</v>
      </c>
      <c r="E649" s="708">
        <v>26136</v>
      </c>
      <c r="F649" s="708"/>
      <c r="G649" s="643">
        <f t="shared" si="94"/>
        <v>26.135999999999999</v>
      </c>
      <c r="H649" s="659">
        <f t="shared" si="97"/>
        <v>41.485714285714288</v>
      </c>
      <c r="I649" s="664">
        <f t="shared" si="77"/>
        <v>86.055776892430274</v>
      </c>
      <c r="J649" s="88">
        <v>30371</v>
      </c>
    </row>
    <row r="650" spans="1:10" customFormat="1" ht="25.5" x14ac:dyDescent="0.2">
      <c r="A650" s="1047"/>
      <c r="B650" s="1048" t="s">
        <v>1659</v>
      </c>
      <c r="C650" s="1037">
        <v>168000</v>
      </c>
      <c r="D650" s="1037">
        <f>168000-25000+7000</f>
        <v>150000</v>
      </c>
      <c r="E650" s="722">
        <v>148305</v>
      </c>
      <c r="F650" s="722"/>
      <c r="G650" s="643">
        <f t="shared" si="94"/>
        <v>88.276785714285708</v>
      </c>
      <c r="H650" s="659">
        <f t="shared" si="97"/>
        <v>98.87</v>
      </c>
      <c r="I650" s="664">
        <f t="shared" si="77"/>
        <v>116.82710486513739</v>
      </c>
      <c r="J650" s="32">
        <v>126944</v>
      </c>
    </row>
    <row r="651" spans="1:10" customFormat="1" x14ac:dyDescent="0.2">
      <c r="A651" s="1047"/>
      <c r="B651" s="1048" t="s">
        <v>1660</v>
      </c>
      <c r="C651" s="1037">
        <v>200000</v>
      </c>
      <c r="D651" s="1037">
        <f>200000-170000</f>
        <v>30000</v>
      </c>
      <c r="E651" s="708">
        <v>13310</v>
      </c>
      <c r="F651" s="708"/>
      <c r="G651" s="643">
        <f t="shared" si="94"/>
        <v>6.6549999999999994</v>
      </c>
      <c r="H651" s="659">
        <f t="shared" si="97"/>
        <v>44.366666666666667</v>
      </c>
      <c r="I651" s="664">
        <f t="shared" si="77"/>
        <v>6.2390137577050178</v>
      </c>
      <c r="J651" s="88">
        <v>213335</v>
      </c>
    </row>
    <row r="652" spans="1:10" customFormat="1" x14ac:dyDescent="0.2">
      <c r="A652" s="1049" t="s">
        <v>1661</v>
      </c>
      <c r="B652" s="1050" t="s">
        <v>1662</v>
      </c>
      <c r="C652" s="1039">
        <f t="shared" ref="C652:D652" si="98">C653+C654</f>
        <v>555000</v>
      </c>
      <c r="D652" s="1039">
        <f t="shared" si="98"/>
        <v>738810.55</v>
      </c>
      <c r="E652" s="735">
        <v>714695.59</v>
      </c>
      <c r="F652" s="708">
        <f>SUM(E653:E654)</f>
        <v>714695.59</v>
      </c>
      <c r="G652" s="642">
        <f t="shared" si="94"/>
        <v>128.77398018018019</v>
      </c>
      <c r="H652" s="644">
        <f t="shared" si="97"/>
        <v>96.735975142748018</v>
      </c>
      <c r="I652" s="651">
        <f t="shared" ref="I652:I715" si="99">E652/J652*100</f>
        <v>169.45650976284878</v>
      </c>
      <c r="J652" s="88">
        <v>421757.53</v>
      </c>
    </row>
    <row r="653" spans="1:10" customFormat="1" ht="25.5" x14ac:dyDescent="0.2">
      <c r="A653" s="1047"/>
      <c r="B653" s="1048" t="s">
        <v>1663</v>
      </c>
      <c r="C653" s="1037">
        <v>540000</v>
      </c>
      <c r="D653" s="1037">
        <f>540000+195000+158810.55-170000</f>
        <v>723810.55</v>
      </c>
      <c r="E653" s="708">
        <v>707539.88</v>
      </c>
      <c r="F653" s="708"/>
      <c r="G653" s="643">
        <f t="shared" si="94"/>
        <v>131.0259037037037</v>
      </c>
      <c r="H653" s="659">
        <f t="shared" si="97"/>
        <v>97.752081673857887</v>
      </c>
      <c r="I653" s="664">
        <f t="shared" si="99"/>
        <v>168.71776077723212</v>
      </c>
      <c r="J653" s="32">
        <v>419363.01</v>
      </c>
    </row>
    <row r="654" spans="1:10" customFormat="1" x14ac:dyDescent="0.2">
      <c r="A654" s="1047"/>
      <c r="B654" s="1048" t="s">
        <v>1664</v>
      </c>
      <c r="C654" s="1037">
        <v>15000</v>
      </c>
      <c r="D654" s="1037">
        <v>15000</v>
      </c>
      <c r="E654" s="722">
        <v>7155.71</v>
      </c>
      <c r="F654" s="722"/>
      <c r="G654" s="643">
        <f t="shared" si="94"/>
        <v>47.70473333333333</v>
      </c>
      <c r="H654" s="659">
        <f t="shared" si="97"/>
        <v>47.70473333333333</v>
      </c>
      <c r="I654" s="664">
        <f t="shared" si="99"/>
        <v>296.36159567947249</v>
      </c>
      <c r="J654" s="88">
        <v>2414.52</v>
      </c>
    </row>
    <row r="655" spans="1:10" customFormat="1" x14ac:dyDescent="0.2">
      <c r="A655" s="1049">
        <v>3392</v>
      </c>
      <c r="B655" s="1050" t="s">
        <v>687</v>
      </c>
      <c r="C655" s="1039">
        <f t="shared" ref="C655:D655" si="100">C657+C656</f>
        <v>26946000</v>
      </c>
      <c r="D655" s="1039">
        <f t="shared" si="100"/>
        <v>32071971</v>
      </c>
      <c r="E655" s="735">
        <v>32055958</v>
      </c>
      <c r="F655" s="708"/>
      <c r="G655" s="642">
        <f t="shared" si="94"/>
        <v>118.96369776590217</v>
      </c>
      <c r="H655" s="644">
        <f t="shared" si="97"/>
        <v>99.950071668498325</v>
      </c>
      <c r="I655" s="651">
        <f t="shared" si="99"/>
        <v>102.59738299203218</v>
      </c>
      <c r="J655" s="88">
        <v>31244420.73</v>
      </c>
    </row>
    <row r="656" spans="1:10" customFormat="1" x14ac:dyDescent="0.2">
      <c r="A656" s="1049"/>
      <c r="B656" s="1048" t="s">
        <v>1665</v>
      </c>
      <c r="C656" s="1037">
        <v>26000</v>
      </c>
      <c r="D656" s="1037">
        <v>26000</v>
      </c>
      <c r="E656" s="722">
        <v>9987</v>
      </c>
      <c r="F656" s="722"/>
      <c r="G656" s="643">
        <f t="shared" si="94"/>
        <v>38.411538461538463</v>
      </c>
      <c r="H656" s="659">
        <f t="shared" si="97"/>
        <v>38.411538461538463</v>
      </c>
      <c r="I656" s="664">
        <f t="shared" si="99"/>
        <v>59.277065527065531</v>
      </c>
      <c r="J656" s="88">
        <v>16848</v>
      </c>
    </row>
    <row r="657" spans="1:10" customFormat="1" x14ac:dyDescent="0.2">
      <c r="A657" s="1047"/>
      <c r="B657" s="1048" t="s">
        <v>1666</v>
      </c>
      <c r="C657" s="1039">
        <f t="shared" ref="C657:D657" si="101">SUM(C658+C661+C660)</f>
        <v>26920000</v>
      </c>
      <c r="D657" s="1039">
        <f t="shared" si="101"/>
        <v>32045971</v>
      </c>
      <c r="E657" s="735">
        <v>32045971</v>
      </c>
      <c r="F657" s="708">
        <f>SUM(E658:E661)</f>
        <v>32045971</v>
      </c>
      <c r="G657" s="642">
        <f t="shared" si="94"/>
        <v>119.04149702823179</v>
      </c>
      <c r="H657" s="644">
        <f t="shared" si="97"/>
        <v>100</v>
      </c>
      <c r="I657" s="651">
        <f t="shared" si="99"/>
        <v>102.62075530838095</v>
      </c>
      <c r="J657" s="88">
        <v>31227572.73</v>
      </c>
    </row>
    <row r="658" spans="1:10" customFormat="1" x14ac:dyDescent="0.2">
      <c r="A658" s="1047"/>
      <c r="B658" s="1048" t="s">
        <v>1667</v>
      </c>
      <c r="C658" s="1037">
        <v>26920000</v>
      </c>
      <c r="D658" s="1037">
        <f>26920000+4743000+18200+150000+214771</f>
        <v>32045971</v>
      </c>
      <c r="E658" s="708">
        <v>32045971</v>
      </c>
      <c r="F658" s="708"/>
      <c r="G658" s="643">
        <f t="shared" si="94"/>
        <v>119.04149702823179</v>
      </c>
      <c r="H658" s="659">
        <f t="shared" si="97"/>
        <v>100</v>
      </c>
      <c r="I658" s="664">
        <f t="shared" si="99"/>
        <v>102.62075530838095</v>
      </c>
      <c r="J658" s="88">
        <v>31227572.73</v>
      </c>
    </row>
    <row r="659" spans="1:10" customFormat="1" x14ac:dyDescent="0.2">
      <c r="A659" s="1047"/>
      <c r="B659" s="1048" t="s">
        <v>691</v>
      </c>
      <c r="C659" s="1037"/>
      <c r="D659" s="1037"/>
      <c r="E659" s="708"/>
      <c r="F659" s="708"/>
      <c r="G659" s="643"/>
      <c r="H659" s="659"/>
      <c r="I659" s="664"/>
      <c r="J659" s="88"/>
    </row>
    <row r="660" spans="1:10" customFormat="1" ht="25.5" x14ac:dyDescent="0.2">
      <c r="A660" s="1047"/>
      <c r="B660" s="1048" t="s">
        <v>1668</v>
      </c>
      <c r="C660" s="1037">
        <v>0</v>
      </c>
      <c r="D660" s="1037">
        <v>0</v>
      </c>
      <c r="E660" s="708">
        <v>0</v>
      </c>
      <c r="F660" s="708"/>
      <c r="G660" s="643">
        <v>0</v>
      </c>
      <c r="H660" s="659">
        <v>0</v>
      </c>
      <c r="I660" s="664">
        <v>0</v>
      </c>
      <c r="J660" s="32">
        <v>0</v>
      </c>
    </row>
    <row r="661" spans="1:10" customFormat="1" ht="36.75" x14ac:dyDescent="0.2">
      <c r="A661" s="1047"/>
      <c r="B661" s="1048" t="s">
        <v>1669</v>
      </c>
      <c r="C661" s="1037">
        <v>0</v>
      </c>
      <c r="D661" s="1037">
        <v>0</v>
      </c>
      <c r="E661" s="708">
        <v>0</v>
      </c>
      <c r="F661" s="708"/>
      <c r="G661" s="643">
        <v>0</v>
      </c>
      <c r="H661" s="659">
        <v>0</v>
      </c>
      <c r="I661" s="664">
        <v>0</v>
      </c>
      <c r="J661" s="32">
        <v>0</v>
      </c>
    </row>
    <row r="662" spans="1:10" customFormat="1" x14ac:dyDescent="0.2">
      <c r="A662" s="1049">
        <v>3399</v>
      </c>
      <c r="B662" s="1050" t="s">
        <v>694</v>
      </c>
      <c r="C662" s="1039">
        <f t="shared" ref="C662:D665" si="102">C663</f>
        <v>290000</v>
      </c>
      <c r="D662" s="1039">
        <f t="shared" si="102"/>
        <v>210000</v>
      </c>
      <c r="E662" s="735">
        <v>164206</v>
      </c>
      <c r="F662" s="708"/>
      <c r="G662" s="642">
        <f t="shared" si="94"/>
        <v>56.622758620689652</v>
      </c>
      <c r="H662" s="644">
        <f t="shared" si="97"/>
        <v>78.193333333333342</v>
      </c>
      <c r="I662" s="651">
        <f t="shared" si="99"/>
        <v>74.76381053848921</v>
      </c>
      <c r="J662" s="88">
        <v>219633</v>
      </c>
    </row>
    <row r="663" spans="1:10" customFormat="1" x14ac:dyDescent="0.2">
      <c r="A663" s="1047"/>
      <c r="B663" s="1048" t="s">
        <v>695</v>
      </c>
      <c r="C663" s="1037">
        <v>290000</v>
      </c>
      <c r="D663" s="1037">
        <f>290000+(-40000-40000)</f>
        <v>210000</v>
      </c>
      <c r="E663" s="722">
        <v>164206</v>
      </c>
      <c r="F663" s="722"/>
      <c r="G663" s="643">
        <f t="shared" si="94"/>
        <v>56.622758620689652</v>
      </c>
      <c r="H663" s="659">
        <f t="shared" si="97"/>
        <v>78.193333333333342</v>
      </c>
      <c r="I663" s="664">
        <f t="shared" si="99"/>
        <v>74.76381053848921</v>
      </c>
      <c r="J663" s="88">
        <v>219633</v>
      </c>
    </row>
    <row r="664" spans="1:10" customFormat="1" x14ac:dyDescent="0.2">
      <c r="A664" s="1052"/>
      <c r="B664" s="1053"/>
      <c r="C664" s="1054"/>
      <c r="D664" s="1054"/>
      <c r="E664" s="708"/>
      <c r="F664" s="708"/>
      <c r="G664" s="643"/>
      <c r="H664" s="659"/>
      <c r="I664" s="660"/>
      <c r="J664" s="88"/>
    </row>
    <row r="665" spans="1:10" customFormat="1" ht="20.25" x14ac:dyDescent="0.3">
      <c r="A665" s="903"/>
      <c r="B665" s="904" t="s">
        <v>696</v>
      </c>
      <c r="C665" s="1055">
        <f t="shared" si="102"/>
        <v>24990300</v>
      </c>
      <c r="D665" s="1055">
        <f t="shared" si="102"/>
        <v>25944200</v>
      </c>
      <c r="E665" s="1056">
        <v>25254708.719999999</v>
      </c>
      <c r="F665" s="1057"/>
      <c r="G665" s="810">
        <f t="shared" si="94"/>
        <v>101.05804540161583</v>
      </c>
      <c r="H665" s="810">
        <f t="shared" si="97"/>
        <v>97.342406857794799</v>
      </c>
      <c r="I665" s="826">
        <f t="shared" si="99"/>
        <v>115.65365404561479</v>
      </c>
      <c r="J665" s="88">
        <v>21836498.75</v>
      </c>
    </row>
    <row r="666" spans="1:10" customFormat="1" x14ac:dyDescent="0.2">
      <c r="A666" s="769"/>
      <c r="B666" s="1033" t="s">
        <v>697</v>
      </c>
      <c r="C666" s="1058">
        <f t="shared" ref="C666:D666" si="103">SUM(C667:C676)</f>
        <v>24990300</v>
      </c>
      <c r="D666" s="1058">
        <f t="shared" si="103"/>
        <v>25944200</v>
      </c>
      <c r="E666" s="646">
        <v>25254708.719999999</v>
      </c>
      <c r="F666" s="647">
        <f>SUM(E667:E676)</f>
        <v>25254708.719999999</v>
      </c>
      <c r="G666" s="642">
        <f t="shared" si="94"/>
        <v>101.05804540161583</v>
      </c>
      <c r="H666" s="644">
        <f t="shared" si="97"/>
        <v>97.342406857794799</v>
      </c>
      <c r="I666" s="645">
        <f t="shared" si="99"/>
        <v>115.65365404561479</v>
      </c>
      <c r="J666" s="88">
        <v>21836498.75</v>
      </c>
    </row>
    <row r="667" spans="1:10" customFormat="1" x14ac:dyDescent="0.2">
      <c r="A667" s="706"/>
      <c r="B667" s="971" t="s">
        <v>698</v>
      </c>
      <c r="C667" s="1037">
        <v>1070000</v>
      </c>
      <c r="D667" s="1037">
        <v>1070000</v>
      </c>
      <c r="E667" s="708">
        <v>1025000</v>
      </c>
      <c r="F667" s="708"/>
      <c r="G667" s="643">
        <f t="shared" si="94"/>
        <v>95.794392523364493</v>
      </c>
      <c r="H667" s="659">
        <f t="shared" si="97"/>
        <v>95.794392523364493</v>
      </c>
      <c r="I667" s="660">
        <f t="shared" si="99"/>
        <v>105.67010309278351</v>
      </c>
      <c r="J667" s="88">
        <v>970000</v>
      </c>
    </row>
    <row r="668" spans="1:10" customFormat="1" x14ac:dyDescent="0.2">
      <c r="A668" s="706"/>
      <c r="B668" s="971" t="s">
        <v>699</v>
      </c>
      <c r="C668" s="1037">
        <v>193100</v>
      </c>
      <c r="D668" s="1037">
        <v>193100</v>
      </c>
      <c r="E668" s="708">
        <v>187224.87</v>
      </c>
      <c r="F668" s="708"/>
      <c r="G668" s="643">
        <f t="shared" si="94"/>
        <v>96.957467633350589</v>
      </c>
      <c r="H668" s="659">
        <f t="shared" si="97"/>
        <v>96.957467633350589</v>
      </c>
      <c r="I668" s="660">
        <f t="shared" si="99"/>
        <v>143.46733333333333</v>
      </c>
      <c r="J668" s="88">
        <v>130500</v>
      </c>
    </row>
    <row r="669" spans="1:10" customFormat="1" x14ac:dyDescent="0.2">
      <c r="A669" s="706"/>
      <c r="B669" s="971" t="s">
        <v>700</v>
      </c>
      <c r="C669" s="1037">
        <f>5000000-10000</f>
        <v>4990000</v>
      </c>
      <c r="D669" s="1037">
        <f>5000000-10000</f>
        <v>4990000</v>
      </c>
      <c r="E669" s="708">
        <v>4990000</v>
      </c>
      <c r="F669" s="708"/>
      <c r="G669" s="643">
        <f t="shared" si="94"/>
        <v>100</v>
      </c>
      <c r="H669" s="659">
        <f t="shared" si="97"/>
        <v>100</v>
      </c>
      <c r="I669" s="660">
        <f t="shared" si="99"/>
        <v>134.86486486486487</v>
      </c>
      <c r="J669" s="88">
        <v>3700000</v>
      </c>
    </row>
    <row r="670" spans="1:10" customFormat="1" x14ac:dyDescent="0.2">
      <c r="A670" s="706"/>
      <c r="B670" s="971" t="s">
        <v>701</v>
      </c>
      <c r="C670" s="1037">
        <v>7250000</v>
      </c>
      <c r="D670" s="1037">
        <v>7250000</v>
      </c>
      <c r="E670" s="708">
        <v>7250000</v>
      </c>
      <c r="F670" s="708"/>
      <c r="G670" s="643">
        <f t="shared" si="94"/>
        <v>100</v>
      </c>
      <c r="H670" s="659">
        <f t="shared" si="97"/>
        <v>100</v>
      </c>
      <c r="I670" s="660">
        <f t="shared" si="99"/>
        <v>122.28031708551188</v>
      </c>
      <c r="J670" s="88">
        <v>5929000</v>
      </c>
    </row>
    <row r="671" spans="1:10" customFormat="1" x14ac:dyDescent="0.2">
      <c r="A671" s="706"/>
      <c r="B671" s="971" t="s">
        <v>702</v>
      </c>
      <c r="C671" s="1037">
        <v>50000</v>
      </c>
      <c r="D671" s="1037">
        <v>50000</v>
      </c>
      <c r="E671" s="708">
        <v>48689</v>
      </c>
      <c r="F671" s="708"/>
      <c r="G671" s="643">
        <f t="shared" si="94"/>
        <v>97.378</v>
      </c>
      <c r="H671" s="659">
        <f t="shared" si="97"/>
        <v>97.378</v>
      </c>
      <c r="I671" s="660">
        <f t="shared" si="99"/>
        <v>118.75365853658538</v>
      </c>
      <c r="J671" s="88">
        <v>41000</v>
      </c>
    </row>
    <row r="672" spans="1:10" customFormat="1" x14ac:dyDescent="0.2">
      <c r="A672" s="706"/>
      <c r="B672" s="971" t="s">
        <v>703</v>
      </c>
      <c r="C672" s="1037">
        <f>8500000-15000</f>
        <v>8485000</v>
      </c>
      <c r="D672" s="1037">
        <f>8500000-15000</f>
        <v>8485000</v>
      </c>
      <c r="E672" s="708">
        <v>7889995.8600000003</v>
      </c>
      <c r="F672" s="708"/>
      <c r="G672" s="643">
        <f t="shared" si="94"/>
        <v>92.987576428992341</v>
      </c>
      <c r="H672" s="659">
        <f t="shared" si="97"/>
        <v>92.987576428992341</v>
      </c>
      <c r="I672" s="660">
        <f t="shared" si="99"/>
        <v>97.4073562962963</v>
      </c>
      <c r="J672" s="88">
        <v>8100000</v>
      </c>
    </row>
    <row r="673" spans="1:10" customFormat="1" x14ac:dyDescent="0.2">
      <c r="A673" s="706"/>
      <c r="B673" s="971" t="s">
        <v>706</v>
      </c>
      <c r="C673" s="1037">
        <v>963000</v>
      </c>
      <c r="D673" s="1037">
        <f>963000-30000+30000</f>
        <v>963000</v>
      </c>
      <c r="E673" s="708">
        <v>963000</v>
      </c>
      <c r="F673" s="708"/>
      <c r="G673" s="643">
        <f t="shared" si="94"/>
        <v>100</v>
      </c>
      <c r="H673" s="659">
        <f t="shared" si="97"/>
        <v>100</v>
      </c>
      <c r="I673" s="660">
        <f t="shared" si="99"/>
        <v>112.43432574430823</v>
      </c>
      <c r="J673" s="88">
        <v>856500</v>
      </c>
    </row>
    <row r="674" spans="1:10" customFormat="1" x14ac:dyDescent="0.2">
      <c r="A674" s="706"/>
      <c r="B674" s="971" t="s">
        <v>707</v>
      </c>
      <c r="C674" s="1037">
        <v>143000</v>
      </c>
      <c r="D674" s="1037">
        <v>143000</v>
      </c>
      <c r="E674" s="708">
        <v>140198.99</v>
      </c>
      <c r="F674" s="708"/>
      <c r="G674" s="643">
        <f t="shared" si="94"/>
        <v>98.041251748251739</v>
      </c>
      <c r="H674" s="659">
        <f t="shared" si="97"/>
        <v>98.041251748251739</v>
      </c>
      <c r="I674" s="660">
        <f t="shared" si="99"/>
        <v>277.41301594839524</v>
      </c>
      <c r="J674" s="88">
        <v>50538</v>
      </c>
    </row>
    <row r="675" spans="1:10" customFormat="1" x14ac:dyDescent="0.2">
      <c r="A675" s="706"/>
      <c r="B675" s="971" t="s">
        <v>708</v>
      </c>
      <c r="C675" s="1037">
        <v>966500</v>
      </c>
      <c r="D675" s="1037">
        <v>966500</v>
      </c>
      <c r="E675" s="708">
        <v>966500</v>
      </c>
      <c r="F675" s="708"/>
      <c r="G675" s="643">
        <f t="shared" si="94"/>
        <v>100</v>
      </c>
      <c r="H675" s="659">
        <f t="shared" si="97"/>
        <v>100</v>
      </c>
      <c r="I675" s="660">
        <f t="shared" si="99"/>
        <v>494.62640736949845</v>
      </c>
      <c r="J675" s="88">
        <v>195400</v>
      </c>
    </row>
    <row r="676" spans="1:10" customFormat="1" ht="36.75" x14ac:dyDescent="0.2">
      <c r="A676" s="769"/>
      <c r="B676" s="971" t="s">
        <v>1670</v>
      </c>
      <c r="C676" s="1037">
        <f>909700-30000</f>
        <v>879700</v>
      </c>
      <c r="D676" s="1037">
        <f>(909700-30000)+30000+10000+15000+70000+80000+10000+150000+36900+5000+40000+250000+147000+35000+30000+30000+15000</f>
        <v>1833600</v>
      </c>
      <c r="E676" s="708">
        <v>1794100</v>
      </c>
      <c r="F676" s="708"/>
      <c r="G676" s="643">
        <f t="shared" si="94"/>
        <v>203.94452654313972</v>
      </c>
      <c r="H676" s="659">
        <f t="shared" si="97"/>
        <v>97.845767888307151</v>
      </c>
      <c r="I676" s="664">
        <f t="shared" si="99"/>
        <v>96.272686575954125</v>
      </c>
      <c r="J676" s="32">
        <v>1863560.75</v>
      </c>
    </row>
    <row r="677" spans="1:10" x14ac:dyDescent="0.2">
      <c r="A677" s="683"/>
      <c r="B677" s="1059"/>
      <c r="C677" s="1054"/>
      <c r="D677" s="1054"/>
      <c r="E677" s="837"/>
      <c r="F677" s="837"/>
      <c r="G677" s="837"/>
      <c r="H677" s="837"/>
      <c r="I677" s="1060"/>
      <c r="J677" s="29"/>
    </row>
    <row r="678" spans="1:10" ht="21" customHeight="1" x14ac:dyDescent="0.3">
      <c r="A678" s="909"/>
      <c r="B678" s="624" t="s">
        <v>710</v>
      </c>
      <c r="C678" s="1061">
        <f>C679</f>
        <v>27924400</v>
      </c>
      <c r="D678" s="1061">
        <f>D679</f>
        <v>27908900</v>
      </c>
      <c r="E678" s="1062">
        <v>27433084.420000002</v>
      </c>
      <c r="F678" s="1063"/>
      <c r="G678" s="810">
        <f t="shared" si="94"/>
        <v>98.240550987666708</v>
      </c>
      <c r="H678" s="810">
        <f t="shared" si="97"/>
        <v>98.295111666887621</v>
      </c>
      <c r="I678" s="997">
        <f t="shared" si="99"/>
        <v>98.228555871257257</v>
      </c>
      <c r="J678" s="29">
        <v>27927809.969999999</v>
      </c>
    </row>
    <row r="679" spans="1:10" x14ac:dyDescent="0.2">
      <c r="A679" s="683">
        <v>5311</v>
      </c>
      <c r="B679" s="640" t="s">
        <v>711</v>
      </c>
      <c r="C679" s="1064">
        <f t="shared" ref="C679:D679" si="104">SUM(C680)</f>
        <v>27924400</v>
      </c>
      <c r="D679" s="1064">
        <f t="shared" si="104"/>
        <v>27908900</v>
      </c>
      <c r="E679" s="652">
        <v>27433084.420000002</v>
      </c>
      <c r="F679" s="653"/>
      <c r="G679" s="642">
        <f t="shared" si="94"/>
        <v>98.240550987666708</v>
      </c>
      <c r="H679" s="644">
        <f t="shared" si="97"/>
        <v>98.295111666887621</v>
      </c>
      <c r="I679" s="645">
        <f t="shared" si="99"/>
        <v>98.228555871257257</v>
      </c>
      <c r="J679" s="29">
        <v>27927809.969999999</v>
      </c>
    </row>
    <row r="680" spans="1:10" ht="74.25" customHeight="1" x14ac:dyDescent="0.2">
      <c r="A680" s="683"/>
      <c r="B680" s="666" t="s">
        <v>1671</v>
      </c>
      <c r="C680" s="1065">
        <f>(18400+4538.4+1647+0+5+350+2+163+143+35+264+1+245+30+3+77+3+1490-750+275+200+17+50+10+150+6+170+150+250)*1000</f>
        <v>27924400</v>
      </c>
      <c r="D680" s="1065">
        <f>((18400+4538.4+1647+0+5+350+2+163+143+35+264+1+245+30+3+77+3+1490-750+275+200+17+50+10+150+6+170+150+250)*1000)-15500</f>
        <v>27908900</v>
      </c>
      <c r="E680" s="1066" t="s">
        <v>1898</v>
      </c>
      <c r="F680" s="1066"/>
      <c r="G680" s="643">
        <f t="shared" si="94"/>
        <v>98.240550987666708</v>
      </c>
      <c r="H680" s="659">
        <f t="shared" si="97"/>
        <v>98.295111666887621</v>
      </c>
      <c r="I680" s="664">
        <f t="shared" si="99"/>
        <v>98.228555871257257</v>
      </c>
      <c r="J680" s="654">
        <v>27927809.969999999</v>
      </c>
    </row>
    <row r="681" spans="1:10" x14ac:dyDescent="0.2">
      <c r="A681" s="1020"/>
      <c r="B681" s="1067"/>
      <c r="C681" s="1068"/>
      <c r="D681" s="1068"/>
      <c r="E681" s="671"/>
      <c r="F681" s="671"/>
      <c r="G681" s="671"/>
      <c r="H681" s="671"/>
      <c r="I681" s="1060"/>
      <c r="J681" s="29"/>
    </row>
    <row r="682" spans="1:10" ht="20.25" x14ac:dyDescent="0.3">
      <c r="A682" s="909"/>
      <c r="B682" s="624" t="s">
        <v>41</v>
      </c>
      <c r="C682" s="1069">
        <f>SUM(C683:C689)+C697</f>
        <v>35630624</v>
      </c>
      <c r="D682" s="1069">
        <f>SUM(D683:D689)+D697</f>
        <v>38447691.810000002</v>
      </c>
      <c r="E682" s="1019">
        <v>29950251.129999999</v>
      </c>
      <c r="F682" s="963">
        <f>SUM(E683:E689,E697)</f>
        <v>29950251.129999995</v>
      </c>
      <c r="G682" s="810">
        <f t="shared" si="94"/>
        <v>84.057610470139394</v>
      </c>
      <c r="H682" s="810">
        <f t="shared" si="97"/>
        <v>77.898697477100896</v>
      </c>
      <c r="I682" s="997">
        <f t="shared" si="99"/>
        <v>107.52705999801707</v>
      </c>
      <c r="J682" s="29">
        <v>27853687.370000001</v>
      </c>
    </row>
    <row r="683" spans="1:10" ht="36.75" x14ac:dyDescent="0.2">
      <c r="A683" s="1070">
        <v>3429</v>
      </c>
      <c r="B683" s="666" t="s">
        <v>1673</v>
      </c>
      <c r="C683" s="1071">
        <v>982000</v>
      </c>
      <c r="D683" s="1071">
        <f>982000-15</f>
        <v>981985</v>
      </c>
      <c r="E683" s="679">
        <v>935599.86</v>
      </c>
      <c r="F683" s="860"/>
      <c r="G683" s="642">
        <f t="shared" si="94"/>
        <v>95.274934826883907</v>
      </c>
      <c r="H683" s="644">
        <f t="shared" si="97"/>
        <v>95.276390168892604</v>
      </c>
      <c r="I683" s="651">
        <f t="shared" si="99"/>
        <v>106.04605895223258</v>
      </c>
      <c r="J683" s="654">
        <v>882258.02</v>
      </c>
    </row>
    <row r="684" spans="1:10" s="98" customFormat="1" ht="36.75" x14ac:dyDescent="0.2">
      <c r="A684" s="954">
        <v>5212</v>
      </c>
      <c r="B684" s="999" t="s">
        <v>1674</v>
      </c>
      <c r="C684" s="1064">
        <v>110000</v>
      </c>
      <c r="D684" s="1064">
        <v>110000</v>
      </c>
      <c r="E684" s="652">
        <v>97090.4</v>
      </c>
      <c r="F684" s="653"/>
      <c r="G684" s="642">
        <f t="shared" si="94"/>
        <v>88.263999999999996</v>
      </c>
      <c r="H684" s="644">
        <f t="shared" si="97"/>
        <v>88.263999999999996</v>
      </c>
      <c r="I684" s="651">
        <f t="shared" si="99"/>
        <v>232.24312590448625</v>
      </c>
      <c r="J684" s="654">
        <v>41805.5</v>
      </c>
    </row>
    <row r="685" spans="1:10" s="244" customFormat="1" ht="24.75" x14ac:dyDescent="0.25">
      <c r="A685" s="683">
        <v>5213</v>
      </c>
      <c r="B685" s="648" t="s">
        <v>1675</v>
      </c>
      <c r="C685" s="1064">
        <v>200000</v>
      </c>
      <c r="D685" s="1064">
        <f>200000+48264.06</f>
        <v>248264.06</v>
      </c>
      <c r="E685" s="652">
        <v>58853.67</v>
      </c>
      <c r="F685" s="653"/>
      <c r="G685" s="642">
        <f t="shared" si="94"/>
        <v>29.426835000000001</v>
      </c>
      <c r="H685" s="644">
        <f t="shared" si="97"/>
        <v>23.706077311391748</v>
      </c>
      <c r="I685" s="651">
        <v>0</v>
      </c>
      <c r="J685" s="654">
        <v>0</v>
      </c>
    </row>
    <row r="686" spans="1:10" s="98" customFormat="1" ht="24.75" x14ac:dyDescent="0.2">
      <c r="A686" s="683">
        <v>5273</v>
      </c>
      <c r="B686" s="648" t="s">
        <v>1676</v>
      </c>
      <c r="C686" s="1064">
        <v>5000</v>
      </c>
      <c r="D686" s="1064">
        <v>5000</v>
      </c>
      <c r="E686" s="652">
        <v>0</v>
      </c>
      <c r="F686" s="653"/>
      <c r="G686" s="642">
        <f t="shared" si="94"/>
        <v>0</v>
      </c>
      <c r="H686" s="644">
        <f t="shared" si="97"/>
        <v>0</v>
      </c>
      <c r="I686" s="651">
        <v>0</v>
      </c>
      <c r="J686" s="654">
        <v>0</v>
      </c>
    </row>
    <row r="687" spans="1:10" s="244" customFormat="1" ht="22.5" customHeight="1" x14ac:dyDescent="0.25">
      <c r="A687" s="683">
        <v>5511</v>
      </c>
      <c r="B687" s="648" t="s">
        <v>1677</v>
      </c>
      <c r="C687" s="1064">
        <v>2300000</v>
      </c>
      <c r="D687" s="1064">
        <f>2300000-53414</f>
        <v>2246586</v>
      </c>
      <c r="E687" s="652">
        <v>2246586</v>
      </c>
      <c r="F687" s="653"/>
      <c r="G687" s="642">
        <f t="shared" si="94"/>
        <v>97.677652173913046</v>
      </c>
      <c r="H687" s="644">
        <f t="shared" si="97"/>
        <v>100</v>
      </c>
      <c r="I687" s="651">
        <f t="shared" si="99"/>
        <v>110.7000171476213</v>
      </c>
      <c r="J687" s="654">
        <v>2029436</v>
      </c>
    </row>
    <row r="688" spans="1:10" s="244" customFormat="1" ht="36.75" x14ac:dyDescent="0.25">
      <c r="A688" s="683">
        <v>5512</v>
      </c>
      <c r="B688" s="648" t="s">
        <v>1678</v>
      </c>
      <c r="C688" s="1064">
        <v>125000</v>
      </c>
      <c r="D688" s="1064">
        <f>125000+63113</f>
        <v>188113</v>
      </c>
      <c r="E688" s="652">
        <v>184955.83</v>
      </c>
      <c r="F688" s="653"/>
      <c r="G688" s="642">
        <f t="shared" si="94"/>
        <v>147.964664</v>
      </c>
      <c r="H688" s="644">
        <f t="shared" si="97"/>
        <v>98.321663042958221</v>
      </c>
      <c r="I688" s="651">
        <f t="shared" si="99"/>
        <v>148.4069285195425</v>
      </c>
      <c r="J688" s="654">
        <v>124627.49</v>
      </c>
    </row>
    <row r="689" spans="1:10" s="244" customFormat="1" ht="12.75" customHeight="1" x14ac:dyDescent="0.25">
      <c r="A689" s="683">
        <v>6171</v>
      </c>
      <c r="B689" s="640" t="s">
        <v>719</v>
      </c>
      <c r="C689" s="1072">
        <f t="shared" ref="C689:D689" si="105">SUM(C690+C691+C692+C693+C694+C695+C696)</f>
        <v>30358624</v>
      </c>
      <c r="D689" s="1072">
        <f t="shared" si="105"/>
        <v>33117743.75</v>
      </c>
      <c r="E689" s="652">
        <v>25122995.829999998</v>
      </c>
      <c r="F689" s="1233">
        <f>SUM(E690:E696)</f>
        <v>25137044.309999999</v>
      </c>
      <c r="G689" s="642">
        <f t="shared" si="94"/>
        <v>82.754066291015022</v>
      </c>
      <c r="H689" s="644">
        <f t="shared" si="97"/>
        <v>75.859623830805205</v>
      </c>
      <c r="I689" s="651">
        <f t="shared" si="99"/>
        <v>114.98102588956101</v>
      </c>
      <c r="J689" s="88">
        <v>21849688.359999999</v>
      </c>
    </row>
    <row r="690" spans="1:10" s="244" customFormat="1" ht="132" x14ac:dyDescent="0.25">
      <c r="A690" s="683"/>
      <c r="B690" s="1073" t="s">
        <v>1679</v>
      </c>
      <c r="C690" s="1074">
        <v>21262500</v>
      </c>
      <c r="D690" s="1074">
        <f>21262500+1500000+920000-24390</f>
        <v>23658110</v>
      </c>
      <c r="E690" s="653">
        <v>17674300.949999999</v>
      </c>
      <c r="F690" s="1234">
        <v>-14048.48</v>
      </c>
      <c r="G690" s="643">
        <f t="shared" si="94"/>
        <v>83.124284303350976</v>
      </c>
      <c r="H690" s="659">
        <f t="shared" si="97"/>
        <v>74.707155178499036</v>
      </c>
      <c r="I690" s="664">
        <f t="shared" si="99"/>
        <v>113.87557099622614</v>
      </c>
      <c r="J690" s="654">
        <v>15520713.35</v>
      </c>
    </row>
    <row r="691" spans="1:10" s="244" customFormat="1" ht="15.75" x14ac:dyDescent="0.25">
      <c r="A691" s="683"/>
      <c r="B691" s="1073" t="s">
        <v>1680</v>
      </c>
      <c r="C691" s="1074">
        <v>1600000</v>
      </c>
      <c r="D691" s="1074">
        <v>1600000</v>
      </c>
      <c r="E691" s="708">
        <v>1427001</v>
      </c>
      <c r="F691" s="1235">
        <f>SUM(F689:F690)</f>
        <v>25122995.829999998</v>
      </c>
      <c r="G691" s="643">
        <f t="shared" si="94"/>
        <v>89.187562499999999</v>
      </c>
      <c r="H691" s="659">
        <f t="shared" si="97"/>
        <v>89.187562499999999</v>
      </c>
      <c r="I691" s="664">
        <f t="shared" si="99"/>
        <v>1126.2268129239922</v>
      </c>
      <c r="J691" s="29">
        <v>126706.36</v>
      </c>
    </row>
    <row r="692" spans="1:10" s="98" customFormat="1" ht="48" x14ac:dyDescent="0.2">
      <c r="A692" s="684"/>
      <c r="B692" s="1075" t="s">
        <v>1681</v>
      </c>
      <c r="C692" s="1074">
        <v>4682300</v>
      </c>
      <c r="D692" s="1074">
        <v>4682300</v>
      </c>
      <c r="E692" s="653">
        <v>3368742.14</v>
      </c>
      <c r="F692" s="653"/>
      <c r="G692" s="643">
        <f t="shared" si="94"/>
        <v>71.946311428144298</v>
      </c>
      <c r="H692" s="659">
        <f t="shared" si="97"/>
        <v>71.946311428144298</v>
      </c>
      <c r="I692" s="664">
        <f t="shared" si="99"/>
        <v>101.55146767904439</v>
      </c>
      <c r="J692" s="654">
        <v>3317275.68</v>
      </c>
    </row>
    <row r="693" spans="1:10" ht="24" x14ac:dyDescent="0.2">
      <c r="A693" s="684"/>
      <c r="B693" s="1075" t="s">
        <v>1682</v>
      </c>
      <c r="C693" s="1076">
        <v>2192810</v>
      </c>
      <c r="D693" s="1076">
        <f>2192810+(121920.75+580575)-700000</f>
        <v>2195305.75</v>
      </c>
      <c r="E693" s="653">
        <v>2119785.27</v>
      </c>
      <c r="F693" s="653"/>
      <c r="G693" s="643">
        <f t="shared" si="94"/>
        <v>96.669810425891882</v>
      </c>
      <c r="H693" s="659">
        <f t="shared" si="97"/>
        <v>96.559910618372868</v>
      </c>
      <c r="I693" s="664">
        <f t="shared" si="99"/>
        <v>99.775305373485878</v>
      </c>
      <c r="J693" s="654">
        <v>2124559.04</v>
      </c>
    </row>
    <row r="694" spans="1:10" x14ac:dyDescent="0.2">
      <c r="A694" s="684"/>
      <c r="B694" s="658" t="s">
        <v>1683</v>
      </c>
      <c r="C694" s="1076">
        <v>210000</v>
      </c>
      <c r="D694" s="1076">
        <v>210000</v>
      </c>
      <c r="E694" s="653">
        <v>174611.8</v>
      </c>
      <c r="F694" s="653"/>
      <c r="G694" s="643">
        <f t="shared" si="94"/>
        <v>83.148476190476188</v>
      </c>
      <c r="H694" s="659">
        <f t="shared" si="97"/>
        <v>83.148476190476188</v>
      </c>
      <c r="I694" s="664">
        <f t="shared" si="99"/>
        <v>107.2731041497387</v>
      </c>
      <c r="J694" s="29">
        <v>162773.14000000001</v>
      </c>
    </row>
    <row r="695" spans="1:10" x14ac:dyDescent="0.2">
      <c r="A695" s="684"/>
      <c r="B695" s="658" t="s">
        <v>1684</v>
      </c>
      <c r="C695" s="1076">
        <v>50000</v>
      </c>
      <c r="D695" s="1076">
        <v>50000</v>
      </c>
      <c r="E695" s="653">
        <v>30711.84</v>
      </c>
      <c r="F695" s="653"/>
      <c r="G695" s="643">
        <f t="shared" si="94"/>
        <v>61.423680000000004</v>
      </c>
      <c r="H695" s="659">
        <f t="shared" si="97"/>
        <v>61.423680000000004</v>
      </c>
      <c r="I695" s="664">
        <f t="shared" si="99"/>
        <v>99.128841698368134</v>
      </c>
      <c r="J695" s="29">
        <v>30981.74</v>
      </c>
    </row>
    <row r="696" spans="1:10" ht="24.75" x14ac:dyDescent="0.2">
      <c r="A696" s="684"/>
      <c r="B696" s="666" t="s">
        <v>1685</v>
      </c>
      <c r="C696" s="1076">
        <v>361014</v>
      </c>
      <c r="D696" s="1076">
        <f>361014+(309397+36503)+15114</f>
        <v>722028</v>
      </c>
      <c r="E696" s="653">
        <v>341891.31</v>
      </c>
      <c r="F696" s="653"/>
      <c r="G696" s="643">
        <f t="shared" si="94"/>
        <v>94.703061377121116</v>
      </c>
      <c r="H696" s="659">
        <f t="shared" si="97"/>
        <v>47.351530688560558</v>
      </c>
      <c r="I696" s="664">
        <f t="shared" si="99"/>
        <v>175.35850801455939</v>
      </c>
      <c r="J696" s="654">
        <v>194967.05</v>
      </c>
    </row>
    <row r="697" spans="1:10" ht="12.75" customHeight="1" x14ac:dyDescent="0.2">
      <c r="A697" s="683">
        <v>6320</v>
      </c>
      <c r="B697" s="640" t="s">
        <v>1686</v>
      </c>
      <c r="C697" s="1077">
        <v>1550000</v>
      </c>
      <c r="D697" s="1077">
        <f>1550000</f>
        <v>1550000</v>
      </c>
      <c r="E697" s="652">
        <v>1304169.54</v>
      </c>
      <c r="F697" s="653"/>
      <c r="G697" s="642">
        <f t="shared" si="94"/>
        <v>84.139970322580652</v>
      </c>
      <c r="H697" s="644">
        <f t="shared" si="97"/>
        <v>84.139970322580652</v>
      </c>
      <c r="I697" s="651">
        <f t="shared" si="99"/>
        <v>102.41053906171476</v>
      </c>
      <c r="J697" s="29">
        <v>1273472</v>
      </c>
    </row>
    <row r="698" spans="1:10" ht="12.75" customHeight="1" x14ac:dyDescent="0.2">
      <c r="A698" s="1006"/>
      <c r="B698" s="1078"/>
      <c r="C698" s="1079"/>
      <c r="D698" s="1079"/>
      <c r="E698" s="671"/>
      <c r="F698" s="671"/>
      <c r="G698" s="671"/>
      <c r="H698" s="671"/>
      <c r="I698" s="1080"/>
      <c r="J698" s="29"/>
    </row>
    <row r="699" spans="1:10" ht="20.25" x14ac:dyDescent="0.3">
      <c r="A699" s="909"/>
      <c r="B699" s="624" t="s">
        <v>729</v>
      </c>
      <c r="C699" s="887">
        <f t="shared" ref="C699:D699" si="106">C700+C701+C702+C706</f>
        <v>171743160</v>
      </c>
      <c r="D699" s="887">
        <f t="shared" si="106"/>
        <v>183257543.44</v>
      </c>
      <c r="E699" s="1081">
        <v>167656076.84999999</v>
      </c>
      <c r="F699" s="1082">
        <f>SUM(E700:E702,E706)</f>
        <v>167656076.85000002</v>
      </c>
      <c r="G699" s="810">
        <f t="shared" si="94"/>
        <v>97.620235268758293</v>
      </c>
      <c r="H699" s="810">
        <f t="shared" si="97"/>
        <v>91.486589693859969</v>
      </c>
      <c r="I699" s="997">
        <f t="shared" si="99"/>
        <v>103.40745183801126</v>
      </c>
      <c r="J699" s="29">
        <v>162131523.28</v>
      </c>
    </row>
    <row r="700" spans="1:10" s="98" customFormat="1" x14ac:dyDescent="0.2">
      <c r="A700" s="1083">
        <v>3341</v>
      </c>
      <c r="B700" s="1084" t="s">
        <v>1687</v>
      </c>
      <c r="C700" s="663">
        <v>3109200</v>
      </c>
      <c r="D700" s="663">
        <v>3109200</v>
      </c>
      <c r="E700" s="652">
        <v>3083322</v>
      </c>
      <c r="F700" s="653"/>
      <c r="G700" s="642">
        <f t="shared" si="94"/>
        <v>99.167695870320344</v>
      </c>
      <c r="H700" s="644">
        <f t="shared" si="97"/>
        <v>99.167695870320344</v>
      </c>
      <c r="I700" s="645">
        <f t="shared" si="99"/>
        <v>104.21233436937673</v>
      </c>
      <c r="J700" s="29">
        <v>2958692</v>
      </c>
    </row>
    <row r="701" spans="1:10" s="98" customFormat="1" ht="36.75" x14ac:dyDescent="0.2">
      <c r="A701" s="683">
        <v>6112</v>
      </c>
      <c r="B701" s="648" t="s">
        <v>1688</v>
      </c>
      <c r="C701" s="663">
        <f>30000+8520000+1046560+766800+12000+10000+500+20000+200000+7000+90000+30000</f>
        <v>10732860</v>
      </c>
      <c r="D701" s="663">
        <f>30000+8520000+1046560+766800+12000+10000+500+20000+200000+7000+90000+30000+(320000+28800)</f>
        <v>11081660</v>
      </c>
      <c r="E701" s="652">
        <v>10394214.08</v>
      </c>
      <c r="F701" s="653"/>
      <c r="G701" s="642">
        <f t="shared" si="94"/>
        <v>96.844774645341502</v>
      </c>
      <c r="H701" s="644">
        <f t="shared" si="97"/>
        <v>93.796543839099925</v>
      </c>
      <c r="I701" s="651">
        <f t="shared" si="99"/>
        <v>112.40896538874117</v>
      </c>
      <c r="J701" s="654">
        <v>9246783.8699999992</v>
      </c>
    </row>
    <row r="702" spans="1:10" x14ac:dyDescent="0.2">
      <c r="A702" s="683">
        <v>6171</v>
      </c>
      <c r="B702" s="640" t="s">
        <v>719</v>
      </c>
      <c r="C702" s="663">
        <f t="shared" ref="C702:D702" si="107">SUM(C703:C705)</f>
        <v>151901100</v>
      </c>
      <c r="D702" s="663">
        <f t="shared" si="107"/>
        <v>163066683.44</v>
      </c>
      <c r="E702" s="652">
        <v>148178540.77000001</v>
      </c>
      <c r="F702" s="653">
        <f>SUM(E703:E705)</f>
        <v>148178540.77000001</v>
      </c>
      <c r="G702" s="642">
        <f t="shared" ref="G702:G765" si="108">E702/C702*100</f>
        <v>97.549353342405027</v>
      </c>
      <c r="H702" s="644">
        <f t="shared" si="97"/>
        <v>90.86990527069986</v>
      </c>
      <c r="I702" s="645">
        <f t="shared" si="99"/>
        <v>102.95892993133083</v>
      </c>
      <c r="J702" s="29">
        <v>143920047.41</v>
      </c>
    </row>
    <row r="703" spans="1:10" ht="48" x14ac:dyDescent="0.2">
      <c r="A703" s="678"/>
      <c r="B703" s="1085" t="s">
        <v>1689</v>
      </c>
      <c r="C703" s="687">
        <f>93200000+10000+1400000+10000+23460800+8514000+520000+1000+900000+50000+20000+50000+2600000+350000+15000+204000+40000+2000000</f>
        <v>133344800</v>
      </c>
      <c r="D703" s="687">
        <f>(93200000+10000+1400000+10000+23460800+8514000+520000+1000+900000+50000+20000+50000+2600000+350000+15000+204000+40000+2000000)+(563940.99+135346+50757)+1067803</f>
        <v>135162646.99000001</v>
      </c>
      <c r="E703" s="653">
        <v>131889188.53</v>
      </c>
      <c r="F703" s="653"/>
      <c r="G703" s="643">
        <f t="shared" si="108"/>
        <v>98.908385276366232</v>
      </c>
      <c r="H703" s="659">
        <f t="shared" si="97"/>
        <v>97.578133801831953</v>
      </c>
      <c r="I703" s="664">
        <f t="shared" si="99"/>
        <v>103.09193998105093</v>
      </c>
      <c r="J703" s="654">
        <v>127933559.65000001</v>
      </c>
    </row>
    <row r="704" spans="1:10" ht="23.25" customHeight="1" x14ac:dyDescent="0.25">
      <c r="A704" s="1086"/>
      <c r="B704" s="666" t="s">
        <v>1690</v>
      </c>
      <c r="C704" s="687">
        <f>6900000+30000+1718600+623700+180000+10000</f>
        <v>9462300</v>
      </c>
      <c r="D704" s="687">
        <f>(6900000+30000+1718600+623700+180000+10000)+9462300-114563.55</f>
        <v>18810036.449999999</v>
      </c>
      <c r="E704" s="653">
        <v>8977328</v>
      </c>
      <c r="F704" s="653"/>
      <c r="G704" s="643">
        <f t="shared" si="108"/>
        <v>94.87469219957093</v>
      </c>
      <c r="H704" s="659">
        <f t="shared" si="97"/>
        <v>47.726265836130267</v>
      </c>
      <c r="I704" s="660">
        <f t="shared" si="99"/>
        <v>102.93571637378874</v>
      </c>
      <c r="J704" s="654">
        <v>8721295.5</v>
      </c>
    </row>
    <row r="705" spans="1:10" ht="36.75" x14ac:dyDescent="0.25">
      <c r="A705" s="1086"/>
      <c r="B705" s="648" t="s">
        <v>1691</v>
      </c>
      <c r="C705" s="687">
        <f>4067000+60000+21000+3140000+206000+100000+285000+1150000+30000+26000+9000</f>
        <v>9094000</v>
      </c>
      <c r="D705" s="687">
        <f>4067000+60000+21000+3140000+206000+100000+285000+1150000+30000+26000+9000</f>
        <v>9094000</v>
      </c>
      <c r="E705" s="653">
        <v>7312024.2400000002</v>
      </c>
      <c r="F705" s="653"/>
      <c r="G705" s="643">
        <f t="shared" si="108"/>
        <v>80.404928964152191</v>
      </c>
      <c r="H705" s="659">
        <f t="shared" si="97"/>
        <v>80.404928964152191</v>
      </c>
      <c r="I705" s="664">
        <f t="shared" si="99"/>
        <v>100.64460757986879</v>
      </c>
      <c r="J705" s="654">
        <v>7265192.2599999998</v>
      </c>
    </row>
    <row r="706" spans="1:10" x14ac:dyDescent="0.2">
      <c r="A706" s="683">
        <v>6330</v>
      </c>
      <c r="B706" s="640" t="s">
        <v>734</v>
      </c>
      <c r="C706" s="835">
        <v>6000000</v>
      </c>
      <c r="D706" s="835">
        <v>6000000</v>
      </c>
      <c r="E706" s="652">
        <v>6000000</v>
      </c>
      <c r="F706" s="653"/>
      <c r="G706" s="642">
        <f t="shared" si="108"/>
        <v>100</v>
      </c>
      <c r="H706" s="644">
        <f t="shared" si="97"/>
        <v>100</v>
      </c>
      <c r="I706" s="645">
        <f t="shared" si="99"/>
        <v>99.900099900099903</v>
      </c>
      <c r="J706" s="29">
        <v>6006000</v>
      </c>
    </row>
    <row r="707" spans="1:10" x14ac:dyDescent="0.2">
      <c r="A707" s="953"/>
      <c r="B707" s="960"/>
      <c r="C707" s="1087"/>
      <c r="D707" s="1087"/>
      <c r="E707" s="950"/>
      <c r="F707" s="837"/>
      <c r="G707" s="643"/>
      <c r="H707" s="659"/>
      <c r="I707" s="660"/>
      <c r="J707" s="29"/>
    </row>
    <row r="708" spans="1:10" ht="20.25" x14ac:dyDescent="0.3">
      <c r="A708" s="909"/>
      <c r="B708" s="624" t="s">
        <v>43</v>
      </c>
      <c r="C708" s="631">
        <f>C709+C724</f>
        <v>17006123</v>
      </c>
      <c r="D708" s="631">
        <f>D709+D724</f>
        <v>16953094</v>
      </c>
      <c r="E708" s="810">
        <v>15319304.77</v>
      </c>
      <c r="F708" s="811">
        <f>SUM(E709,E724)</f>
        <v>15319304.77</v>
      </c>
      <c r="G708" s="810">
        <f t="shared" si="108"/>
        <v>90.081112373466894</v>
      </c>
      <c r="H708" s="810">
        <f t="shared" si="97"/>
        <v>90.362884615634158</v>
      </c>
      <c r="I708" s="997">
        <f t="shared" si="99"/>
        <v>112.20241935346777</v>
      </c>
      <c r="J708" s="29">
        <v>13653274.91</v>
      </c>
    </row>
    <row r="709" spans="1:10" ht="15.75" x14ac:dyDescent="0.25">
      <c r="A709" s="909"/>
      <c r="B709" s="674" t="s">
        <v>735</v>
      </c>
      <c r="C709" s="788">
        <f>C710+C711+C712+C715+C717+C722+C723</f>
        <v>1297000</v>
      </c>
      <c r="D709" s="788">
        <f>D710+D711+D712+D715+D717+D722+D723</f>
        <v>1084121</v>
      </c>
      <c r="E709" s="788">
        <v>834027.77</v>
      </c>
      <c r="F709" s="1088">
        <f>SUM(E710:E712,E715,E717,E722:E723)</f>
        <v>834027.77</v>
      </c>
      <c r="G709" s="788">
        <f t="shared" si="108"/>
        <v>64.30437702390131</v>
      </c>
      <c r="H709" s="788">
        <f t="shared" si="97"/>
        <v>76.931243837173156</v>
      </c>
      <c r="I709" s="826">
        <f t="shared" si="99"/>
        <v>87.150156150847465</v>
      </c>
      <c r="J709" s="29">
        <v>957000.89</v>
      </c>
    </row>
    <row r="710" spans="1:10" x14ac:dyDescent="0.2">
      <c r="A710" s="683">
        <v>3613</v>
      </c>
      <c r="B710" s="640" t="s">
        <v>1692</v>
      </c>
      <c r="C710" s="652">
        <v>7000</v>
      </c>
      <c r="D710" s="652">
        <v>7000</v>
      </c>
      <c r="E710" s="652">
        <v>109.7</v>
      </c>
      <c r="F710" s="653"/>
      <c r="G710" s="642">
        <f t="shared" si="108"/>
        <v>1.5671428571428572</v>
      </c>
      <c r="H710" s="644">
        <f t="shared" si="97"/>
        <v>1.5671428571428572</v>
      </c>
      <c r="I710" s="645">
        <f t="shared" si="99"/>
        <v>3.4588220456551904</v>
      </c>
      <c r="J710" s="29">
        <v>3171.6</v>
      </c>
    </row>
    <row r="711" spans="1:10" s="244" customFormat="1" ht="15.75" x14ac:dyDescent="0.25">
      <c r="A711" s="683">
        <v>3632</v>
      </c>
      <c r="B711" s="640" t="s">
        <v>1693</v>
      </c>
      <c r="C711" s="652">
        <v>270000</v>
      </c>
      <c r="D711" s="652">
        <v>270000</v>
      </c>
      <c r="E711" s="652">
        <v>211618.45</v>
      </c>
      <c r="F711" s="653"/>
      <c r="G711" s="642">
        <f t="shared" si="108"/>
        <v>78.377203703703714</v>
      </c>
      <c r="H711" s="644">
        <f t="shared" ref="H711:H774" si="109">E711/D711*100</f>
        <v>78.377203703703714</v>
      </c>
      <c r="I711" s="645">
        <f t="shared" si="99"/>
        <v>121.75175956515167</v>
      </c>
      <c r="J711" s="29">
        <v>173811.41</v>
      </c>
    </row>
    <row r="712" spans="1:10" s="244" customFormat="1" ht="12.75" customHeight="1" x14ac:dyDescent="0.25">
      <c r="A712" s="683">
        <v>4329</v>
      </c>
      <c r="B712" s="640" t="s">
        <v>739</v>
      </c>
      <c r="C712" s="649">
        <f t="shared" ref="C712:D712" si="110">SUM(C713:C714)</f>
        <v>258000</v>
      </c>
      <c r="D712" s="649">
        <f t="shared" si="110"/>
        <v>266000</v>
      </c>
      <c r="E712" s="649">
        <v>256757.46</v>
      </c>
      <c r="F712" s="650">
        <f>SUM(E713:E714)</f>
        <v>256757.46</v>
      </c>
      <c r="G712" s="642">
        <f t="shared" si="108"/>
        <v>99.518395348837203</v>
      </c>
      <c r="H712" s="644">
        <f t="shared" si="109"/>
        <v>96.525360902255642</v>
      </c>
      <c r="I712" s="645">
        <f t="shared" si="99"/>
        <v>114.63983376255979</v>
      </c>
      <c r="J712" s="29">
        <v>223968.8</v>
      </c>
    </row>
    <row r="713" spans="1:10" s="98" customFormat="1" x14ac:dyDescent="0.2">
      <c r="A713" s="683"/>
      <c r="B713" s="869" t="s">
        <v>1694</v>
      </c>
      <c r="C713" s="653">
        <v>8000</v>
      </c>
      <c r="D713" s="653">
        <f>8000+8000</f>
        <v>16000</v>
      </c>
      <c r="E713" s="653">
        <v>11757.46</v>
      </c>
      <c r="F713" s="653"/>
      <c r="G713" s="643">
        <f t="shared" si="108"/>
        <v>146.96824999999998</v>
      </c>
      <c r="H713" s="659">
        <f t="shared" si="109"/>
        <v>73.484124999999992</v>
      </c>
      <c r="I713" s="660">
        <f t="shared" si="99"/>
        <v>89.282698499483629</v>
      </c>
      <c r="J713" s="29">
        <v>13168.8</v>
      </c>
    </row>
    <row r="714" spans="1:10" s="98" customFormat="1" x14ac:dyDescent="0.2">
      <c r="A714" s="683"/>
      <c r="B714" s="869" t="s">
        <v>1695</v>
      </c>
      <c r="C714" s="653">
        <v>250000</v>
      </c>
      <c r="D714" s="653">
        <v>250000</v>
      </c>
      <c r="E714" s="653">
        <v>245000</v>
      </c>
      <c r="F714" s="653"/>
      <c r="G714" s="643">
        <f t="shared" si="108"/>
        <v>98</v>
      </c>
      <c r="H714" s="659">
        <f t="shared" si="109"/>
        <v>98</v>
      </c>
      <c r="I714" s="660">
        <f t="shared" si="99"/>
        <v>116.22390891840608</v>
      </c>
      <c r="J714" s="29">
        <v>210800</v>
      </c>
    </row>
    <row r="715" spans="1:10" x14ac:dyDescent="0.2">
      <c r="A715" s="683">
        <v>4349</v>
      </c>
      <c r="B715" s="640" t="s">
        <v>747</v>
      </c>
      <c r="C715" s="649">
        <f t="shared" ref="C715:D715" si="111">SUM(C716:C716)</f>
        <v>300000</v>
      </c>
      <c r="D715" s="649">
        <f t="shared" si="111"/>
        <v>150000</v>
      </c>
      <c r="E715" s="649">
        <v>68297</v>
      </c>
      <c r="F715" s="650"/>
      <c r="G715" s="642">
        <f t="shared" si="108"/>
        <v>22.765666666666668</v>
      </c>
      <c r="H715" s="644">
        <f t="shared" si="109"/>
        <v>45.531333333333336</v>
      </c>
      <c r="I715" s="645">
        <f t="shared" si="99"/>
        <v>39.787257568154253</v>
      </c>
      <c r="J715" s="29">
        <v>171655.46</v>
      </c>
    </row>
    <row r="716" spans="1:10" x14ac:dyDescent="0.2">
      <c r="A716" s="684"/>
      <c r="B716" s="658" t="s">
        <v>1696</v>
      </c>
      <c r="C716" s="653">
        <v>300000</v>
      </c>
      <c r="D716" s="653">
        <f>300000-150000</f>
        <v>150000</v>
      </c>
      <c r="E716" s="653">
        <v>68297</v>
      </c>
      <c r="F716" s="653"/>
      <c r="G716" s="643">
        <f t="shared" si="108"/>
        <v>22.765666666666668</v>
      </c>
      <c r="H716" s="659">
        <f t="shared" si="109"/>
        <v>45.531333333333336</v>
      </c>
      <c r="I716" s="660">
        <f t="shared" ref="I716:I778" si="112">E716/J716*100</f>
        <v>39.787257568154253</v>
      </c>
      <c r="J716" s="29">
        <v>171655.46</v>
      </c>
    </row>
    <row r="717" spans="1:10" s="98" customFormat="1" x14ac:dyDescent="0.2">
      <c r="A717" s="683">
        <v>4379</v>
      </c>
      <c r="B717" s="640" t="s">
        <v>754</v>
      </c>
      <c r="C717" s="649">
        <f>SUM(C718:C721)</f>
        <v>359000</v>
      </c>
      <c r="D717" s="649">
        <f>SUM(D718:D721)</f>
        <v>359000</v>
      </c>
      <c r="E717" s="649">
        <v>292264.15999999997</v>
      </c>
      <c r="F717" s="650">
        <f>SUM(E718:E721)</f>
        <v>292264.15999999997</v>
      </c>
      <c r="G717" s="642">
        <f t="shared" si="108"/>
        <v>81.410629526462387</v>
      </c>
      <c r="H717" s="644">
        <f t="shared" si="109"/>
        <v>81.410629526462387</v>
      </c>
      <c r="I717" s="645">
        <f t="shared" si="112"/>
        <v>76.835469014893704</v>
      </c>
      <c r="J717" s="29">
        <v>380376.62</v>
      </c>
    </row>
    <row r="718" spans="1:10" x14ac:dyDescent="0.2">
      <c r="A718" s="684"/>
      <c r="B718" s="658" t="s">
        <v>1697</v>
      </c>
      <c r="C718" s="653">
        <v>229000</v>
      </c>
      <c r="D718" s="653">
        <v>229000</v>
      </c>
      <c r="E718" s="653">
        <v>214204.19</v>
      </c>
      <c r="F718" s="653"/>
      <c r="G718" s="643">
        <f t="shared" si="108"/>
        <v>93.538947598253273</v>
      </c>
      <c r="H718" s="659">
        <f t="shared" si="109"/>
        <v>93.538947598253273</v>
      </c>
      <c r="I718" s="660">
        <f t="shared" si="112"/>
        <v>107.38976533388815</v>
      </c>
      <c r="J718" s="29">
        <v>199464.25</v>
      </c>
    </row>
    <row r="719" spans="1:10" s="419" customFormat="1" x14ac:dyDescent="0.2">
      <c r="A719" s="684"/>
      <c r="B719" s="658" t="s">
        <v>1698</v>
      </c>
      <c r="C719" s="653">
        <v>65000</v>
      </c>
      <c r="D719" s="653">
        <v>65000</v>
      </c>
      <c r="E719" s="653">
        <v>50728.24</v>
      </c>
      <c r="F719" s="653"/>
      <c r="G719" s="643">
        <f t="shared" si="108"/>
        <v>78.043446153846148</v>
      </c>
      <c r="H719" s="659">
        <f t="shared" si="109"/>
        <v>78.043446153846148</v>
      </c>
      <c r="I719" s="660">
        <f t="shared" si="112"/>
        <v>110.65817174491063</v>
      </c>
      <c r="J719" s="29">
        <v>45842.29</v>
      </c>
    </row>
    <row r="720" spans="1:10" x14ac:dyDescent="0.2">
      <c r="A720" s="684"/>
      <c r="B720" s="658" t="s">
        <v>1699</v>
      </c>
      <c r="C720" s="653">
        <v>55000</v>
      </c>
      <c r="D720" s="653">
        <v>55000</v>
      </c>
      <c r="E720" s="653">
        <v>27331.73</v>
      </c>
      <c r="F720" s="653"/>
      <c r="G720" s="643">
        <f t="shared" si="108"/>
        <v>49.694054545454549</v>
      </c>
      <c r="H720" s="659">
        <f t="shared" si="109"/>
        <v>49.694054545454549</v>
      </c>
      <c r="I720" s="660">
        <f t="shared" si="112"/>
        <v>68.973624873348157</v>
      </c>
      <c r="J720" s="29">
        <v>39626.35</v>
      </c>
    </row>
    <row r="721" spans="1:10" s="98" customFormat="1" x14ac:dyDescent="0.2">
      <c r="A721" s="684"/>
      <c r="B721" s="658" t="s">
        <v>1700</v>
      </c>
      <c r="C721" s="653">
        <v>10000</v>
      </c>
      <c r="D721" s="653">
        <v>10000</v>
      </c>
      <c r="E721" s="653">
        <v>0</v>
      </c>
      <c r="F721" s="653"/>
      <c r="G721" s="643">
        <f t="shared" si="108"/>
        <v>0</v>
      </c>
      <c r="H721" s="659">
        <f t="shared" si="109"/>
        <v>0</v>
      </c>
      <c r="I721" s="660">
        <v>0</v>
      </c>
      <c r="J721" s="29">
        <v>0</v>
      </c>
    </row>
    <row r="722" spans="1:10" x14ac:dyDescent="0.2">
      <c r="A722" s="683">
        <v>4399</v>
      </c>
      <c r="B722" s="640" t="s">
        <v>1701</v>
      </c>
      <c r="C722" s="652">
        <v>3000</v>
      </c>
      <c r="D722" s="652">
        <f>3000-1389</f>
        <v>1611</v>
      </c>
      <c r="E722" s="652">
        <v>4981</v>
      </c>
      <c r="F722" s="653"/>
      <c r="G722" s="642">
        <f t="shared" si="108"/>
        <v>166.03333333333333</v>
      </c>
      <c r="H722" s="644">
        <f t="shared" si="109"/>
        <v>309.18684047175668</v>
      </c>
      <c r="I722" s="645">
        <f t="shared" si="112"/>
        <v>123.99800846402789</v>
      </c>
      <c r="J722" s="29">
        <v>4017</v>
      </c>
    </row>
    <row r="723" spans="1:10" x14ac:dyDescent="0.2">
      <c r="A723" s="953">
        <v>6409</v>
      </c>
      <c r="B723" s="960" t="s">
        <v>1702</v>
      </c>
      <c r="C723" s="950">
        <v>100000</v>
      </c>
      <c r="D723" s="950">
        <f>100000-50000-4745-4745-10000</f>
        <v>30510</v>
      </c>
      <c r="E723" s="950">
        <v>0</v>
      </c>
      <c r="F723" s="837"/>
      <c r="G723" s="642">
        <f t="shared" si="108"/>
        <v>0</v>
      </c>
      <c r="H723" s="644">
        <f t="shared" si="109"/>
        <v>0</v>
      </c>
      <c r="I723" s="645">
        <v>0</v>
      </c>
      <c r="J723" s="29">
        <v>0</v>
      </c>
    </row>
    <row r="724" spans="1:10" ht="15.75" x14ac:dyDescent="0.25">
      <c r="A724" s="909"/>
      <c r="B724" s="674" t="s">
        <v>761</v>
      </c>
      <c r="C724" s="853">
        <f t="shared" ref="C724:D724" si="113">C725</f>
        <v>15709123</v>
      </c>
      <c r="D724" s="853">
        <f t="shared" si="113"/>
        <v>15868973</v>
      </c>
      <c r="E724" s="853">
        <v>14485277</v>
      </c>
      <c r="F724" s="1089"/>
      <c r="G724" s="788">
        <f t="shared" si="108"/>
        <v>92.209329572376504</v>
      </c>
      <c r="H724" s="788">
        <f t="shared" si="109"/>
        <v>91.28049433318715</v>
      </c>
      <c r="I724" s="826">
        <f t="shared" si="112"/>
        <v>114.09077164829498</v>
      </c>
      <c r="J724" s="29">
        <v>12696274.02</v>
      </c>
    </row>
    <row r="725" spans="1:10" x14ac:dyDescent="0.2">
      <c r="A725" s="1090"/>
      <c r="B725" s="635" t="s">
        <v>762</v>
      </c>
      <c r="C725" s="1091">
        <f>SUM(C726:C737)</f>
        <v>15709123</v>
      </c>
      <c r="D725" s="1091">
        <f>SUM(D726:D737)</f>
        <v>15868973</v>
      </c>
      <c r="E725" s="649">
        <v>14485277</v>
      </c>
      <c r="F725" s="650">
        <f>SUM(E726:E738)</f>
        <v>14485277</v>
      </c>
      <c r="G725" s="642">
        <f t="shared" si="108"/>
        <v>92.209329572376504</v>
      </c>
      <c r="H725" s="644">
        <f t="shared" si="109"/>
        <v>91.28049433318715</v>
      </c>
      <c r="I725" s="645">
        <f t="shared" si="112"/>
        <v>114.09077164829498</v>
      </c>
      <c r="J725" s="29">
        <v>12696274.02</v>
      </c>
    </row>
    <row r="726" spans="1:10" s="98" customFormat="1" x14ac:dyDescent="0.2">
      <c r="A726" s="1090"/>
      <c r="B726" s="658" t="s">
        <v>763</v>
      </c>
      <c r="C726" s="653">
        <v>129000</v>
      </c>
      <c r="D726" s="653">
        <v>129000</v>
      </c>
      <c r="E726" s="653">
        <v>129000</v>
      </c>
      <c r="F726" s="653"/>
      <c r="G726" s="643">
        <f t="shared" si="108"/>
        <v>100</v>
      </c>
      <c r="H726" s="659">
        <f t="shared" si="109"/>
        <v>100</v>
      </c>
      <c r="I726" s="660">
        <f t="shared" si="112"/>
        <v>58.186738836265228</v>
      </c>
      <c r="J726" s="29">
        <v>221700</v>
      </c>
    </row>
    <row r="727" spans="1:10" x14ac:dyDescent="0.2">
      <c r="A727" s="1090"/>
      <c r="B727" s="658" t="s">
        <v>764</v>
      </c>
      <c r="C727" s="653">
        <v>200000</v>
      </c>
      <c r="D727" s="653">
        <v>200000</v>
      </c>
      <c r="E727" s="653">
        <v>97800</v>
      </c>
      <c r="F727" s="653"/>
      <c r="G727" s="643">
        <f t="shared" si="108"/>
        <v>48.9</v>
      </c>
      <c r="H727" s="659">
        <f t="shared" si="109"/>
        <v>48.9</v>
      </c>
      <c r="I727" s="660">
        <f t="shared" si="112"/>
        <v>65.41806020066889</v>
      </c>
      <c r="J727" s="29">
        <v>149500</v>
      </c>
    </row>
    <row r="728" spans="1:10" x14ac:dyDescent="0.2">
      <c r="A728" s="1090"/>
      <c r="B728" s="658" t="s">
        <v>1703</v>
      </c>
      <c r="C728" s="653">
        <v>9749028</v>
      </c>
      <c r="D728" s="653">
        <f>9749028-360000-271000-150000</f>
        <v>8968028</v>
      </c>
      <c r="E728" s="653">
        <v>8771200</v>
      </c>
      <c r="F728" s="653"/>
      <c r="G728" s="643">
        <f t="shared" si="108"/>
        <v>89.969994957446005</v>
      </c>
      <c r="H728" s="659">
        <f t="shared" si="109"/>
        <v>97.805225407413985</v>
      </c>
      <c r="I728" s="660">
        <f t="shared" si="112"/>
        <v>112.71283362674924</v>
      </c>
      <c r="J728" s="29">
        <v>7781900</v>
      </c>
    </row>
    <row r="729" spans="1:10" x14ac:dyDescent="0.2">
      <c r="A729" s="1090"/>
      <c r="B729" s="658" t="s">
        <v>1704</v>
      </c>
      <c r="C729" s="653">
        <v>1853095</v>
      </c>
      <c r="D729" s="653">
        <v>1853095</v>
      </c>
      <c r="E729" s="653">
        <v>1314000</v>
      </c>
      <c r="F729" s="653"/>
      <c r="G729" s="643">
        <f t="shared" si="108"/>
        <v>70.908399191622664</v>
      </c>
      <c r="H729" s="659">
        <f t="shared" si="109"/>
        <v>70.908399191622664</v>
      </c>
      <c r="I729" s="660">
        <f t="shared" si="112"/>
        <v>119.8905109489051</v>
      </c>
      <c r="J729" s="29">
        <v>1096000</v>
      </c>
    </row>
    <row r="730" spans="1:10" x14ac:dyDescent="0.2">
      <c r="A730" s="1090"/>
      <c r="B730" s="658" t="s">
        <v>767</v>
      </c>
      <c r="C730" s="653">
        <v>135000</v>
      </c>
      <c r="D730" s="653">
        <v>135000</v>
      </c>
      <c r="E730" s="653">
        <v>135000</v>
      </c>
      <c r="F730" s="653"/>
      <c r="G730" s="643">
        <f t="shared" si="108"/>
        <v>100</v>
      </c>
      <c r="H730" s="659">
        <f t="shared" si="109"/>
        <v>100</v>
      </c>
      <c r="I730" s="660">
        <f t="shared" si="112"/>
        <v>100</v>
      </c>
      <c r="J730" s="29">
        <v>135000</v>
      </c>
    </row>
    <row r="731" spans="1:10" x14ac:dyDescent="0.2">
      <c r="A731" s="1090"/>
      <c r="B731" s="658" t="s">
        <v>768</v>
      </c>
      <c r="C731" s="653">
        <v>235000</v>
      </c>
      <c r="D731" s="653">
        <v>235000</v>
      </c>
      <c r="E731" s="653">
        <v>235000</v>
      </c>
      <c r="F731" s="653"/>
      <c r="G731" s="643">
        <f t="shared" si="108"/>
        <v>100</v>
      </c>
      <c r="H731" s="659">
        <f t="shared" si="109"/>
        <v>100</v>
      </c>
      <c r="I731" s="660">
        <f t="shared" si="112"/>
        <v>111.90476190476191</v>
      </c>
      <c r="J731" s="29">
        <v>210000</v>
      </c>
    </row>
    <row r="732" spans="1:10" x14ac:dyDescent="0.2">
      <c r="A732" s="1090"/>
      <c r="B732" s="658" t="s">
        <v>1705</v>
      </c>
      <c r="C732" s="653">
        <v>1000000</v>
      </c>
      <c r="D732" s="653">
        <v>1000000</v>
      </c>
      <c r="E732" s="653">
        <v>0</v>
      </c>
      <c r="F732" s="653"/>
      <c r="G732" s="643">
        <f t="shared" si="108"/>
        <v>0</v>
      </c>
      <c r="H732" s="659">
        <f t="shared" si="109"/>
        <v>0</v>
      </c>
      <c r="I732" s="660">
        <v>0</v>
      </c>
      <c r="J732" s="29">
        <v>0</v>
      </c>
    </row>
    <row r="733" spans="1:10" x14ac:dyDescent="0.2">
      <c r="A733" s="683"/>
      <c r="B733" s="658" t="s">
        <v>769</v>
      </c>
      <c r="C733" s="653">
        <v>50000</v>
      </c>
      <c r="D733" s="653">
        <f>50000+17000</f>
        <v>67000</v>
      </c>
      <c r="E733" s="653">
        <v>62424</v>
      </c>
      <c r="F733" s="653"/>
      <c r="G733" s="643">
        <f t="shared" si="108"/>
        <v>124.848</v>
      </c>
      <c r="H733" s="659">
        <f t="shared" si="109"/>
        <v>93.170149253731338</v>
      </c>
      <c r="I733" s="660">
        <f t="shared" si="112"/>
        <v>88.613950564760628</v>
      </c>
      <c r="J733" s="29">
        <v>70444.89</v>
      </c>
    </row>
    <row r="734" spans="1:10" ht="24.75" customHeight="1" x14ac:dyDescent="0.2">
      <c r="A734" s="683"/>
      <c r="B734" s="1092" t="s">
        <v>1706</v>
      </c>
      <c r="C734" s="653">
        <v>2310000</v>
      </c>
      <c r="D734" s="653">
        <v>2310000</v>
      </c>
      <c r="E734" s="653">
        <v>2310000</v>
      </c>
      <c r="F734" s="653"/>
      <c r="G734" s="643">
        <f t="shared" si="108"/>
        <v>100</v>
      </c>
      <c r="H734" s="659">
        <f t="shared" si="109"/>
        <v>100</v>
      </c>
      <c r="I734" s="664">
        <f t="shared" si="112"/>
        <v>101.54738878143132</v>
      </c>
      <c r="J734" s="654">
        <v>2274800</v>
      </c>
    </row>
    <row r="735" spans="1:10" x14ac:dyDescent="0.2">
      <c r="A735" s="683"/>
      <c r="B735" s="658" t="s">
        <v>770</v>
      </c>
      <c r="C735" s="653">
        <v>0</v>
      </c>
      <c r="D735" s="653">
        <f>50000+59000+75000+4745+10000+4745+271000+18000+10000+150000+3360</f>
        <v>655850</v>
      </c>
      <c r="E735" s="653">
        <v>646930</v>
      </c>
      <c r="F735" s="653"/>
      <c r="G735" s="643">
        <v>0</v>
      </c>
      <c r="H735" s="659">
        <f t="shared" si="109"/>
        <v>98.639932911488899</v>
      </c>
      <c r="I735" s="660">
        <f t="shared" si="112"/>
        <v>314.18705622954167</v>
      </c>
      <c r="J735" s="29">
        <v>205906</v>
      </c>
    </row>
    <row r="736" spans="1:10" x14ac:dyDescent="0.2">
      <c r="A736" s="683"/>
      <c r="B736" s="658" t="s">
        <v>1707</v>
      </c>
      <c r="C736" s="653">
        <v>48000</v>
      </c>
      <c r="D736" s="653">
        <v>48000</v>
      </c>
      <c r="E736" s="722">
        <v>48000</v>
      </c>
      <c r="F736" s="722"/>
      <c r="G736" s="643">
        <f t="shared" si="108"/>
        <v>100</v>
      </c>
      <c r="H736" s="659">
        <f t="shared" si="109"/>
        <v>100</v>
      </c>
      <c r="I736" s="660">
        <f t="shared" si="112"/>
        <v>111.62790697674419</v>
      </c>
      <c r="J736" s="29">
        <v>43000</v>
      </c>
    </row>
    <row r="737" spans="1:10" x14ac:dyDescent="0.2">
      <c r="A737" s="683"/>
      <c r="B737" s="658" t="s">
        <v>1708</v>
      </c>
      <c r="C737" s="653">
        <v>0</v>
      </c>
      <c r="D737" s="653">
        <f>285000-17000</f>
        <v>268000</v>
      </c>
      <c r="E737" s="722">
        <v>0</v>
      </c>
      <c r="F737" s="722"/>
      <c r="G737" s="643">
        <v>0</v>
      </c>
      <c r="H737" s="659">
        <f t="shared" si="109"/>
        <v>0</v>
      </c>
      <c r="I737" s="660">
        <v>0</v>
      </c>
      <c r="J737" s="29">
        <v>0</v>
      </c>
    </row>
    <row r="738" spans="1:10" x14ac:dyDescent="0.2">
      <c r="A738" s="974"/>
      <c r="B738" s="1217" t="s">
        <v>1899</v>
      </c>
      <c r="C738" s="708">
        <v>0</v>
      </c>
      <c r="D738" s="708">
        <v>0</v>
      </c>
      <c r="E738" s="708">
        <v>735923</v>
      </c>
      <c r="F738" s="708"/>
      <c r="G738" s="643">
        <v>0</v>
      </c>
      <c r="H738" s="659">
        <v>0</v>
      </c>
      <c r="I738" s="660">
        <f t="shared" si="112"/>
        <v>144.86013658472595</v>
      </c>
      <c r="J738" s="29">
        <v>508023.13</v>
      </c>
    </row>
    <row r="739" spans="1:10" x14ac:dyDescent="0.2">
      <c r="A739" s="1093"/>
      <c r="B739" s="877"/>
      <c r="C739" s="671"/>
      <c r="D739" s="671"/>
      <c r="E739" s="671"/>
      <c r="F739" s="671"/>
      <c r="G739" s="671"/>
      <c r="H739" s="671"/>
      <c r="I739" s="1094"/>
      <c r="J739" s="29"/>
    </row>
    <row r="740" spans="1:10" ht="20.25" x14ac:dyDescent="0.3">
      <c r="A740" s="1093"/>
      <c r="B740" s="1095" t="s">
        <v>771</v>
      </c>
      <c r="C740" s="1096">
        <f t="shared" ref="C740:D740" si="114">C741</f>
        <v>19471500</v>
      </c>
      <c r="D740" s="1096">
        <f t="shared" si="114"/>
        <v>24840426</v>
      </c>
      <c r="E740" s="1097">
        <v>16803702.239999998</v>
      </c>
      <c r="F740" s="1098"/>
      <c r="G740" s="1081">
        <f t="shared" si="108"/>
        <v>86.298961251059239</v>
      </c>
      <c r="H740" s="1081">
        <f t="shared" si="109"/>
        <v>67.646594466616634</v>
      </c>
      <c r="I740" s="888">
        <f t="shared" si="112"/>
        <v>106.51676190562665</v>
      </c>
      <c r="J740" s="29">
        <v>15775641.26</v>
      </c>
    </row>
    <row r="741" spans="1:10" x14ac:dyDescent="0.2">
      <c r="A741" s="953">
        <v>4351</v>
      </c>
      <c r="B741" s="635" t="s">
        <v>772</v>
      </c>
      <c r="C741" s="1099">
        <f>SUM(C742:C745)</f>
        <v>19471500</v>
      </c>
      <c r="D741" s="1099">
        <f>SUM(D742:D745)</f>
        <v>24840426</v>
      </c>
      <c r="E741" s="1099">
        <v>16803702.239999998</v>
      </c>
      <c r="F741" s="1100">
        <f>SUM(E742:E745)</f>
        <v>16803702.240000002</v>
      </c>
      <c r="G741" s="642">
        <f t="shared" si="108"/>
        <v>86.298961251059239</v>
      </c>
      <c r="H741" s="644">
        <f t="shared" si="109"/>
        <v>67.646594466616634</v>
      </c>
      <c r="I741" s="651">
        <f t="shared" si="112"/>
        <v>106.51676190562665</v>
      </c>
      <c r="J741" s="29">
        <v>15775641.26</v>
      </c>
    </row>
    <row r="742" spans="1:10" ht="60.75" x14ac:dyDescent="0.2">
      <c r="A742" s="684"/>
      <c r="B742" s="1085" t="s">
        <v>1709</v>
      </c>
      <c r="C742" s="1101">
        <v>8205000</v>
      </c>
      <c r="D742" s="1101">
        <f>8205000+2980000+(419000+181000+2000+161000+2217000-2980000)-62560+298000</f>
        <v>11420440</v>
      </c>
      <c r="E742" s="650">
        <f>7191894.27-57805.33</f>
        <v>7134088.9399999995</v>
      </c>
      <c r="F742" s="650"/>
      <c r="G742" s="643">
        <f t="shared" si="108"/>
        <v>86.948067519804994</v>
      </c>
      <c r="H742" s="659">
        <f t="shared" si="109"/>
        <v>62.46772401063356</v>
      </c>
      <c r="I742" s="664">
        <f t="shared" si="112"/>
        <v>105.41393767067122</v>
      </c>
      <c r="J742" s="654">
        <v>6767690.4000000004</v>
      </c>
    </row>
    <row r="743" spans="1:10" ht="48.75" x14ac:dyDescent="0.2">
      <c r="A743" s="684"/>
      <c r="B743" s="1085" t="s">
        <v>1710</v>
      </c>
      <c r="C743" s="1101">
        <v>2224000</v>
      </c>
      <c r="D743" s="1101">
        <f>2224000+559000+(492000+36000+31000-559000)+61000</f>
        <v>2844000</v>
      </c>
      <c r="E743" s="833">
        <v>1909961.88</v>
      </c>
      <c r="F743" s="833"/>
      <c r="G743" s="643">
        <f t="shared" si="108"/>
        <v>85.879580935251795</v>
      </c>
      <c r="H743" s="659">
        <f t="shared" si="109"/>
        <v>67.15759071729957</v>
      </c>
      <c r="I743" s="664">
        <f t="shared" si="112"/>
        <v>103.53255521228979</v>
      </c>
      <c r="J743" s="654">
        <v>1844793.53</v>
      </c>
    </row>
    <row r="744" spans="1:10" ht="36.75" x14ac:dyDescent="0.2">
      <c r="A744" s="683"/>
      <c r="B744" s="1085" t="s">
        <v>1711</v>
      </c>
      <c r="C744" s="1101">
        <v>6642500</v>
      </c>
      <c r="D744" s="1101">
        <f>6642500+1034000+(978000+56000-1034000)+82000+354926</f>
        <v>8113426</v>
      </c>
      <c r="E744" s="653">
        <v>5800904.0899999999</v>
      </c>
      <c r="F744" s="653"/>
      <c r="G744" s="643">
        <f t="shared" si="108"/>
        <v>87.330133082423785</v>
      </c>
      <c r="H744" s="659">
        <f t="shared" si="109"/>
        <v>71.497590413716722</v>
      </c>
      <c r="I744" s="664">
        <f t="shared" si="112"/>
        <v>110.44109077057161</v>
      </c>
      <c r="J744" s="654">
        <v>5252487.1399999997</v>
      </c>
    </row>
    <row r="745" spans="1:10" x14ac:dyDescent="0.2">
      <c r="A745" s="953"/>
      <c r="B745" s="1102" t="s">
        <v>1900</v>
      </c>
      <c r="C745" s="1103">
        <v>2400000</v>
      </c>
      <c r="D745" s="1103">
        <f>2400000+62560</f>
        <v>2462560</v>
      </c>
      <c r="E745" s="653">
        <f>1900942+57805.33</f>
        <v>1958747.33</v>
      </c>
      <c r="F745" s="653"/>
      <c r="G745" s="643">
        <f t="shared" si="108"/>
        <v>81.614472083333339</v>
      </c>
      <c r="H745" s="659">
        <f t="shared" si="109"/>
        <v>79.54110072444935</v>
      </c>
      <c r="I745" s="664">
        <f t="shared" si="112"/>
        <v>102.5162448365827</v>
      </c>
      <c r="J745" s="29">
        <v>1910670.19</v>
      </c>
    </row>
    <row r="746" spans="1:10" x14ac:dyDescent="0.2">
      <c r="A746" s="1020"/>
      <c r="B746" s="1104"/>
      <c r="C746" s="1105"/>
      <c r="D746" s="1105"/>
      <c r="E746" s="1020"/>
      <c r="F746" s="1106"/>
      <c r="G746" s="1020"/>
      <c r="H746" s="1020"/>
      <c r="I746" s="1107"/>
      <c r="J746" s="29"/>
    </row>
    <row r="747" spans="1:10" ht="20.25" x14ac:dyDescent="0.3">
      <c r="A747" s="909"/>
      <c r="B747" s="624" t="s">
        <v>1023</v>
      </c>
      <c r="C747" s="1004">
        <f>SUM(C748,C749,C750,C751,C752,C753,C754,C755,C759,C760,C761,C762,C767,C768)</f>
        <v>67229000</v>
      </c>
      <c r="D747" s="1004">
        <f>SUM(D748,D749,D750,D751,D752,D753,D754,D755,D759,D760,D761,D762,D767,D768)</f>
        <v>70858982.560000002</v>
      </c>
      <c r="E747" s="1108">
        <v>68882902.25</v>
      </c>
      <c r="F747" s="1109">
        <f>SUM(E748:E755,E759:E762,E767:E768)</f>
        <v>68882902.25</v>
      </c>
      <c r="G747" s="810">
        <f t="shared" si="108"/>
        <v>102.46010241116186</v>
      </c>
      <c r="H747" s="810">
        <f t="shared" si="109"/>
        <v>97.211249387716293</v>
      </c>
      <c r="I747" s="997">
        <f t="shared" si="112"/>
        <v>80.288615015131597</v>
      </c>
      <c r="J747" s="29">
        <v>85794109.459999993</v>
      </c>
    </row>
    <row r="748" spans="1:10" x14ac:dyDescent="0.2">
      <c r="A748" s="678">
        <v>1014</v>
      </c>
      <c r="B748" s="635" t="s">
        <v>776</v>
      </c>
      <c r="C748" s="652">
        <v>500000</v>
      </c>
      <c r="D748" s="652">
        <v>500000</v>
      </c>
      <c r="E748" s="652">
        <v>371943</v>
      </c>
      <c r="F748" s="653"/>
      <c r="G748" s="642">
        <f t="shared" si="108"/>
        <v>74.388600000000011</v>
      </c>
      <c r="H748" s="644">
        <f t="shared" si="109"/>
        <v>74.388600000000011</v>
      </c>
      <c r="I748" s="651">
        <f t="shared" si="112"/>
        <v>96.453994507503566</v>
      </c>
      <c r="J748" s="29">
        <v>385617</v>
      </c>
    </row>
    <row r="749" spans="1:10" x14ac:dyDescent="0.2">
      <c r="A749" s="683">
        <v>1031</v>
      </c>
      <c r="B749" s="640" t="s">
        <v>1713</v>
      </c>
      <c r="C749" s="652">
        <v>650000</v>
      </c>
      <c r="D749" s="652">
        <f>650000+50000</f>
        <v>700000</v>
      </c>
      <c r="E749" s="652">
        <v>487986.83</v>
      </c>
      <c r="F749" s="653"/>
      <c r="G749" s="642">
        <f t="shared" si="108"/>
        <v>75.074896923076935</v>
      </c>
      <c r="H749" s="644">
        <f t="shared" si="109"/>
        <v>69.712404285714285</v>
      </c>
      <c r="I749" s="651">
        <f t="shared" si="112"/>
        <v>139.9432142141635</v>
      </c>
      <c r="J749" s="29">
        <v>348703.46</v>
      </c>
    </row>
    <row r="750" spans="1:10" x14ac:dyDescent="0.2">
      <c r="A750" s="683">
        <v>1036</v>
      </c>
      <c r="B750" s="640" t="s">
        <v>778</v>
      </c>
      <c r="C750" s="652">
        <v>155000</v>
      </c>
      <c r="D750" s="652">
        <v>155000</v>
      </c>
      <c r="E750" s="652">
        <v>131667.28</v>
      </c>
      <c r="F750" s="653"/>
      <c r="G750" s="642">
        <f t="shared" si="108"/>
        <v>84.946632258064511</v>
      </c>
      <c r="H750" s="644">
        <f t="shared" si="109"/>
        <v>84.946632258064511</v>
      </c>
      <c r="I750" s="651">
        <f t="shared" si="112"/>
        <v>13.160608317132533</v>
      </c>
      <c r="J750" s="29">
        <v>1000465</v>
      </c>
    </row>
    <row r="751" spans="1:10" s="244" customFormat="1" ht="12.75" customHeight="1" x14ac:dyDescent="0.25">
      <c r="A751" s="683">
        <v>1037</v>
      </c>
      <c r="B751" s="640" t="s">
        <v>1714</v>
      </c>
      <c r="C751" s="652">
        <v>25000</v>
      </c>
      <c r="D751" s="652">
        <v>25000</v>
      </c>
      <c r="E751" s="652">
        <v>24668</v>
      </c>
      <c r="F751" s="653"/>
      <c r="G751" s="642">
        <f t="shared" si="108"/>
        <v>98.671999999999997</v>
      </c>
      <c r="H751" s="644">
        <f t="shared" si="109"/>
        <v>98.671999999999997</v>
      </c>
      <c r="I751" s="651">
        <f t="shared" si="112"/>
        <v>122.72636815920397</v>
      </c>
      <c r="J751" s="29">
        <v>20100</v>
      </c>
    </row>
    <row r="752" spans="1:10" s="98" customFormat="1" x14ac:dyDescent="0.2">
      <c r="A752" s="683">
        <v>1039</v>
      </c>
      <c r="B752" s="640" t="s">
        <v>780</v>
      </c>
      <c r="C752" s="652">
        <v>260000</v>
      </c>
      <c r="D752" s="652">
        <f>260000-50000+300000+199650</f>
        <v>709650</v>
      </c>
      <c r="E752" s="652">
        <v>378851.97</v>
      </c>
      <c r="F752" s="653"/>
      <c r="G752" s="642">
        <f t="shared" si="108"/>
        <v>145.71229615384613</v>
      </c>
      <c r="H752" s="644">
        <f t="shared" si="109"/>
        <v>53.385749313041643</v>
      </c>
      <c r="I752" s="651">
        <v>0</v>
      </c>
      <c r="J752" s="29">
        <v>0</v>
      </c>
    </row>
    <row r="753" spans="1:10" s="98" customFormat="1" x14ac:dyDescent="0.2">
      <c r="A753" s="683">
        <v>2369</v>
      </c>
      <c r="B753" s="640" t="s">
        <v>1715</v>
      </c>
      <c r="C753" s="652">
        <v>370000</v>
      </c>
      <c r="D753" s="652">
        <f>370000+122000</f>
        <v>492000</v>
      </c>
      <c r="E753" s="652">
        <v>139699.92000000001</v>
      </c>
      <c r="F753" s="653"/>
      <c r="G753" s="642">
        <f t="shared" si="108"/>
        <v>37.756735135135138</v>
      </c>
      <c r="H753" s="644">
        <f t="shared" si="109"/>
        <v>28.394292682926832</v>
      </c>
      <c r="I753" s="651">
        <f t="shared" si="112"/>
        <v>549.20787431663496</v>
      </c>
      <c r="J753" s="29">
        <v>25436.62</v>
      </c>
    </row>
    <row r="754" spans="1:10" s="98" customFormat="1" x14ac:dyDescent="0.2">
      <c r="A754" s="683">
        <v>3721</v>
      </c>
      <c r="B754" s="640" t="s">
        <v>1716</v>
      </c>
      <c r="C754" s="652">
        <v>50000</v>
      </c>
      <c r="D754" s="652">
        <v>50000</v>
      </c>
      <c r="E754" s="652">
        <v>50000</v>
      </c>
      <c r="F754" s="653"/>
      <c r="G754" s="642">
        <f t="shared" si="108"/>
        <v>100</v>
      </c>
      <c r="H754" s="644">
        <f t="shared" si="109"/>
        <v>100</v>
      </c>
      <c r="I754" s="651">
        <f t="shared" si="112"/>
        <v>100</v>
      </c>
      <c r="J754" s="29">
        <v>50000</v>
      </c>
    </row>
    <row r="755" spans="1:10" s="98" customFormat="1" x14ac:dyDescent="0.2">
      <c r="A755" s="683">
        <v>3722</v>
      </c>
      <c r="B755" s="640" t="s">
        <v>783</v>
      </c>
      <c r="C755" s="649">
        <f>SUM(C756:C758)</f>
        <v>37945000</v>
      </c>
      <c r="D755" s="649">
        <f>SUM(D756:D758)</f>
        <v>40577234</v>
      </c>
      <c r="E755" s="649">
        <v>40554312.630000003</v>
      </c>
      <c r="F755" s="650">
        <f>SUM(E756:E758)</f>
        <v>40554312.630000003</v>
      </c>
      <c r="G755" s="642">
        <f t="shared" si="108"/>
        <v>106.8765651073923</v>
      </c>
      <c r="H755" s="644">
        <f t="shared" si="109"/>
        <v>99.943511748484397</v>
      </c>
      <c r="I755" s="651">
        <f t="shared" si="112"/>
        <v>152.62809151924412</v>
      </c>
      <c r="J755" s="29">
        <v>26570674</v>
      </c>
    </row>
    <row r="756" spans="1:10" s="98" customFormat="1" ht="24.75" x14ac:dyDescent="0.2">
      <c r="A756" s="683"/>
      <c r="B756" s="666" t="s">
        <v>1901</v>
      </c>
      <c r="C756" s="653">
        <v>4250000</v>
      </c>
      <c r="D756" s="653">
        <f>4250000+3337434+164201</f>
        <v>7751635</v>
      </c>
      <c r="E756" s="653">
        <v>7751635</v>
      </c>
      <c r="F756" s="653"/>
      <c r="G756" s="643">
        <f t="shared" si="108"/>
        <v>182.39141176470588</v>
      </c>
      <c r="H756" s="659">
        <f t="shared" si="109"/>
        <v>100</v>
      </c>
      <c r="I756" s="664">
        <f t="shared" si="112"/>
        <v>215.09137374163402</v>
      </c>
      <c r="J756" s="654">
        <v>3603880</v>
      </c>
    </row>
    <row r="757" spans="1:10" s="98" customFormat="1" x14ac:dyDescent="0.2">
      <c r="A757" s="683"/>
      <c r="B757" s="869" t="s">
        <v>784</v>
      </c>
      <c r="C757" s="653">
        <v>31150000</v>
      </c>
      <c r="D757" s="653">
        <f>31150000-900000+115320.48+10970-115320.48</f>
        <v>30260970</v>
      </c>
      <c r="E757" s="653">
        <v>30260970</v>
      </c>
      <c r="F757" s="653"/>
      <c r="G757" s="643">
        <f t="shared" si="108"/>
        <v>97.145971107544142</v>
      </c>
      <c r="H757" s="659">
        <f t="shared" si="109"/>
        <v>100</v>
      </c>
      <c r="I757" s="664">
        <f t="shared" si="112"/>
        <v>98.89205882352941</v>
      </c>
      <c r="J757" s="29">
        <v>30600000</v>
      </c>
    </row>
    <row r="758" spans="1:10" s="98" customFormat="1" x14ac:dyDescent="0.2">
      <c r="A758" s="683"/>
      <c r="B758" s="869" t="s">
        <v>785</v>
      </c>
      <c r="C758" s="653">
        <v>2545000</v>
      </c>
      <c r="D758" s="653">
        <f>2545000+15885+3744</f>
        <v>2564629</v>
      </c>
      <c r="E758" s="653">
        <v>2541707.63</v>
      </c>
      <c r="F758" s="653"/>
      <c r="G758" s="643">
        <f t="shared" si="108"/>
        <v>99.870633791748517</v>
      </c>
      <c r="H758" s="659">
        <f t="shared" si="109"/>
        <v>99.106250065798989</v>
      </c>
      <c r="I758" s="664">
        <f t="shared" si="112"/>
        <v>107.39031914057581</v>
      </c>
      <c r="J758" s="29">
        <v>2366794</v>
      </c>
    </row>
    <row r="759" spans="1:10" s="98" customFormat="1" x14ac:dyDescent="0.2">
      <c r="A759" s="683">
        <v>3726</v>
      </c>
      <c r="B759" s="689" t="s">
        <v>1826</v>
      </c>
      <c r="C759" s="663">
        <v>1650000</v>
      </c>
      <c r="D759" s="663">
        <v>1650000</v>
      </c>
      <c r="E759" s="652">
        <v>1633500</v>
      </c>
      <c r="F759" s="653"/>
      <c r="G759" s="642">
        <f t="shared" si="108"/>
        <v>99</v>
      </c>
      <c r="H759" s="644">
        <f t="shared" si="109"/>
        <v>99</v>
      </c>
      <c r="I759" s="651">
        <v>0</v>
      </c>
      <c r="J759" s="29">
        <v>0</v>
      </c>
    </row>
    <row r="760" spans="1:10" s="98" customFormat="1" x14ac:dyDescent="0.2">
      <c r="A760" s="683">
        <v>3733</v>
      </c>
      <c r="B760" s="640" t="s">
        <v>1719</v>
      </c>
      <c r="C760" s="652">
        <v>65000</v>
      </c>
      <c r="D760" s="652">
        <v>65000</v>
      </c>
      <c r="E760" s="652">
        <v>45195</v>
      </c>
      <c r="F760" s="653"/>
      <c r="G760" s="642">
        <f t="shared" si="108"/>
        <v>69.530769230769224</v>
      </c>
      <c r="H760" s="644">
        <f t="shared" si="109"/>
        <v>69.530769230769224</v>
      </c>
      <c r="I760" s="651">
        <v>0</v>
      </c>
      <c r="J760" s="29">
        <v>39685.599999999999</v>
      </c>
    </row>
    <row r="761" spans="1:10" s="98" customFormat="1" x14ac:dyDescent="0.2">
      <c r="A761" s="683">
        <v>3742</v>
      </c>
      <c r="B761" s="648" t="s">
        <v>1720</v>
      </c>
      <c r="C761" s="652">
        <v>100000</v>
      </c>
      <c r="D761" s="652">
        <v>100000</v>
      </c>
      <c r="E761" s="652">
        <v>0</v>
      </c>
      <c r="F761" s="653"/>
      <c r="G761" s="642">
        <f t="shared" si="108"/>
        <v>0</v>
      </c>
      <c r="H761" s="644">
        <f t="shared" si="109"/>
        <v>0</v>
      </c>
      <c r="I761" s="651">
        <v>0</v>
      </c>
      <c r="J761" s="29">
        <v>0</v>
      </c>
    </row>
    <row r="762" spans="1:10" s="98" customFormat="1" x14ac:dyDescent="0.2">
      <c r="A762" s="683">
        <v>3745</v>
      </c>
      <c r="B762" s="640" t="s">
        <v>790</v>
      </c>
      <c r="C762" s="649">
        <f>SUM(C763:C766)</f>
        <v>25144000</v>
      </c>
      <c r="D762" s="649">
        <f>SUM(D763:D766)</f>
        <v>25520098.559999999</v>
      </c>
      <c r="E762" s="649">
        <v>24921969.18</v>
      </c>
      <c r="F762" s="650">
        <f>SUM(E763:E766)</f>
        <v>24921969.18</v>
      </c>
      <c r="G762" s="642">
        <f t="shared" si="108"/>
        <v>99.116963013044852</v>
      </c>
      <c r="H762" s="644">
        <f t="shared" si="109"/>
        <v>97.656241888746067</v>
      </c>
      <c r="I762" s="651">
        <f t="shared" si="112"/>
        <v>53.81752453252551</v>
      </c>
      <c r="J762" s="29">
        <v>46308278.57</v>
      </c>
    </row>
    <row r="763" spans="1:10" s="98" customFormat="1" x14ac:dyDescent="0.2">
      <c r="A763" s="683"/>
      <c r="B763" s="869" t="s">
        <v>1721</v>
      </c>
      <c r="C763" s="653">
        <v>260000</v>
      </c>
      <c r="D763" s="653">
        <v>260000</v>
      </c>
      <c r="E763" s="653">
        <v>248170</v>
      </c>
      <c r="F763" s="653"/>
      <c r="G763" s="643">
        <f t="shared" si="108"/>
        <v>95.45</v>
      </c>
      <c r="H763" s="659">
        <f t="shared" si="109"/>
        <v>95.45</v>
      </c>
      <c r="I763" s="664">
        <f t="shared" si="112"/>
        <v>102.23864610111397</v>
      </c>
      <c r="J763" s="29">
        <v>242736</v>
      </c>
    </row>
    <row r="764" spans="1:10" s="98" customFormat="1" x14ac:dyDescent="0.2">
      <c r="A764" s="684"/>
      <c r="B764" s="869" t="s">
        <v>792</v>
      </c>
      <c r="C764" s="653">
        <v>19300000</v>
      </c>
      <c r="D764" s="653">
        <f>19300000+600000+170645.83-170645.83</f>
        <v>19900000</v>
      </c>
      <c r="E764" s="653">
        <v>19900000</v>
      </c>
      <c r="F764" s="653"/>
      <c r="G764" s="643">
        <f t="shared" si="108"/>
        <v>103.10880829015545</v>
      </c>
      <c r="H764" s="659">
        <f t="shared" si="109"/>
        <v>100</v>
      </c>
      <c r="I764" s="664">
        <f t="shared" si="112"/>
        <v>103.91644908616189</v>
      </c>
      <c r="J764" s="29">
        <v>19150000</v>
      </c>
    </row>
    <row r="765" spans="1:10" s="98" customFormat="1" x14ac:dyDescent="0.2">
      <c r="A765" s="684"/>
      <c r="B765" s="869" t="s">
        <v>793</v>
      </c>
      <c r="C765" s="653">
        <v>2834000</v>
      </c>
      <c r="D765" s="653">
        <f>2834000+36117</f>
        <v>2870117</v>
      </c>
      <c r="E765" s="653">
        <v>2283817.62</v>
      </c>
      <c r="F765" s="653"/>
      <c r="G765" s="643">
        <f t="shared" si="108"/>
        <v>80.586366266760763</v>
      </c>
      <c r="H765" s="659">
        <f t="shared" si="109"/>
        <v>79.572282941775555</v>
      </c>
      <c r="I765" s="664">
        <f t="shared" si="112"/>
        <v>132.06466763312878</v>
      </c>
      <c r="J765" s="29">
        <v>1729317.66</v>
      </c>
    </row>
    <row r="766" spans="1:10" s="98" customFormat="1" ht="24.75" x14ac:dyDescent="0.2">
      <c r="A766" s="683"/>
      <c r="B766" s="666" t="s">
        <v>1902</v>
      </c>
      <c r="C766" s="653">
        <v>2750000</v>
      </c>
      <c r="D766" s="653">
        <f>2750000+76031.56-186050-150000</f>
        <v>2489981.56</v>
      </c>
      <c r="E766" s="653">
        <v>2489981.56</v>
      </c>
      <c r="F766" s="653"/>
      <c r="G766" s="643">
        <f t="shared" ref="G766:G829" si="115">E766/C766*100</f>
        <v>90.544784000000007</v>
      </c>
      <c r="H766" s="659">
        <f t="shared" si="109"/>
        <v>100</v>
      </c>
      <c r="I766" s="664">
        <f t="shared" si="112"/>
        <v>9.8862833509096948</v>
      </c>
      <c r="J766" s="654">
        <v>25186224.91</v>
      </c>
    </row>
    <row r="767" spans="1:10" x14ac:dyDescent="0.2">
      <c r="A767" s="1236">
        <v>3792</v>
      </c>
      <c r="B767" s="1237" t="s">
        <v>795</v>
      </c>
      <c r="C767" s="1238">
        <v>215000</v>
      </c>
      <c r="D767" s="1238">
        <v>215000</v>
      </c>
      <c r="E767" s="1238">
        <v>103108.44</v>
      </c>
      <c r="F767" s="1239"/>
      <c r="G767" s="1240">
        <f t="shared" si="115"/>
        <v>47.957413953488377</v>
      </c>
      <c r="H767" s="1241">
        <f t="shared" si="109"/>
        <v>47.957413953488377</v>
      </c>
      <c r="I767" s="1242">
        <f t="shared" si="112"/>
        <v>20.473073549641679</v>
      </c>
      <c r="J767" s="29">
        <v>503629.51</v>
      </c>
    </row>
    <row r="768" spans="1:10" ht="15.75" x14ac:dyDescent="0.25">
      <c r="A768" s="1243"/>
      <c r="B768" s="1244" t="s">
        <v>1723</v>
      </c>
      <c r="C768" s="1245">
        <f>SUM(C769:C769)</f>
        <v>100000</v>
      </c>
      <c r="D768" s="1245">
        <f>SUM(D769:D769)</f>
        <v>100000</v>
      </c>
      <c r="E768" s="1245">
        <v>40000</v>
      </c>
      <c r="F768" s="1246"/>
      <c r="G768" s="1247">
        <f t="shared" si="115"/>
        <v>40</v>
      </c>
      <c r="H768" s="1247">
        <f t="shared" si="109"/>
        <v>40</v>
      </c>
      <c r="I768" s="1248">
        <v>0</v>
      </c>
      <c r="J768" s="29">
        <v>0</v>
      </c>
    </row>
    <row r="769" spans="1:11" x14ac:dyDescent="0.2">
      <c r="A769" s="1114" t="s">
        <v>1724</v>
      </c>
      <c r="B769" s="1115" t="s">
        <v>1725</v>
      </c>
      <c r="C769" s="679">
        <v>100000</v>
      </c>
      <c r="D769" s="679">
        <v>100000</v>
      </c>
      <c r="E769" s="679">
        <v>40000</v>
      </c>
      <c r="F769" s="860"/>
      <c r="G769" s="642">
        <f t="shared" si="115"/>
        <v>40</v>
      </c>
      <c r="H769" s="644">
        <f t="shared" si="109"/>
        <v>40</v>
      </c>
      <c r="I769" s="651">
        <v>0</v>
      </c>
      <c r="J769" s="29">
        <v>0</v>
      </c>
    </row>
    <row r="770" spans="1:11" x14ac:dyDescent="0.2">
      <c r="A770" s="1116"/>
      <c r="B770" s="1117"/>
      <c r="C770" s="902"/>
      <c r="D770" s="902"/>
      <c r="E770" s="902"/>
      <c r="F770" s="902"/>
      <c r="G770" s="902"/>
      <c r="H770" s="902"/>
      <c r="I770" s="1118"/>
      <c r="J770" s="29"/>
    </row>
    <row r="771" spans="1:11" ht="20.25" x14ac:dyDescent="0.3">
      <c r="A771" s="1119"/>
      <c r="B771" s="1010" t="s">
        <v>797</v>
      </c>
      <c r="C771" s="995">
        <f>SUM(C772,C773,C791,C820,C862,C870,C871,C874)</f>
        <v>136758000</v>
      </c>
      <c r="D771" s="995">
        <f>SUM(D772,D773,D791,D820,D862,D870,D871,D874)</f>
        <v>137132424.47</v>
      </c>
      <c r="E771" s="995">
        <v>120915025.08</v>
      </c>
      <c r="F771" s="892">
        <f>SUM(E772:E773,E791,E820,E862,E870:E871,E874)</f>
        <v>120915025.12</v>
      </c>
      <c r="G771" s="810">
        <f t="shared" si="115"/>
        <v>88.415321282850002</v>
      </c>
      <c r="H771" s="810">
        <f t="shared" si="109"/>
        <v>88.173913315776147</v>
      </c>
      <c r="I771" s="997">
        <f t="shared" si="112"/>
        <v>98.493657112677695</v>
      </c>
      <c r="J771" s="88">
        <v>122764276.02</v>
      </c>
    </row>
    <row r="772" spans="1:11" ht="12.75" customHeight="1" x14ac:dyDescent="0.2">
      <c r="A772" s="1120">
        <v>3122</v>
      </c>
      <c r="B772" s="1121" t="s">
        <v>1726</v>
      </c>
      <c r="C772" s="652">
        <v>403000</v>
      </c>
      <c r="D772" s="652">
        <v>403000</v>
      </c>
      <c r="E772" s="652">
        <v>345109.16</v>
      </c>
      <c r="F772" s="653"/>
      <c r="G772" s="642">
        <f t="shared" si="115"/>
        <v>85.635027295285354</v>
      </c>
      <c r="H772" s="644">
        <f t="shared" si="109"/>
        <v>85.635027295285354</v>
      </c>
      <c r="I772" s="651">
        <f t="shared" si="112"/>
        <v>110.23338224763253</v>
      </c>
      <c r="J772" s="88">
        <v>313071.37</v>
      </c>
    </row>
    <row r="773" spans="1:11" ht="12.75" customHeight="1" x14ac:dyDescent="0.2">
      <c r="A773" s="639">
        <v>3412</v>
      </c>
      <c r="B773" s="640" t="s">
        <v>1265</v>
      </c>
      <c r="C773" s="649">
        <f>C774+C783</f>
        <v>50505000</v>
      </c>
      <c r="D773" s="649">
        <f>D774+D783</f>
        <v>51553943.540000007</v>
      </c>
      <c r="E773" s="649">
        <v>50786503</v>
      </c>
      <c r="F773" s="650">
        <f>SUM(E774,E783)</f>
        <v>50786503</v>
      </c>
      <c r="G773" s="642">
        <f t="shared" si="115"/>
        <v>100.55737649737651</v>
      </c>
      <c r="H773" s="644">
        <f t="shared" si="109"/>
        <v>98.511383441686547</v>
      </c>
      <c r="I773" s="651">
        <f t="shared" si="112"/>
        <v>91.336407950818042</v>
      </c>
      <c r="J773" s="88">
        <v>55603788.390000001</v>
      </c>
    </row>
    <row r="774" spans="1:11" ht="12.75" customHeight="1" x14ac:dyDescent="0.2">
      <c r="A774" s="639"/>
      <c r="B774" s="1122" t="s">
        <v>1727</v>
      </c>
      <c r="C774" s="1123">
        <f>C775+C778+C780</f>
        <v>35690000</v>
      </c>
      <c r="D774" s="1123">
        <f>D775+D778+D780</f>
        <v>35690000.000000007</v>
      </c>
      <c r="E774" s="1123">
        <v>35153400</v>
      </c>
      <c r="F774" s="1124">
        <f>SUM(E775,E778,E780)</f>
        <v>35153400</v>
      </c>
      <c r="G774" s="1125">
        <f t="shared" si="115"/>
        <v>98.496497618380502</v>
      </c>
      <c r="H774" s="1126">
        <f t="shared" si="109"/>
        <v>98.496497618380474</v>
      </c>
      <c r="I774" s="1127">
        <f t="shared" si="112"/>
        <v>97.473205202086746</v>
      </c>
      <c r="J774" s="88">
        <v>36064680.469999999</v>
      </c>
      <c r="K774" s="2"/>
    </row>
    <row r="775" spans="1:11" ht="12.75" customHeight="1" x14ac:dyDescent="0.2">
      <c r="A775" s="639"/>
      <c r="B775" s="1128" t="s">
        <v>801</v>
      </c>
      <c r="C775" s="1124">
        <f>SUM(C776:C777)</f>
        <v>790000</v>
      </c>
      <c r="D775" s="1124">
        <f>SUM(D776:D777)</f>
        <v>980426.2</v>
      </c>
      <c r="E775" s="1124">
        <v>843826.2</v>
      </c>
      <c r="F775" s="650">
        <f>SUM(E776:E777)</f>
        <v>843826.2</v>
      </c>
      <c r="G775" s="1129">
        <f t="shared" si="115"/>
        <v>106.81344303797469</v>
      </c>
      <c r="H775" s="1130">
        <f t="shared" ref="H775:H838" si="116">E775/D775*100</f>
        <v>86.067283799637337</v>
      </c>
      <c r="I775" s="1131">
        <f t="shared" si="112"/>
        <v>122.30309078200598</v>
      </c>
      <c r="J775" s="88">
        <v>689946.75</v>
      </c>
    </row>
    <row r="776" spans="1:11" ht="12.75" customHeight="1" x14ac:dyDescent="0.2">
      <c r="A776" s="639"/>
      <c r="B776" s="1132" t="s">
        <v>1728</v>
      </c>
      <c r="C776" s="715">
        <v>790000</v>
      </c>
      <c r="D776" s="715">
        <v>790000</v>
      </c>
      <c r="E776" s="650">
        <v>653400</v>
      </c>
      <c r="F776" s="650"/>
      <c r="G776" s="643">
        <f t="shared" si="115"/>
        <v>82.708860759493675</v>
      </c>
      <c r="H776" s="659">
        <f t="shared" si="116"/>
        <v>82.708860759493675</v>
      </c>
      <c r="I776" s="664">
        <v>0</v>
      </c>
      <c r="J776" s="88">
        <v>0</v>
      </c>
    </row>
    <row r="777" spans="1:11" x14ac:dyDescent="0.2">
      <c r="A777" s="639"/>
      <c r="B777" s="1132" t="s">
        <v>1903</v>
      </c>
      <c r="C777" s="715">
        <v>0</v>
      </c>
      <c r="D777" s="715">
        <f>88036+61250.2+41140</f>
        <v>190426.2</v>
      </c>
      <c r="E777" s="1133">
        <v>190426.2</v>
      </c>
      <c r="F777" s="1133"/>
      <c r="G777" s="643">
        <v>0</v>
      </c>
      <c r="H777" s="659">
        <f t="shared" si="116"/>
        <v>100</v>
      </c>
      <c r="I777" s="664">
        <v>0</v>
      </c>
      <c r="J777" s="88">
        <v>0</v>
      </c>
    </row>
    <row r="778" spans="1:11" s="1134" customFormat="1" ht="12.75" customHeight="1" x14ac:dyDescent="0.2">
      <c r="A778" s="639"/>
      <c r="B778" s="1135" t="s">
        <v>823</v>
      </c>
      <c r="C778" s="1136">
        <f>SUM(C779:C779)</f>
        <v>150000</v>
      </c>
      <c r="D778" s="1136">
        <f>SUM(D779:D779)</f>
        <v>150000</v>
      </c>
      <c r="E778" s="1124">
        <v>0</v>
      </c>
      <c r="F778" s="650"/>
      <c r="G778" s="1129">
        <f t="shared" si="115"/>
        <v>0</v>
      </c>
      <c r="H778" s="1130">
        <f t="shared" si="116"/>
        <v>0</v>
      </c>
      <c r="I778" s="1131">
        <f t="shared" si="112"/>
        <v>0</v>
      </c>
      <c r="J778" s="1137">
        <v>173630.16</v>
      </c>
    </row>
    <row r="779" spans="1:11" ht="12.75" customHeight="1" x14ac:dyDescent="0.2">
      <c r="A779" s="639"/>
      <c r="B779" s="696" t="s">
        <v>1730</v>
      </c>
      <c r="C779" s="715">
        <v>150000</v>
      </c>
      <c r="D779" s="715">
        <v>150000</v>
      </c>
      <c r="E779" s="837">
        <v>0</v>
      </c>
      <c r="F779" s="837"/>
      <c r="G779" s="643">
        <f t="shared" si="115"/>
        <v>0</v>
      </c>
      <c r="H779" s="659">
        <f t="shared" si="116"/>
        <v>0</v>
      </c>
      <c r="I779" s="664">
        <v>0</v>
      </c>
      <c r="J779" s="88">
        <v>0</v>
      </c>
    </row>
    <row r="780" spans="1:11" ht="12.75" customHeight="1" x14ac:dyDescent="0.2">
      <c r="A780" s="639"/>
      <c r="B780" s="1138" t="s">
        <v>813</v>
      </c>
      <c r="C780" s="1139">
        <f>SUM(C781:C782)</f>
        <v>34750000</v>
      </c>
      <c r="D780" s="1139">
        <f>SUM(D781:D782)</f>
        <v>34559573.800000004</v>
      </c>
      <c r="E780" s="1124">
        <v>34309573.799999997</v>
      </c>
      <c r="F780" s="650">
        <f>SUM(E781:E782)</f>
        <v>34309573.800000004</v>
      </c>
      <c r="G780" s="1129">
        <f t="shared" si="115"/>
        <v>98.732586474820138</v>
      </c>
      <c r="H780" s="1130">
        <f t="shared" si="116"/>
        <v>99.276611449415469</v>
      </c>
      <c r="I780" s="1131">
        <f t="shared" ref="I780:I802" si="117">E780/J780*100</f>
        <v>97.467379779714918</v>
      </c>
      <c r="J780" s="88">
        <v>35201083.560000002</v>
      </c>
    </row>
    <row r="781" spans="1:11" ht="12.75" customHeight="1" x14ac:dyDescent="0.2">
      <c r="A781" s="639"/>
      <c r="B781" s="696" t="s">
        <v>1731</v>
      </c>
      <c r="C781" s="715">
        <v>34500000</v>
      </c>
      <c r="D781" s="715">
        <f>34500000-25482.15-7793-88036-11950.96-97880.8-41140</f>
        <v>34227717.090000004</v>
      </c>
      <c r="E781" s="650">
        <v>34227717.090000004</v>
      </c>
      <c r="F781" s="650"/>
      <c r="G781" s="643">
        <f t="shared" si="115"/>
        <v>99.210774173913052</v>
      </c>
      <c r="H781" s="659">
        <f t="shared" si="116"/>
        <v>100</v>
      </c>
      <c r="I781" s="664">
        <f t="shared" si="117"/>
        <v>98.077404508545456</v>
      </c>
      <c r="J781" s="88">
        <v>34898677.490000002</v>
      </c>
    </row>
    <row r="782" spans="1:11" s="98" customFormat="1" ht="12.75" customHeight="1" x14ac:dyDescent="0.2">
      <c r="A782" s="639"/>
      <c r="B782" s="843" t="s">
        <v>1732</v>
      </c>
      <c r="C782" s="715">
        <v>250000</v>
      </c>
      <c r="D782" s="715">
        <f>250000+25482.15+7793+11950.96+36630.6</f>
        <v>331856.71000000002</v>
      </c>
      <c r="E782" s="650">
        <v>81856.710000000006</v>
      </c>
      <c r="F782" s="650"/>
      <c r="G782" s="643">
        <f t="shared" si="115"/>
        <v>32.742684000000004</v>
      </c>
      <c r="H782" s="659">
        <f t="shared" si="116"/>
        <v>24.666281420074345</v>
      </c>
      <c r="I782" s="664">
        <f t="shared" si="117"/>
        <v>27.068474518385166</v>
      </c>
      <c r="J782" s="88">
        <v>302406.07</v>
      </c>
    </row>
    <row r="783" spans="1:11" ht="12.75" customHeight="1" x14ac:dyDescent="0.2">
      <c r="A783" s="639"/>
      <c r="B783" s="1140" t="s">
        <v>1733</v>
      </c>
      <c r="C783" s="1141">
        <f>C784+C788</f>
        <v>14815000</v>
      </c>
      <c r="D783" s="1141">
        <f>D784+D788</f>
        <v>15863943.539999999</v>
      </c>
      <c r="E783" s="1123">
        <v>15633103</v>
      </c>
      <c r="F783" s="1124">
        <f>SUM(E784,E788)</f>
        <v>15633103</v>
      </c>
      <c r="G783" s="1125">
        <f t="shared" si="115"/>
        <v>105.52212622342221</v>
      </c>
      <c r="H783" s="1126">
        <f t="shared" si="116"/>
        <v>98.544872909954904</v>
      </c>
      <c r="I783" s="1127">
        <f t="shared" si="117"/>
        <v>80.009215682539008</v>
      </c>
      <c r="J783" s="88">
        <v>19539127.920000002</v>
      </c>
    </row>
    <row r="784" spans="1:11" ht="12.75" customHeight="1" x14ac:dyDescent="0.2">
      <c r="A784" s="665"/>
      <c r="B784" s="1142" t="s">
        <v>813</v>
      </c>
      <c r="C784" s="1143">
        <f t="shared" ref="C784:D784" si="118">SUM(C785:C787)</f>
        <v>14050000</v>
      </c>
      <c r="D784" s="1143">
        <f t="shared" si="118"/>
        <v>15285125.289999999</v>
      </c>
      <c r="E784" s="1124">
        <v>15235125.289999999</v>
      </c>
      <c r="F784" s="650">
        <f>SUM(E785:E787)</f>
        <v>15235125.289999999</v>
      </c>
      <c r="G784" s="1129">
        <f t="shared" si="115"/>
        <v>108.43505544483985</v>
      </c>
      <c r="H784" s="1130">
        <f t="shared" si="116"/>
        <v>99.672884591710144</v>
      </c>
      <c r="I784" s="1131">
        <f t="shared" si="117"/>
        <v>111.28383683873768</v>
      </c>
      <c r="J784" s="88">
        <v>13690330.710000001</v>
      </c>
    </row>
    <row r="785" spans="1:10" ht="12.75" customHeight="1" x14ac:dyDescent="0.2">
      <c r="A785" s="665"/>
      <c r="B785" s="696" t="s">
        <v>1734</v>
      </c>
      <c r="C785" s="715">
        <v>14000000</v>
      </c>
      <c r="D785" s="715">
        <f>14000000-7633-2800+300000-3687+186181.75+800000-51056.46</f>
        <v>15221005.289999999</v>
      </c>
      <c r="E785" s="650">
        <v>15221005.289999999</v>
      </c>
      <c r="F785" s="650"/>
      <c r="G785" s="643">
        <f t="shared" si="115"/>
        <v>108.72146635714286</v>
      </c>
      <c r="H785" s="659">
        <f t="shared" si="116"/>
        <v>100</v>
      </c>
      <c r="I785" s="664">
        <f t="shared" si="117"/>
        <v>111.6881081759701</v>
      </c>
      <c r="J785" s="88">
        <v>13628134.220000001</v>
      </c>
    </row>
    <row r="786" spans="1:10" s="98" customFormat="1" ht="12.75" customHeight="1" x14ac:dyDescent="0.2">
      <c r="A786" s="639"/>
      <c r="B786" s="843" t="s">
        <v>1735</v>
      </c>
      <c r="C786" s="715">
        <v>0</v>
      </c>
      <c r="D786" s="715">
        <f>7633+2800+3687</f>
        <v>14120</v>
      </c>
      <c r="E786" s="650">
        <v>14120</v>
      </c>
      <c r="F786" s="650"/>
      <c r="G786" s="643">
        <v>0</v>
      </c>
      <c r="H786" s="659">
        <f t="shared" si="116"/>
        <v>100</v>
      </c>
      <c r="I786" s="664">
        <f t="shared" si="117"/>
        <v>26.295945973377403</v>
      </c>
      <c r="J786" s="88">
        <v>53696.49</v>
      </c>
    </row>
    <row r="787" spans="1:10" ht="12.75" customHeight="1" x14ac:dyDescent="0.2">
      <c r="A787" s="665"/>
      <c r="B787" s="1144" t="s">
        <v>1736</v>
      </c>
      <c r="C787" s="715">
        <v>50000</v>
      </c>
      <c r="D787" s="715">
        <v>50000</v>
      </c>
      <c r="E787" s="650">
        <v>0</v>
      </c>
      <c r="F787" s="650"/>
      <c r="G787" s="643">
        <f t="shared" si="115"/>
        <v>0</v>
      </c>
      <c r="H787" s="659">
        <f t="shared" si="116"/>
        <v>0</v>
      </c>
      <c r="I787" s="664">
        <f t="shared" si="117"/>
        <v>0</v>
      </c>
      <c r="J787" s="88">
        <v>8500</v>
      </c>
    </row>
    <row r="788" spans="1:10" ht="12.75" customHeight="1" x14ac:dyDescent="0.2">
      <c r="A788" s="665"/>
      <c r="B788" s="1142" t="s">
        <v>823</v>
      </c>
      <c r="C788" s="1139">
        <f>SUM(C789:C790)</f>
        <v>765000</v>
      </c>
      <c r="D788" s="1139">
        <f>SUM(D789:D790)</f>
        <v>578818.25</v>
      </c>
      <c r="E788" s="1124">
        <v>397977.71</v>
      </c>
      <c r="F788" s="1124">
        <f>SUM(E789:E790)</f>
        <v>397977.71</v>
      </c>
      <c r="G788" s="1129">
        <f t="shared" si="115"/>
        <v>52.023230065359485</v>
      </c>
      <c r="H788" s="1130">
        <f t="shared" si="116"/>
        <v>68.756938814558808</v>
      </c>
      <c r="I788" s="664">
        <f t="shared" si="117"/>
        <v>306.07407253592726</v>
      </c>
      <c r="J788" s="88">
        <v>130026.6</v>
      </c>
    </row>
    <row r="789" spans="1:10" ht="12.75" customHeight="1" x14ac:dyDescent="0.2">
      <c r="A789" s="665"/>
      <c r="B789" s="702" t="s">
        <v>824</v>
      </c>
      <c r="C789" s="715">
        <v>150000</v>
      </c>
      <c r="D789" s="715">
        <v>150000</v>
      </c>
      <c r="E789" s="650">
        <v>0</v>
      </c>
      <c r="F789" s="650"/>
      <c r="G789" s="643">
        <f t="shared" si="115"/>
        <v>0</v>
      </c>
      <c r="H789" s="659">
        <f t="shared" si="116"/>
        <v>0</v>
      </c>
      <c r="I789" s="664">
        <v>0</v>
      </c>
      <c r="J789" s="88">
        <v>10026</v>
      </c>
    </row>
    <row r="790" spans="1:10" ht="25.5" x14ac:dyDescent="0.2">
      <c r="A790" s="665"/>
      <c r="B790" s="696" t="s">
        <v>1904</v>
      </c>
      <c r="C790" s="715">
        <v>615000</v>
      </c>
      <c r="D790" s="715">
        <f>615000-186181.75</f>
        <v>428818.25</v>
      </c>
      <c r="E790" s="650">
        <v>397977.71</v>
      </c>
      <c r="F790" s="650"/>
      <c r="G790" s="643">
        <f t="shared" si="115"/>
        <v>64.711822764227648</v>
      </c>
      <c r="H790" s="659">
        <f t="shared" si="116"/>
        <v>92.80801598346153</v>
      </c>
      <c r="I790" s="664">
        <v>0</v>
      </c>
      <c r="J790" s="32">
        <v>0</v>
      </c>
    </row>
    <row r="791" spans="1:10" ht="12.75" customHeight="1" x14ac:dyDescent="0.2">
      <c r="A791" s="639">
        <v>3612</v>
      </c>
      <c r="B791" s="690" t="s">
        <v>827</v>
      </c>
      <c r="C791" s="694">
        <f>C792+C794</f>
        <v>55570000</v>
      </c>
      <c r="D791" s="694">
        <f>D792+D794</f>
        <v>55550000</v>
      </c>
      <c r="E791" s="649">
        <v>48842770.340000004</v>
      </c>
      <c r="F791" s="650">
        <f>SUM(E792,E794)</f>
        <v>48842770.340000004</v>
      </c>
      <c r="G791" s="642">
        <f t="shared" si="115"/>
        <v>87.894134137124354</v>
      </c>
      <c r="H791" s="644">
        <f t="shared" si="116"/>
        <v>87.925779189918998</v>
      </c>
      <c r="I791" s="651">
        <f t="shared" si="117"/>
        <v>106.50111108450359</v>
      </c>
      <c r="J791" s="88">
        <v>45861277.729999997</v>
      </c>
    </row>
    <row r="792" spans="1:10" ht="12.75" customHeight="1" x14ac:dyDescent="0.2">
      <c r="A792" s="665"/>
      <c r="B792" s="1142" t="s">
        <v>801</v>
      </c>
      <c r="C792" s="1139">
        <f>SUM(C793)</f>
        <v>300000</v>
      </c>
      <c r="D792" s="1139">
        <f>SUM(D793)</f>
        <v>300000</v>
      </c>
      <c r="E792" s="1124">
        <v>0</v>
      </c>
      <c r="F792" s="650"/>
      <c r="G792" s="643">
        <f t="shared" si="115"/>
        <v>0</v>
      </c>
      <c r="H792" s="659">
        <f t="shared" si="116"/>
        <v>0</v>
      </c>
      <c r="I792" s="664">
        <f t="shared" si="117"/>
        <v>0</v>
      </c>
      <c r="J792" s="88">
        <v>192390</v>
      </c>
    </row>
    <row r="793" spans="1:10" ht="12.75" customHeight="1" x14ac:dyDescent="0.2">
      <c r="A793" s="665"/>
      <c r="B793" s="702" t="s">
        <v>1738</v>
      </c>
      <c r="C793" s="715">
        <v>300000</v>
      </c>
      <c r="D793" s="715">
        <v>300000</v>
      </c>
      <c r="E793" s="1145">
        <v>0</v>
      </c>
      <c r="F793" s="1145"/>
      <c r="G793" s="643">
        <f t="shared" si="115"/>
        <v>0</v>
      </c>
      <c r="H793" s="659">
        <f t="shared" si="116"/>
        <v>0</v>
      </c>
      <c r="I793" s="664">
        <f t="shared" si="117"/>
        <v>0</v>
      </c>
      <c r="J793" s="88">
        <v>192390</v>
      </c>
    </row>
    <row r="794" spans="1:10" ht="12.75" customHeight="1" x14ac:dyDescent="0.2">
      <c r="A794" s="639"/>
      <c r="B794" s="1146" t="s">
        <v>838</v>
      </c>
      <c r="C794" s="1147">
        <f>C795+C800+C806+C810+C811+C812+C813+C814+C819</f>
        <v>55270000</v>
      </c>
      <c r="D794" s="1147">
        <f>D795+D800+D806+D810+D811+D812+D813+D814+D819</f>
        <v>55250000</v>
      </c>
      <c r="E794" s="1148">
        <v>48842770.340000004</v>
      </c>
      <c r="F794" s="1148">
        <f>SUM(E795,E800,E806,E810:E814,E819)</f>
        <v>48842770.340000004</v>
      </c>
      <c r="G794" s="1129">
        <f t="shared" si="115"/>
        <v>88.371214655328387</v>
      </c>
      <c r="H794" s="1130">
        <f t="shared" si="116"/>
        <v>88.403204235294126</v>
      </c>
      <c r="I794" s="1131">
        <f t="shared" si="117"/>
        <v>106.94976989315875</v>
      </c>
      <c r="J794" s="88">
        <v>45668887.729999997</v>
      </c>
    </row>
    <row r="795" spans="1:10" ht="12.75" customHeight="1" x14ac:dyDescent="0.2">
      <c r="A795" s="1149"/>
      <c r="B795" s="1150" t="s">
        <v>839</v>
      </c>
      <c r="C795" s="1151">
        <f>SUM(C796:C799)</f>
        <v>10050000</v>
      </c>
      <c r="D795" s="1151">
        <f>SUM(D796:D799)</f>
        <v>10050000</v>
      </c>
      <c r="E795" s="1152">
        <v>7608558.0300000003</v>
      </c>
      <c r="F795" s="1145">
        <f>SUM(E796:E799)</f>
        <v>7608558.0300000003</v>
      </c>
      <c r="G795" s="1125">
        <f t="shared" si="115"/>
        <v>75.707045074626862</v>
      </c>
      <c r="H795" s="1126">
        <f t="shared" si="116"/>
        <v>75.707045074626862</v>
      </c>
      <c r="I795" s="1127">
        <f t="shared" si="117"/>
        <v>127.71456367739403</v>
      </c>
      <c r="J795" s="88">
        <v>5957470.9500000002</v>
      </c>
    </row>
    <row r="796" spans="1:10" ht="12.75" customHeight="1" x14ac:dyDescent="0.2">
      <c r="A796" s="639"/>
      <c r="B796" s="696" t="s">
        <v>1739</v>
      </c>
      <c r="C796" s="1153">
        <v>5750000</v>
      </c>
      <c r="D796" s="1153">
        <v>5750000</v>
      </c>
      <c r="E796" s="762">
        <v>4266529.17</v>
      </c>
      <c r="F796" s="762"/>
      <c r="G796" s="643">
        <f t="shared" si="115"/>
        <v>74.200507304347823</v>
      </c>
      <c r="H796" s="659">
        <f t="shared" si="116"/>
        <v>74.200507304347823</v>
      </c>
      <c r="I796" s="664">
        <f t="shared" si="117"/>
        <v>86.073091199773017</v>
      </c>
      <c r="J796" s="88">
        <v>4956867.5999999996</v>
      </c>
    </row>
    <row r="797" spans="1:10" ht="12.75" customHeight="1" x14ac:dyDescent="0.2">
      <c r="A797" s="639"/>
      <c r="B797" s="696" t="s">
        <v>1740</v>
      </c>
      <c r="C797" s="761">
        <v>500000</v>
      </c>
      <c r="D797" s="761">
        <v>500000</v>
      </c>
      <c r="E797" s="762">
        <v>168795</v>
      </c>
      <c r="F797" s="762"/>
      <c r="G797" s="643">
        <f t="shared" si="115"/>
        <v>33.759</v>
      </c>
      <c r="H797" s="659">
        <f t="shared" si="116"/>
        <v>33.759</v>
      </c>
      <c r="I797" s="664">
        <v>0</v>
      </c>
      <c r="J797" s="88">
        <v>0</v>
      </c>
    </row>
    <row r="798" spans="1:10" ht="12.75" customHeight="1" x14ac:dyDescent="0.2">
      <c r="A798" s="639"/>
      <c r="B798" s="696" t="s">
        <v>1741</v>
      </c>
      <c r="C798" s="761">
        <v>1800000</v>
      </c>
      <c r="D798" s="761">
        <v>1800000</v>
      </c>
      <c r="E798" s="762">
        <v>1715245.86</v>
      </c>
      <c r="F798" s="762"/>
      <c r="G798" s="643">
        <f t="shared" si="115"/>
        <v>95.291436666666669</v>
      </c>
      <c r="H798" s="659">
        <f t="shared" si="116"/>
        <v>95.291436666666669</v>
      </c>
      <c r="I798" s="664">
        <f t="shared" si="117"/>
        <v>171.42115904369101</v>
      </c>
      <c r="J798" s="88">
        <v>1000603.35</v>
      </c>
    </row>
    <row r="799" spans="1:10" ht="12.75" customHeight="1" x14ac:dyDescent="0.2">
      <c r="A799" s="639"/>
      <c r="B799" s="696" t="s">
        <v>1742</v>
      </c>
      <c r="C799" s="761">
        <v>2000000</v>
      </c>
      <c r="D799" s="761">
        <v>2000000</v>
      </c>
      <c r="E799" s="650">
        <v>1457988</v>
      </c>
      <c r="F799" s="650"/>
      <c r="G799" s="643">
        <f t="shared" si="115"/>
        <v>72.8994</v>
      </c>
      <c r="H799" s="659">
        <f t="shared" si="116"/>
        <v>72.8994</v>
      </c>
      <c r="I799" s="664">
        <v>0</v>
      </c>
      <c r="J799" s="88">
        <v>0</v>
      </c>
    </row>
    <row r="800" spans="1:10" ht="12.75" customHeight="1" x14ac:dyDescent="0.2">
      <c r="A800" s="639"/>
      <c r="B800" s="1154" t="s">
        <v>1743</v>
      </c>
      <c r="C800" s="1141">
        <f>C801+C802</f>
        <v>4250000</v>
      </c>
      <c r="D800" s="1141">
        <f>D801+D802</f>
        <v>4250000</v>
      </c>
      <c r="E800" s="1123">
        <v>3156709.21</v>
      </c>
      <c r="F800" s="650">
        <f>SUM(E801:E802)</f>
        <v>3156709.21</v>
      </c>
      <c r="G800" s="1125">
        <f t="shared" si="115"/>
        <v>74.275510823529416</v>
      </c>
      <c r="H800" s="1126">
        <f t="shared" si="116"/>
        <v>74.275510823529416</v>
      </c>
      <c r="I800" s="1127">
        <f t="shared" si="117"/>
        <v>111.95318708535889</v>
      </c>
      <c r="J800" s="88">
        <v>2819668.91</v>
      </c>
    </row>
    <row r="801" spans="1:10" ht="12.75" customHeight="1" x14ac:dyDescent="0.2">
      <c r="A801" s="665"/>
      <c r="B801" s="696" t="s">
        <v>1744</v>
      </c>
      <c r="C801" s="715">
        <v>3000000</v>
      </c>
      <c r="D801" s="715">
        <v>3000000</v>
      </c>
      <c r="E801" s="650">
        <v>2847883.61</v>
      </c>
      <c r="F801" s="650"/>
      <c r="G801" s="643">
        <f t="shared" si="115"/>
        <v>94.92945366666666</v>
      </c>
      <c r="H801" s="659">
        <f t="shared" si="116"/>
        <v>94.92945366666666</v>
      </c>
      <c r="I801" s="664">
        <f t="shared" si="117"/>
        <v>106.03688999916432</v>
      </c>
      <c r="J801" s="88">
        <v>2685747.96</v>
      </c>
    </row>
    <row r="802" spans="1:10" ht="12.75" customHeight="1" x14ac:dyDescent="0.2">
      <c r="A802" s="665"/>
      <c r="B802" s="1155" t="s">
        <v>845</v>
      </c>
      <c r="C802" s="715">
        <f>SUM(C803:C805)</f>
        <v>1250000</v>
      </c>
      <c r="D802" s="715">
        <f>SUM(D803:D805)</f>
        <v>1250000</v>
      </c>
      <c r="E802" s="650">
        <v>308825.59999999998</v>
      </c>
      <c r="F802" s="650">
        <f>SUM(E803:E805)</f>
        <v>308825.59999999998</v>
      </c>
      <c r="G802" s="643">
        <f t="shared" si="115"/>
        <v>24.706047999999996</v>
      </c>
      <c r="H802" s="659">
        <f t="shared" si="116"/>
        <v>24.706047999999996</v>
      </c>
      <c r="I802" s="664">
        <f t="shared" si="117"/>
        <v>230.60290417593362</v>
      </c>
      <c r="J802" s="88">
        <v>133920.95000000001</v>
      </c>
    </row>
    <row r="803" spans="1:10" ht="12.75" customHeight="1" x14ac:dyDescent="0.2">
      <c r="A803" s="665"/>
      <c r="B803" s="702" t="s">
        <v>1745</v>
      </c>
      <c r="C803" s="715">
        <v>350000</v>
      </c>
      <c r="D803" s="715">
        <v>350000</v>
      </c>
      <c r="E803" s="650">
        <v>130905.60000000001</v>
      </c>
      <c r="F803" s="1124"/>
      <c r="G803" s="643">
        <f t="shared" si="115"/>
        <v>37.401600000000002</v>
      </c>
      <c r="H803" s="659">
        <f t="shared" si="116"/>
        <v>37.401600000000002</v>
      </c>
      <c r="I803" s="664">
        <v>0</v>
      </c>
      <c r="J803" s="88">
        <v>0</v>
      </c>
    </row>
    <row r="804" spans="1:10" s="488" customFormat="1" ht="12.75" customHeight="1" x14ac:dyDescent="0.2">
      <c r="A804" s="665"/>
      <c r="B804" s="843" t="s">
        <v>1746</v>
      </c>
      <c r="C804" s="687">
        <v>500000</v>
      </c>
      <c r="D804" s="687">
        <v>500000</v>
      </c>
      <c r="E804" s="1133">
        <v>0</v>
      </c>
      <c r="F804" s="1133"/>
      <c r="G804" s="643">
        <f t="shared" si="115"/>
        <v>0</v>
      </c>
      <c r="H804" s="659">
        <f t="shared" si="116"/>
        <v>0</v>
      </c>
      <c r="I804" s="664">
        <f>E804/J735*100</f>
        <v>0</v>
      </c>
      <c r="J804" s="604">
        <v>0</v>
      </c>
    </row>
    <row r="805" spans="1:10" ht="12.75" customHeight="1" x14ac:dyDescent="0.2">
      <c r="A805" s="665"/>
      <c r="B805" s="843" t="s">
        <v>1747</v>
      </c>
      <c r="C805" s="715">
        <v>400000</v>
      </c>
      <c r="D805" s="715">
        <v>400000</v>
      </c>
      <c r="E805" s="650">
        <v>177920</v>
      </c>
      <c r="F805" s="650"/>
      <c r="G805" s="643">
        <f t="shared" si="115"/>
        <v>44.48</v>
      </c>
      <c r="H805" s="659">
        <f t="shared" si="116"/>
        <v>44.48</v>
      </c>
      <c r="I805" s="664">
        <f t="shared" ref="I805:I867" si="119">E805/J805*100</f>
        <v>132.85449363971804</v>
      </c>
      <c r="J805" s="88">
        <v>133920.95000000001</v>
      </c>
    </row>
    <row r="806" spans="1:10" ht="12.75" customHeight="1" x14ac:dyDescent="0.2">
      <c r="A806" s="1156"/>
      <c r="B806" s="1157" t="s">
        <v>1748</v>
      </c>
      <c r="C806" s="1141">
        <f>C807+C808</f>
        <v>5000000</v>
      </c>
      <c r="D806" s="1141">
        <f>D807+D808</f>
        <v>5000000</v>
      </c>
      <c r="E806" s="1123">
        <v>4625465.6900000004</v>
      </c>
      <c r="F806" s="650">
        <f>SUM(E807:E808)</f>
        <v>4625465.6900000004</v>
      </c>
      <c r="G806" s="1125">
        <f t="shared" si="115"/>
        <v>92.509313800000001</v>
      </c>
      <c r="H806" s="1126">
        <f t="shared" si="116"/>
        <v>92.509313800000001</v>
      </c>
      <c r="I806" s="1127">
        <f t="shared" si="119"/>
        <v>199.84926574346898</v>
      </c>
      <c r="J806" s="88">
        <v>2314477.2000000002</v>
      </c>
    </row>
    <row r="807" spans="1:10" ht="12.75" customHeight="1" x14ac:dyDescent="0.2">
      <c r="A807" s="1156"/>
      <c r="B807" s="1158" t="s">
        <v>844</v>
      </c>
      <c r="C807" s="1159">
        <v>4000000</v>
      </c>
      <c r="D807" s="1159">
        <v>4000000</v>
      </c>
      <c r="E807" s="653">
        <v>3677082.87</v>
      </c>
      <c r="F807" s="653"/>
      <c r="G807" s="643">
        <f t="shared" si="115"/>
        <v>91.927071749999996</v>
      </c>
      <c r="H807" s="659">
        <f t="shared" si="116"/>
        <v>91.927071749999996</v>
      </c>
      <c r="I807" s="664">
        <f t="shared" si="119"/>
        <v>245.57700503211808</v>
      </c>
      <c r="J807" s="88">
        <v>1497323.77</v>
      </c>
    </row>
    <row r="808" spans="1:10" s="488" customFormat="1" ht="15" customHeight="1" x14ac:dyDescent="0.2">
      <c r="A808" s="665"/>
      <c r="B808" s="1155" t="s">
        <v>849</v>
      </c>
      <c r="C808" s="715">
        <f>SUM(C809:C809)</f>
        <v>1000000</v>
      </c>
      <c r="D808" s="715">
        <f>SUM(D809:D809)</f>
        <v>1000000</v>
      </c>
      <c r="E808" s="650">
        <v>948382.82</v>
      </c>
      <c r="F808" s="650"/>
      <c r="G808" s="643">
        <f t="shared" si="115"/>
        <v>94.838281999999992</v>
      </c>
      <c r="H808" s="659">
        <f t="shared" si="116"/>
        <v>94.838281999999992</v>
      </c>
      <c r="I808" s="664">
        <f t="shared" si="119"/>
        <v>116.05933294558892</v>
      </c>
      <c r="J808" s="88">
        <v>817153.43</v>
      </c>
    </row>
    <row r="809" spans="1:10" ht="12.75" customHeight="1" x14ac:dyDescent="0.2">
      <c r="A809" s="1156"/>
      <c r="B809" s="696" t="s">
        <v>1749</v>
      </c>
      <c r="C809" s="715">
        <v>1000000</v>
      </c>
      <c r="D809" s="715">
        <v>1000000</v>
      </c>
      <c r="E809" s="653">
        <v>948382.82</v>
      </c>
      <c r="F809" s="653"/>
      <c r="G809" s="643">
        <f t="shared" si="115"/>
        <v>94.838281999999992</v>
      </c>
      <c r="H809" s="659">
        <f t="shared" si="116"/>
        <v>94.838281999999992</v>
      </c>
      <c r="I809" s="664">
        <f t="shared" si="119"/>
        <v>384.59742152036745</v>
      </c>
      <c r="J809" s="88">
        <v>246591.05</v>
      </c>
    </row>
    <row r="810" spans="1:10" ht="12.75" customHeight="1" x14ac:dyDescent="0.2">
      <c r="A810" s="1156"/>
      <c r="B810" s="1160" t="s">
        <v>1750</v>
      </c>
      <c r="C810" s="687">
        <v>300000</v>
      </c>
      <c r="D810" s="687">
        <v>300000</v>
      </c>
      <c r="E810" s="650">
        <v>119907</v>
      </c>
      <c r="F810" s="1124"/>
      <c r="G810" s="643">
        <f t="shared" si="115"/>
        <v>39.969000000000001</v>
      </c>
      <c r="H810" s="659">
        <f t="shared" si="116"/>
        <v>39.969000000000001</v>
      </c>
      <c r="I810" s="664">
        <f t="shared" si="119"/>
        <v>65.797647007177503</v>
      </c>
      <c r="J810" s="88">
        <v>182236</v>
      </c>
    </row>
    <row r="811" spans="1:10" s="488" customFormat="1" ht="12.75" customHeight="1" x14ac:dyDescent="0.2">
      <c r="A811" s="1156"/>
      <c r="B811" s="1160" t="s">
        <v>1751</v>
      </c>
      <c r="C811" s="687">
        <v>3000000</v>
      </c>
      <c r="D811" s="687">
        <f>3000000-10000</f>
        <v>2990000</v>
      </c>
      <c r="E811" s="653">
        <v>2783725.27</v>
      </c>
      <c r="F811" s="653"/>
      <c r="G811" s="643">
        <f t="shared" si="115"/>
        <v>92.79084233333333</v>
      </c>
      <c r="H811" s="659">
        <f t="shared" si="116"/>
        <v>93.101179598662213</v>
      </c>
      <c r="I811" s="664">
        <f t="shared" si="119"/>
        <v>123.00544571984263</v>
      </c>
      <c r="J811" s="88">
        <v>2263091.08</v>
      </c>
    </row>
    <row r="812" spans="1:10" s="488" customFormat="1" ht="12.75" customHeight="1" x14ac:dyDescent="0.2">
      <c r="A812" s="1156"/>
      <c r="B812" s="1161" t="s">
        <v>1752</v>
      </c>
      <c r="C812" s="687">
        <v>100000</v>
      </c>
      <c r="D812" s="687">
        <f>100000+10000</f>
        <v>110000</v>
      </c>
      <c r="E812" s="650">
        <v>105653</v>
      </c>
      <c r="F812" s="650"/>
      <c r="G812" s="643">
        <f t="shared" si="115"/>
        <v>105.65299999999999</v>
      </c>
      <c r="H812" s="659">
        <f t="shared" si="116"/>
        <v>96.048181818181817</v>
      </c>
      <c r="I812" s="664">
        <f t="shared" si="119"/>
        <v>115.97602608151571</v>
      </c>
      <c r="J812" s="88">
        <v>91099</v>
      </c>
    </row>
    <row r="813" spans="1:10" s="488" customFormat="1" ht="12.75" customHeight="1" x14ac:dyDescent="0.2">
      <c r="A813" s="1156"/>
      <c r="B813" s="1162" t="s">
        <v>1753</v>
      </c>
      <c r="C813" s="715">
        <v>100000</v>
      </c>
      <c r="D813" s="715">
        <v>100000</v>
      </c>
      <c r="E813" s="653">
        <v>29516.5</v>
      </c>
      <c r="F813" s="653"/>
      <c r="G813" s="643">
        <f t="shared" si="115"/>
        <v>29.516500000000001</v>
      </c>
      <c r="H813" s="659">
        <f t="shared" si="116"/>
        <v>29.516500000000001</v>
      </c>
      <c r="I813" s="664">
        <f t="shared" si="119"/>
        <v>51.036499227964129</v>
      </c>
      <c r="J813" s="88">
        <v>57834.1</v>
      </c>
    </row>
    <row r="814" spans="1:10" ht="12.75" customHeight="1" x14ac:dyDescent="0.2">
      <c r="A814" s="1156"/>
      <c r="B814" s="1162" t="s">
        <v>1754</v>
      </c>
      <c r="C814" s="687">
        <f>C815+C816+C817+C818</f>
        <v>32450000</v>
      </c>
      <c r="D814" s="687">
        <f>D815+D816+D817+D818</f>
        <v>32450000</v>
      </c>
      <c r="E814" s="653">
        <v>30413235.640000001</v>
      </c>
      <c r="F814" s="653">
        <f>SUM(E815:E819)</f>
        <v>30413235.640000001</v>
      </c>
      <c r="G814" s="643">
        <f t="shared" si="115"/>
        <v>93.723376394453012</v>
      </c>
      <c r="H814" s="659">
        <f t="shared" si="116"/>
        <v>93.723376394453012</v>
      </c>
      <c r="I814" s="664">
        <f t="shared" si="119"/>
        <v>101.76440555271937</v>
      </c>
      <c r="J814" s="88">
        <v>29885926.690000001</v>
      </c>
    </row>
    <row r="815" spans="1:10" ht="12.75" customHeight="1" x14ac:dyDescent="0.2">
      <c r="A815" s="1156"/>
      <c r="B815" s="1163" t="s">
        <v>1755</v>
      </c>
      <c r="C815" s="715">
        <v>7000000</v>
      </c>
      <c r="D815" s="715">
        <f>7000000+2000000+200000</f>
        <v>9200000</v>
      </c>
      <c r="E815" s="653">
        <v>9143444.8399999999</v>
      </c>
      <c r="F815" s="653"/>
      <c r="G815" s="643">
        <f t="shared" si="115"/>
        <v>130.62064057142857</v>
      </c>
      <c r="H815" s="659">
        <f t="shared" si="116"/>
        <v>99.385270000000006</v>
      </c>
      <c r="I815" s="664">
        <f t="shared" si="119"/>
        <v>113.64115644349597</v>
      </c>
      <c r="J815" s="88">
        <v>8045892.1100000003</v>
      </c>
    </row>
    <row r="816" spans="1:10" ht="12.75" customHeight="1" x14ac:dyDescent="0.2">
      <c r="A816" s="665"/>
      <c r="B816" s="1164" t="s">
        <v>1756</v>
      </c>
      <c r="C816" s="687">
        <v>22000000</v>
      </c>
      <c r="D816" s="687">
        <f>22000000-2000000</f>
        <v>20000000</v>
      </c>
      <c r="E816" s="653">
        <v>19013460.27</v>
      </c>
      <c r="F816" s="653"/>
      <c r="G816" s="643">
        <f t="shared" si="115"/>
        <v>86.424819409090901</v>
      </c>
      <c r="H816" s="659">
        <f t="shared" si="116"/>
        <v>95.067301349999994</v>
      </c>
      <c r="I816" s="664">
        <f t="shared" si="119"/>
        <v>95.459354877398255</v>
      </c>
      <c r="J816" s="88">
        <v>19917859.59</v>
      </c>
    </row>
    <row r="817" spans="1:10" ht="12.75" customHeight="1" x14ac:dyDescent="0.2">
      <c r="A817" s="665"/>
      <c r="B817" s="702" t="s">
        <v>1757</v>
      </c>
      <c r="C817" s="687">
        <v>900000</v>
      </c>
      <c r="D817" s="687">
        <v>900000</v>
      </c>
      <c r="E817" s="653">
        <v>6063.27</v>
      </c>
      <c r="F817" s="653"/>
      <c r="G817" s="643">
        <f t="shared" si="115"/>
        <v>0.67369666666666672</v>
      </c>
      <c r="H817" s="659">
        <f t="shared" si="116"/>
        <v>0.67369666666666672</v>
      </c>
      <c r="I817" s="664">
        <f t="shared" si="119"/>
        <v>1.5800736850172816</v>
      </c>
      <c r="J817" s="88">
        <v>383733.37</v>
      </c>
    </row>
    <row r="818" spans="1:10" s="488" customFormat="1" ht="12.75" customHeight="1" x14ac:dyDescent="0.2">
      <c r="A818" s="665"/>
      <c r="B818" s="696" t="s">
        <v>1758</v>
      </c>
      <c r="C818" s="687">
        <v>2550000</v>
      </c>
      <c r="D818" s="687">
        <f>2550000-200000</f>
        <v>2350000</v>
      </c>
      <c r="E818" s="653">
        <v>2250267.2599999998</v>
      </c>
      <c r="F818" s="653"/>
      <c r="G818" s="643">
        <f t="shared" si="115"/>
        <v>88.245774901960772</v>
      </c>
      <c r="H818" s="659">
        <f t="shared" si="116"/>
        <v>95.756053617021266</v>
      </c>
      <c r="I818" s="664">
        <f t="shared" si="119"/>
        <v>146.26926564818231</v>
      </c>
      <c r="J818" s="88">
        <v>1538441.62</v>
      </c>
    </row>
    <row r="819" spans="1:10" s="488" customFormat="1" ht="12.75" customHeight="1" x14ac:dyDescent="0.2">
      <c r="A819" s="665"/>
      <c r="B819" s="696" t="s">
        <v>1759</v>
      </c>
      <c r="C819" s="687">
        <v>20000</v>
      </c>
      <c r="D819" s="687">
        <f>20000-20000</f>
        <v>0</v>
      </c>
      <c r="E819" s="653">
        <v>0</v>
      </c>
      <c r="F819" s="653"/>
      <c r="G819" s="643">
        <f t="shared" si="115"/>
        <v>0</v>
      </c>
      <c r="H819" s="659">
        <v>0</v>
      </c>
      <c r="I819" s="664">
        <v>0</v>
      </c>
      <c r="J819" s="88">
        <v>0</v>
      </c>
    </row>
    <row r="820" spans="1:10" s="488" customFormat="1" ht="12.75" customHeight="1" x14ac:dyDescent="0.2">
      <c r="A820" s="639">
        <v>3613</v>
      </c>
      <c r="B820" s="689" t="s">
        <v>873</v>
      </c>
      <c r="C820" s="663">
        <f>C821+C827+C828+C829+C834+C845+C846</f>
        <v>23745000</v>
      </c>
      <c r="D820" s="663">
        <f>D821+D827+D828+D829+D834+D845+D846</f>
        <v>23090480.93</v>
      </c>
      <c r="E820" s="649">
        <v>14969914.5</v>
      </c>
      <c r="F820" s="650">
        <f>SUM(E821,E827:E829,E834,E845,E846)</f>
        <v>14969914.5</v>
      </c>
      <c r="G820" s="642">
        <f t="shared" si="115"/>
        <v>63.044491471888819</v>
      </c>
      <c r="H820" s="644">
        <f t="shared" si="116"/>
        <v>64.831540518285777</v>
      </c>
      <c r="I820" s="1127">
        <f t="shared" si="119"/>
        <v>98.478815494146957</v>
      </c>
      <c r="J820" s="88">
        <v>15201152.07</v>
      </c>
    </row>
    <row r="821" spans="1:10" s="488" customFormat="1" ht="12.75" customHeight="1" x14ac:dyDescent="0.2">
      <c r="A821" s="1165"/>
      <c r="B821" s="1166" t="s">
        <v>874</v>
      </c>
      <c r="C821" s="1143">
        <f>SUM(C822:C826)</f>
        <v>3990000</v>
      </c>
      <c r="D821" s="1143">
        <f>SUM(D822:D826)</f>
        <v>4210000</v>
      </c>
      <c r="E821" s="1167">
        <v>3061017.43</v>
      </c>
      <c r="F821" s="653">
        <f>SUM(E822:E826)</f>
        <v>3061017.43</v>
      </c>
      <c r="G821" s="1129">
        <f t="shared" si="115"/>
        <v>76.717228822055134</v>
      </c>
      <c r="H821" s="1130">
        <f t="shared" si="116"/>
        <v>72.708252494061767</v>
      </c>
      <c r="I821" s="1131">
        <f t="shared" si="119"/>
        <v>263.9692540091126</v>
      </c>
      <c r="J821" s="88">
        <v>1159611.3500000001</v>
      </c>
    </row>
    <row r="822" spans="1:10" s="488" customFormat="1" ht="12.75" customHeight="1" x14ac:dyDescent="0.2">
      <c r="A822" s="634"/>
      <c r="B822" s="696" t="s">
        <v>1760</v>
      </c>
      <c r="C822" s="687">
        <v>550000</v>
      </c>
      <c r="D822" s="687">
        <v>550000</v>
      </c>
      <c r="E822" s="653">
        <v>0</v>
      </c>
      <c r="F822" s="653"/>
      <c r="G822" s="643">
        <f t="shared" si="115"/>
        <v>0</v>
      </c>
      <c r="H822" s="659">
        <f t="shared" si="116"/>
        <v>0</v>
      </c>
      <c r="I822" s="664">
        <v>0</v>
      </c>
      <c r="J822" s="88">
        <v>0</v>
      </c>
    </row>
    <row r="823" spans="1:10" ht="12.75" customHeight="1" x14ac:dyDescent="0.2">
      <c r="A823" s="634"/>
      <c r="B823" s="1168" t="s">
        <v>1761</v>
      </c>
      <c r="C823" s="687">
        <v>600000</v>
      </c>
      <c r="D823" s="687">
        <v>600000</v>
      </c>
      <c r="E823" s="653">
        <v>600000</v>
      </c>
      <c r="F823" s="653"/>
      <c r="G823" s="643">
        <f t="shared" si="115"/>
        <v>100</v>
      </c>
      <c r="H823" s="659">
        <f t="shared" si="116"/>
        <v>100</v>
      </c>
      <c r="I823" s="664">
        <f t="shared" si="119"/>
        <v>382.11162270196479</v>
      </c>
      <c r="J823" s="88">
        <v>157022.18</v>
      </c>
    </row>
    <row r="824" spans="1:10" s="488" customFormat="1" ht="12.75" customHeight="1" x14ac:dyDescent="0.2">
      <c r="A824" s="634"/>
      <c r="B824" s="1168" t="s">
        <v>1762</v>
      </c>
      <c r="C824" s="687">
        <v>1100000</v>
      </c>
      <c r="D824" s="687">
        <f>1100000+210000-210000</f>
        <v>1100000</v>
      </c>
      <c r="E824" s="653">
        <v>1039027.64</v>
      </c>
      <c r="F824" s="653"/>
      <c r="G824" s="643">
        <f t="shared" si="115"/>
        <v>94.457058181818184</v>
      </c>
      <c r="H824" s="659">
        <f t="shared" si="116"/>
        <v>94.457058181818184</v>
      </c>
      <c r="I824" s="664">
        <v>0</v>
      </c>
      <c r="J824" s="88">
        <v>0</v>
      </c>
    </row>
    <row r="825" spans="1:10" s="488" customFormat="1" ht="12.75" customHeight="1" x14ac:dyDescent="0.2">
      <c r="A825" s="634"/>
      <c r="B825" s="702" t="s">
        <v>1763</v>
      </c>
      <c r="C825" s="687">
        <v>840000</v>
      </c>
      <c r="D825" s="687">
        <f>840000+220000</f>
        <v>1060000</v>
      </c>
      <c r="E825" s="653">
        <v>757870.58</v>
      </c>
      <c r="F825" s="653">
        <f>SUM(E825:E826)</f>
        <v>1421989.79</v>
      </c>
      <c r="G825" s="643">
        <f t="shared" si="115"/>
        <v>90.222688095238084</v>
      </c>
      <c r="H825" s="659">
        <f t="shared" si="116"/>
        <v>71.497224528301885</v>
      </c>
      <c r="I825" s="664">
        <f t="shared" si="119"/>
        <v>167.79930167628686</v>
      </c>
      <c r="J825" s="88">
        <v>451653</v>
      </c>
    </row>
    <row r="826" spans="1:10" s="488" customFormat="1" ht="12.75" customHeight="1" x14ac:dyDescent="0.2">
      <c r="A826" s="634"/>
      <c r="B826" s="702" t="s">
        <v>1764</v>
      </c>
      <c r="C826" s="687">
        <v>900000</v>
      </c>
      <c r="D826" s="687">
        <v>900000</v>
      </c>
      <c r="E826" s="653">
        <v>664119.21</v>
      </c>
      <c r="F826" s="653"/>
      <c r="G826" s="643">
        <f t="shared" si="115"/>
        <v>73.791023333333328</v>
      </c>
      <c r="H826" s="659">
        <f t="shared" si="116"/>
        <v>73.791023333333328</v>
      </c>
      <c r="I826" s="664">
        <v>0</v>
      </c>
      <c r="J826" s="88">
        <v>0</v>
      </c>
    </row>
    <row r="827" spans="1:10" s="488" customFormat="1" ht="12.75" customHeight="1" x14ac:dyDescent="0.2">
      <c r="A827" s="634"/>
      <c r="B827" s="1142" t="s">
        <v>1765</v>
      </c>
      <c r="C827" s="1139">
        <v>30000</v>
      </c>
      <c r="D827" s="1139">
        <v>30000</v>
      </c>
      <c r="E827" s="1167">
        <v>0</v>
      </c>
      <c r="F827" s="1167"/>
      <c r="G827" s="1129">
        <f t="shared" si="115"/>
        <v>0</v>
      </c>
      <c r="H827" s="1130">
        <f t="shared" si="116"/>
        <v>0</v>
      </c>
      <c r="I827" s="1131">
        <f t="shared" si="119"/>
        <v>0</v>
      </c>
      <c r="J827" s="88">
        <v>36268</v>
      </c>
    </row>
    <row r="828" spans="1:10" s="488" customFormat="1" ht="12.75" customHeight="1" x14ac:dyDescent="0.2">
      <c r="A828" s="634"/>
      <c r="B828" s="1142" t="s">
        <v>1766</v>
      </c>
      <c r="C828" s="1143">
        <v>80000</v>
      </c>
      <c r="D828" s="1143">
        <v>80000</v>
      </c>
      <c r="E828" s="650">
        <v>15872.15</v>
      </c>
      <c r="F828" s="650"/>
      <c r="G828" s="1129">
        <f t="shared" si="115"/>
        <v>19.840187499999999</v>
      </c>
      <c r="H828" s="1130">
        <f t="shared" si="116"/>
        <v>19.840187499999999</v>
      </c>
      <c r="I828" s="1131">
        <f t="shared" si="119"/>
        <v>87.75567749872144</v>
      </c>
      <c r="J828" s="88">
        <v>18086.75</v>
      </c>
    </row>
    <row r="829" spans="1:10" s="488" customFormat="1" ht="12.75" customHeight="1" x14ac:dyDescent="0.2">
      <c r="A829" s="1149"/>
      <c r="B829" s="1142" t="s">
        <v>1767</v>
      </c>
      <c r="C829" s="1143">
        <f t="shared" ref="C829:D829" si="120">C830+C831+C832+C833</f>
        <v>8050000</v>
      </c>
      <c r="D829" s="1143">
        <f t="shared" si="120"/>
        <v>8050000</v>
      </c>
      <c r="E829" s="1124">
        <v>4602858.8099999996</v>
      </c>
      <c r="F829" s="1124">
        <f>SUM(E830:E833)</f>
        <v>4602858.8100000005</v>
      </c>
      <c r="G829" s="1129">
        <f t="shared" si="115"/>
        <v>57.178370310559004</v>
      </c>
      <c r="H829" s="1130">
        <f t="shared" si="116"/>
        <v>57.178370310559004</v>
      </c>
      <c r="I829" s="1131">
        <f t="shared" si="119"/>
        <v>94.496697460840593</v>
      </c>
      <c r="J829" s="88">
        <v>4870920.29</v>
      </c>
    </row>
    <row r="830" spans="1:10" ht="12.75" customHeight="1" x14ac:dyDescent="0.2">
      <c r="A830" s="1149"/>
      <c r="B830" s="702" t="s">
        <v>1755</v>
      </c>
      <c r="C830" s="687">
        <v>1200000</v>
      </c>
      <c r="D830" s="687">
        <v>1200000</v>
      </c>
      <c r="E830" s="650">
        <v>1047073.81</v>
      </c>
      <c r="F830" s="650"/>
      <c r="G830" s="643">
        <f t="shared" ref="G830:G893" si="121">E830/C830*100</f>
        <v>87.256150833333336</v>
      </c>
      <c r="H830" s="659">
        <f t="shared" si="116"/>
        <v>87.256150833333336</v>
      </c>
      <c r="I830" s="664">
        <f t="shared" si="119"/>
        <v>158.34153994817592</v>
      </c>
      <c r="J830" s="88">
        <v>661275.5</v>
      </c>
    </row>
    <row r="831" spans="1:10" ht="12.75" customHeight="1" x14ac:dyDescent="0.2">
      <c r="A831" s="1149"/>
      <c r="B831" s="702" t="s">
        <v>891</v>
      </c>
      <c r="C831" s="687">
        <v>2000000</v>
      </c>
      <c r="D831" s="687">
        <f>2000000-1000000</f>
        <v>1000000</v>
      </c>
      <c r="E831" s="650">
        <v>39607.300000000003</v>
      </c>
      <c r="F831" s="650"/>
      <c r="G831" s="643">
        <f t="shared" si="121"/>
        <v>1.9803650000000002</v>
      </c>
      <c r="H831" s="659">
        <f t="shared" si="116"/>
        <v>3.9607300000000003</v>
      </c>
      <c r="I831" s="664">
        <f t="shared" si="119"/>
        <v>5.2351764979457771</v>
      </c>
      <c r="J831" s="88">
        <v>756560.93</v>
      </c>
    </row>
    <row r="832" spans="1:10" ht="12.75" customHeight="1" x14ac:dyDescent="0.2">
      <c r="A832" s="639"/>
      <c r="B832" s="1164" t="s">
        <v>892</v>
      </c>
      <c r="C832" s="715">
        <v>2000000</v>
      </c>
      <c r="D832" s="715">
        <f>2000000+1000000</f>
        <v>3000000</v>
      </c>
      <c r="E832" s="650">
        <v>2303993.13</v>
      </c>
      <c r="F832" s="650"/>
      <c r="G832" s="643">
        <f t="shared" si="121"/>
        <v>115.19965649999999</v>
      </c>
      <c r="H832" s="659">
        <f t="shared" si="116"/>
        <v>76.799770999999993</v>
      </c>
      <c r="I832" s="664">
        <f t="shared" si="119"/>
        <v>151.93799468444922</v>
      </c>
      <c r="J832" s="88">
        <v>1516403.54</v>
      </c>
    </row>
    <row r="833" spans="1:10" s="98" customFormat="1" ht="12.75" customHeight="1" x14ac:dyDescent="0.2">
      <c r="A833" s="639"/>
      <c r="B833" s="1164" t="s">
        <v>1768</v>
      </c>
      <c r="C833" s="715">
        <v>2850000</v>
      </c>
      <c r="D833" s="715">
        <v>2850000</v>
      </c>
      <c r="E833" s="650">
        <v>1212184.57</v>
      </c>
      <c r="F833" s="650"/>
      <c r="G833" s="643">
        <f t="shared" si="121"/>
        <v>42.532791929824562</v>
      </c>
      <c r="H833" s="659">
        <f t="shared" si="116"/>
        <v>42.532791929824562</v>
      </c>
      <c r="I833" s="664">
        <f t="shared" si="119"/>
        <v>62.590844626334615</v>
      </c>
      <c r="J833" s="88">
        <v>1936680.32</v>
      </c>
    </row>
    <row r="834" spans="1:10" s="488" customFormat="1" ht="12.75" customHeight="1" x14ac:dyDescent="0.2">
      <c r="A834" s="639"/>
      <c r="B834" s="1166" t="s">
        <v>894</v>
      </c>
      <c r="C834" s="1139">
        <f>SUM(C835:C844)</f>
        <v>4905000</v>
      </c>
      <c r="D834" s="1139">
        <f>SUM(D835:D844)</f>
        <v>4708000</v>
      </c>
      <c r="E834" s="1124">
        <v>3940112.68</v>
      </c>
      <c r="F834" s="1124">
        <f>SUM(E835:E844)</f>
        <v>3940112.6799999997</v>
      </c>
      <c r="G834" s="1129">
        <f t="shared" si="121"/>
        <v>80.32849500509684</v>
      </c>
      <c r="H834" s="1130">
        <f t="shared" si="116"/>
        <v>83.68973406966866</v>
      </c>
      <c r="I834" s="1131">
        <f t="shared" si="119"/>
        <v>123.02954897592431</v>
      </c>
      <c r="J834" s="88">
        <v>3202574.27</v>
      </c>
    </row>
    <row r="835" spans="1:10" ht="12.75" customHeight="1" x14ac:dyDescent="0.2">
      <c r="A835" s="639"/>
      <c r="B835" s="1164" t="s">
        <v>1769</v>
      </c>
      <c r="C835" s="715">
        <v>700000</v>
      </c>
      <c r="D835" s="715">
        <v>700000</v>
      </c>
      <c r="E835" s="650">
        <v>428753.35</v>
      </c>
      <c r="F835" s="650"/>
      <c r="G835" s="643">
        <f t="shared" si="121"/>
        <v>61.250478571428566</v>
      </c>
      <c r="H835" s="659">
        <f t="shared" si="116"/>
        <v>61.250478571428566</v>
      </c>
      <c r="I835" s="664">
        <v>0</v>
      </c>
      <c r="J835" s="88">
        <v>0</v>
      </c>
    </row>
    <row r="836" spans="1:10" ht="12.75" customHeight="1" x14ac:dyDescent="0.2">
      <c r="A836" s="639"/>
      <c r="B836" s="843" t="s">
        <v>1770</v>
      </c>
      <c r="C836" s="715">
        <v>1000000</v>
      </c>
      <c r="D836" s="715">
        <v>1000000</v>
      </c>
      <c r="E836" s="650">
        <v>991498.19</v>
      </c>
      <c r="F836" s="650"/>
      <c r="G836" s="643">
        <f t="shared" si="121"/>
        <v>99.149818999999994</v>
      </c>
      <c r="H836" s="659">
        <f t="shared" si="116"/>
        <v>99.149818999999994</v>
      </c>
      <c r="I836" s="664">
        <f t="shared" si="119"/>
        <v>111.56100664869932</v>
      </c>
      <c r="J836" s="88">
        <v>888749.77</v>
      </c>
    </row>
    <row r="837" spans="1:10" ht="12.75" customHeight="1" x14ac:dyDescent="0.2">
      <c r="A837" s="639"/>
      <c r="B837" s="843" t="s">
        <v>1771</v>
      </c>
      <c r="C837" s="715">
        <v>50000</v>
      </c>
      <c r="D837" s="715">
        <f>50000+21000</f>
        <v>71000</v>
      </c>
      <c r="E837" s="650">
        <v>70543</v>
      </c>
      <c r="F837" s="650"/>
      <c r="G837" s="643">
        <f t="shared" si="121"/>
        <v>141.08600000000001</v>
      </c>
      <c r="H837" s="659">
        <f t="shared" si="116"/>
        <v>99.356338028169006</v>
      </c>
      <c r="I837" s="664">
        <f t="shared" si="119"/>
        <v>218.89069893724303</v>
      </c>
      <c r="J837" s="88">
        <v>32227.5</v>
      </c>
    </row>
    <row r="838" spans="1:10" s="2" customFormat="1" ht="12.75" customHeight="1" x14ac:dyDescent="0.2">
      <c r="A838" s="639"/>
      <c r="B838" s="702" t="s">
        <v>900</v>
      </c>
      <c r="C838" s="715">
        <v>100000</v>
      </c>
      <c r="D838" s="715">
        <v>100000</v>
      </c>
      <c r="E838" s="650">
        <v>55115</v>
      </c>
      <c r="F838" s="650"/>
      <c r="G838" s="643">
        <f t="shared" si="121"/>
        <v>55.115000000000002</v>
      </c>
      <c r="H838" s="659">
        <f t="shared" si="116"/>
        <v>55.115000000000002</v>
      </c>
      <c r="I838" s="664">
        <v>0</v>
      </c>
      <c r="J838" s="88">
        <v>0</v>
      </c>
    </row>
    <row r="839" spans="1:10" ht="12.75" customHeight="1" x14ac:dyDescent="0.2">
      <c r="A839" s="639"/>
      <c r="B839" s="1164" t="s">
        <v>1772</v>
      </c>
      <c r="C839" s="715">
        <v>200000</v>
      </c>
      <c r="D839" s="715">
        <v>200000</v>
      </c>
      <c r="E839" s="650">
        <v>116389.14</v>
      </c>
      <c r="F839" s="650"/>
      <c r="G839" s="643">
        <f t="shared" si="121"/>
        <v>58.194569999999999</v>
      </c>
      <c r="H839" s="659">
        <f t="shared" ref="H839:H902" si="122">E839/D839*100</f>
        <v>58.194569999999999</v>
      </c>
      <c r="I839" s="664">
        <f t="shared" si="119"/>
        <v>124.19345682700926</v>
      </c>
      <c r="J839" s="88">
        <v>93716</v>
      </c>
    </row>
    <row r="840" spans="1:10" ht="12.75" customHeight="1" x14ac:dyDescent="0.2">
      <c r="A840" s="639"/>
      <c r="B840" s="1169" t="s">
        <v>1773</v>
      </c>
      <c r="C840" s="715">
        <v>350000</v>
      </c>
      <c r="D840" s="715">
        <v>350000</v>
      </c>
      <c r="E840" s="650">
        <v>260874</v>
      </c>
      <c r="F840" s="650"/>
      <c r="G840" s="643">
        <f t="shared" si="121"/>
        <v>74.535428571428568</v>
      </c>
      <c r="H840" s="659">
        <f t="shared" si="122"/>
        <v>74.535428571428568</v>
      </c>
      <c r="I840" s="664">
        <f t="shared" si="119"/>
        <v>95.740253448864323</v>
      </c>
      <c r="J840" s="88">
        <v>272481</v>
      </c>
    </row>
    <row r="841" spans="1:10" ht="12.75" customHeight="1" x14ac:dyDescent="0.2">
      <c r="A841" s="639"/>
      <c r="B841" s="843" t="s">
        <v>1774</v>
      </c>
      <c r="C841" s="715">
        <v>2200000</v>
      </c>
      <c r="D841" s="715">
        <f>2200000-200000</f>
        <v>2000000</v>
      </c>
      <c r="E841" s="650">
        <v>2000000</v>
      </c>
      <c r="F841" s="650"/>
      <c r="G841" s="643">
        <f t="shared" si="121"/>
        <v>90.909090909090907</v>
      </c>
      <c r="H841" s="659">
        <f t="shared" si="122"/>
        <v>100</v>
      </c>
      <c r="I841" s="664">
        <f t="shared" si="119"/>
        <v>105.26315789473684</v>
      </c>
      <c r="J841" s="88">
        <v>1900000</v>
      </c>
    </row>
    <row r="842" spans="1:10" ht="12.75" customHeight="1" x14ac:dyDescent="0.2">
      <c r="A842" s="639"/>
      <c r="B842" s="1169" t="s">
        <v>1775</v>
      </c>
      <c r="C842" s="715">
        <v>20000</v>
      </c>
      <c r="D842" s="715">
        <f>20000-20000</f>
        <v>0</v>
      </c>
      <c r="E842" s="650">
        <v>0</v>
      </c>
      <c r="F842" s="650"/>
      <c r="G842" s="643">
        <f t="shared" si="121"/>
        <v>0</v>
      </c>
      <c r="H842" s="659">
        <v>0</v>
      </c>
      <c r="I842" s="664">
        <v>0</v>
      </c>
      <c r="J842" s="88">
        <v>0</v>
      </c>
    </row>
    <row r="843" spans="1:10" ht="12.75" customHeight="1" x14ac:dyDescent="0.2">
      <c r="A843" s="639"/>
      <c r="B843" s="702" t="s">
        <v>905</v>
      </c>
      <c r="C843" s="715">
        <v>15000</v>
      </c>
      <c r="D843" s="715">
        <f>15000+2000</f>
        <v>17000</v>
      </c>
      <c r="E843" s="650">
        <v>16940</v>
      </c>
      <c r="F843" s="650"/>
      <c r="G843" s="643">
        <f t="shared" si="121"/>
        <v>112.93333333333334</v>
      </c>
      <c r="H843" s="659">
        <f t="shared" si="122"/>
        <v>99.647058823529406</v>
      </c>
      <c r="I843" s="664">
        <f t="shared" si="119"/>
        <v>140</v>
      </c>
      <c r="J843" s="88">
        <v>12100</v>
      </c>
    </row>
    <row r="844" spans="1:10" ht="12.75" customHeight="1" x14ac:dyDescent="0.2">
      <c r="A844" s="639"/>
      <c r="B844" s="696" t="s">
        <v>1776</v>
      </c>
      <c r="C844" s="715">
        <v>270000</v>
      </c>
      <c r="D844" s="715">
        <v>270000</v>
      </c>
      <c r="E844" s="650">
        <v>0</v>
      </c>
      <c r="F844" s="650"/>
      <c r="G844" s="643">
        <f t="shared" si="121"/>
        <v>0</v>
      </c>
      <c r="H844" s="659">
        <f t="shared" si="122"/>
        <v>0</v>
      </c>
      <c r="I844" s="664">
        <v>0</v>
      </c>
      <c r="J844" s="88">
        <v>0</v>
      </c>
    </row>
    <row r="845" spans="1:10" ht="12.75" customHeight="1" x14ac:dyDescent="0.2">
      <c r="A845" s="1149"/>
      <c r="B845" s="1142" t="s">
        <v>907</v>
      </c>
      <c r="C845" s="1139">
        <f>C847+C849+C855</f>
        <v>6100000</v>
      </c>
      <c r="D845" s="1139">
        <f>D847+D849+D855</f>
        <v>5857000</v>
      </c>
      <c r="E845" s="1124">
        <v>3194572.5</v>
      </c>
      <c r="F845" s="1124"/>
      <c r="G845" s="1129">
        <f t="shared" si="121"/>
        <v>52.370040983606557</v>
      </c>
      <c r="H845" s="1130">
        <f t="shared" si="122"/>
        <v>54.542812019805368</v>
      </c>
      <c r="I845" s="1131">
        <f t="shared" si="119"/>
        <v>58.737230963800279</v>
      </c>
      <c r="J845" s="88">
        <v>5438752.2999999998</v>
      </c>
    </row>
    <row r="846" spans="1:10" ht="25.5" x14ac:dyDescent="0.2">
      <c r="A846" s="1149"/>
      <c r="B846" s="696" t="s">
        <v>1905</v>
      </c>
      <c r="C846" s="715">
        <v>590000</v>
      </c>
      <c r="D846" s="715">
        <f>590000-374519.07+40000-100000</f>
        <v>155480.93</v>
      </c>
      <c r="E846" s="650">
        <v>155480.93</v>
      </c>
      <c r="F846" s="650"/>
      <c r="G846" s="643">
        <f t="shared" si="121"/>
        <v>26.352700000000002</v>
      </c>
      <c r="H846" s="659">
        <f t="shared" si="122"/>
        <v>100</v>
      </c>
      <c r="I846" s="664">
        <f t="shared" si="119"/>
        <v>34.987825106296711</v>
      </c>
      <c r="J846" s="32">
        <v>444385.81</v>
      </c>
    </row>
    <row r="847" spans="1:10" ht="12.75" customHeight="1" x14ac:dyDescent="0.2">
      <c r="A847" s="1149"/>
      <c r="B847" s="690" t="s">
        <v>1778</v>
      </c>
      <c r="C847" s="1141">
        <f>C848</f>
        <v>3000000</v>
      </c>
      <c r="D847" s="1141">
        <f>D848</f>
        <v>3000000</v>
      </c>
      <c r="E847" s="1123">
        <v>2891927.5</v>
      </c>
      <c r="F847" s="650"/>
      <c r="G847" s="1125">
        <f t="shared" si="121"/>
        <v>96.39758333333333</v>
      </c>
      <c r="H847" s="1126">
        <f t="shared" si="122"/>
        <v>96.39758333333333</v>
      </c>
      <c r="I847" s="1127">
        <f t="shared" si="119"/>
        <v>100.13823890269006</v>
      </c>
      <c r="J847" s="88">
        <v>2887935.25</v>
      </c>
    </row>
    <row r="848" spans="1:10" ht="12.75" customHeight="1" x14ac:dyDescent="0.2">
      <c r="A848" s="1149"/>
      <c r="B848" s="1169" t="s">
        <v>910</v>
      </c>
      <c r="C848" s="715">
        <v>3000000</v>
      </c>
      <c r="D848" s="715">
        <f>3000000-210000+210000</f>
        <v>3000000</v>
      </c>
      <c r="E848" s="650">
        <v>2891927.5</v>
      </c>
      <c r="F848" s="650"/>
      <c r="G848" s="643">
        <f t="shared" si="121"/>
        <v>96.39758333333333</v>
      </c>
      <c r="H848" s="659">
        <f t="shared" si="122"/>
        <v>96.39758333333333</v>
      </c>
      <c r="I848" s="664">
        <f t="shared" si="119"/>
        <v>185.16382716282885</v>
      </c>
      <c r="J848" s="88">
        <v>1561820.98</v>
      </c>
    </row>
    <row r="849" spans="1:10" ht="12.75" customHeight="1" x14ac:dyDescent="0.2">
      <c r="A849" s="1149"/>
      <c r="B849" s="1170" t="s">
        <v>1779</v>
      </c>
      <c r="C849" s="1141">
        <f>SUM(C850:C850)</f>
        <v>1350000</v>
      </c>
      <c r="D849" s="1141">
        <f>SUM(D850:D850)</f>
        <v>1327000</v>
      </c>
      <c r="E849" s="1123">
        <v>52876.17</v>
      </c>
      <c r="F849" s="650"/>
      <c r="G849" s="1125">
        <f t="shared" si="121"/>
        <v>3.9167533333333329</v>
      </c>
      <c r="H849" s="1126">
        <f t="shared" si="122"/>
        <v>3.9846397889977387</v>
      </c>
      <c r="I849" s="1127">
        <f t="shared" si="119"/>
        <v>3.2302366035018029</v>
      </c>
      <c r="J849" s="88">
        <v>1636913.22</v>
      </c>
    </row>
    <row r="850" spans="1:10" ht="12.75" customHeight="1" x14ac:dyDescent="0.2">
      <c r="A850" s="1149"/>
      <c r="B850" s="1171" t="s">
        <v>1780</v>
      </c>
      <c r="C850" s="715">
        <f>SUM(C851:C854)</f>
        <v>1350000</v>
      </c>
      <c r="D850" s="715">
        <f>SUM(D851:D854)</f>
        <v>1327000</v>
      </c>
      <c r="E850" s="650">
        <v>52876.17</v>
      </c>
      <c r="F850" s="650"/>
      <c r="G850" s="643">
        <f t="shared" si="121"/>
        <v>3.9167533333333329</v>
      </c>
      <c r="H850" s="659">
        <f t="shared" si="122"/>
        <v>3.9846397889977387</v>
      </c>
      <c r="I850" s="664">
        <f t="shared" si="119"/>
        <v>6.0115019913860577</v>
      </c>
      <c r="J850" s="88">
        <v>879583.34</v>
      </c>
    </row>
    <row r="851" spans="1:10" ht="12.75" customHeight="1" x14ac:dyDescent="0.2">
      <c r="A851" s="639"/>
      <c r="B851" s="702" t="s">
        <v>926</v>
      </c>
      <c r="C851" s="715">
        <v>100000</v>
      </c>
      <c r="D851" s="715">
        <v>100000</v>
      </c>
      <c r="E851" s="650">
        <v>0</v>
      </c>
      <c r="F851" s="650"/>
      <c r="G851" s="643">
        <f t="shared" si="121"/>
        <v>0</v>
      </c>
      <c r="H851" s="659">
        <f t="shared" si="122"/>
        <v>0</v>
      </c>
      <c r="I851" s="664">
        <v>0</v>
      </c>
      <c r="J851" s="88">
        <v>0</v>
      </c>
    </row>
    <row r="852" spans="1:10" ht="12.75" customHeight="1" x14ac:dyDescent="0.2">
      <c r="A852" s="1149"/>
      <c r="B852" s="1161" t="s">
        <v>1781</v>
      </c>
      <c r="C852" s="715">
        <v>650000</v>
      </c>
      <c r="D852" s="715">
        <f>650000-2000</f>
        <v>648000</v>
      </c>
      <c r="E852" s="653">
        <v>52876.17</v>
      </c>
      <c r="F852" s="653"/>
      <c r="G852" s="643">
        <f t="shared" si="121"/>
        <v>8.1347953846153835</v>
      </c>
      <c r="H852" s="659">
        <f t="shared" si="122"/>
        <v>8.1599027777777771</v>
      </c>
      <c r="I852" s="664">
        <v>0</v>
      </c>
      <c r="J852" s="88">
        <v>0</v>
      </c>
    </row>
    <row r="853" spans="1:10" ht="15.75" customHeight="1" x14ac:dyDescent="0.2">
      <c r="A853" s="1149"/>
      <c r="B853" s="1161" t="s">
        <v>1782</v>
      </c>
      <c r="C853" s="715">
        <v>500000</v>
      </c>
      <c r="D853" s="715">
        <v>500000</v>
      </c>
      <c r="E853" s="650">
        <v>0</v>
      </c>
      <c r="F853" s="650"/>
      <c r="G853" s="643">
        <f t="shared" si="121"/>
        <v>0</v>
      </c>
      <c r="H853" s="659">
        <f t="shared" si="122"/>
        <v>0</v>
      </c>
      <c r="I853" s="664">
        <v>0</v>
      </c>
      <c r="J853" s="88">
        <v>0</v>
      </c>
    </row>
    <row r="854" spans="1:10" ht="12.75" customHeight="1" x14ac:dyDescent="0.2">
      <c r="A854" s="1149"/>
      <c r="B854" s="1161" t="s">
        <v>1783</v>
      </c>
      <c r="C854" s="715">
        <v>100000</v>
      </c>
      <c r="D854" s="715">
        <f>100000-21000</f>
        <v>79000</v>
      </c>
      <c r="E854" s="653">
        <v>0</v>
      </c>
      <c r="F854" s="653"/>
      <c r="G854" s="643">
        <f t="shared" si="121"/>
        <v>0</v>
      </c>
      <c r="H854" s="659">
        <f t="shared" si="122"/>
        <v>0</v>
      </c>
      <c r="I854" s="664">
        <v>0</v>
      </c>
      <c r="J854" s="88">
        <v>85607.5</v>
      </c>
    </row>
    <row r="855" spans="1:10" ht="12.75" customHeight="1" x14ac:dyDescent="0.2">
      <c r="A855" s="1149"/>
      <c r="B855" s="1172" t="s">
        <v>1784</v>
      </c>
      <c r="C855" s="1139">
        <f>SUM(C857:C861)</f>
        <v>1750000</v>
      </c>
      <c r="D855" s="1139">
        <f>SUM(D857:D861)</f>
        <v>1530000</v>
      </c>
      <c r="E855" s="1167">
        <v>249768.83</v>
      </c>
      <c r="F855" s="1167">
        <f>SUM(E856:E861)</f>
        <v>249768.83000000002</v>
      </c>
      <c r="G855" s="1129">
        <f t="shared" si="121"/>
        <v>14.272504571428572</v>
      </c>
      <c r="H855" s="1130">
        <f t="shared" si="122"/>
        <v>16.324760130718953</v>
      </c>
      <c r="I855" s="1131">
        <f t="shared" si="119"/>
        <v>27.329881088254108</v>
      </c>
      <c r="J855" s="88">
        <v>913903.83</v>
      </c>
    </row>
    <row r="856" spans="1:10" ht="12.75" customHeight="1" x14ac:dyDescent="0.2">
      <c r="A856" s="1149"/>
      <c r="B856" s="1161" t="s">
        <v>1785</v>
      </c>
      <c r="C856" s="687">
        <v>100000</v>
      </c>
      <c r="D856" s="687">
        <v>100000</v>
      </c>
      <c r="E856" s="653">
        <v>4203.5600000000004</v>
      </c>
      <c r="F856" s="653"/>
      <c r="G856" s="643">
        <f t="shared" si="121"/>
        <v>4.2035600000000004</v>
      </c>
      <c r="H856" s="659">
        <f t="shared" si="122"/>
        <v>4.2035600000000004</v>
      </c>
      <c r="I856" s="664">
        <v>0</v>
      </c>
      <c r="J856" s="88">
        <v>0</v>
      </c>
    </row>
    <row r="857" spans="1:10" ht="12.75" customHeight="1" x14ac:dyDescent="0.2">
      <c r="A857" s="1149"/>
      <c r="B857" s="1161" t="s">
        <v>1786</v>
      </c>
      <c r="C857" s="687">
        <v>200000</v>
      </c>
      <c r="D857" s="687">
        <v>200000</v>
      </c>
      <c r="E857" s="653">
        <v>3187.64</v>
      </c>
      <c r="F857" s="653"/>
      <c r="G857" s="643">
        <f t="shared" si="121"/>
        <v>1.59382</v>
      </c>
      <c r="H857" s="659">
        <f t="shared" si="122"/>
        <v>1.59382</v>
      </c>
      <c r="I857" s="664">
        <f t="shared" si="119"/>
        <v>1.5423235144097249</v>
      </c>
      <c r="J857" s="88">
        <v>206677.78</v>
      </c>
    </row>
    <row r="858" spans="1:10" ht="12.75" customHeight="1" x14ac:dyDescent="0.2">
      <c r="A858" s="1149"/>
      <c r="B858" s="1161" t="s">
        <v>1787</v>
      </c>
      <c r="C858" s="715">
        <v>450000</v>
      </c>
      <c r="D858" s="715">
        <f>450000-100000</f>
        <v>350000</v>
      </c>
      <c r="E858" s="653">
        <v>0</v>
      </c>
      <c r="F858" s="653"/>
      <c r="G858" s="643">
        <f t="shared" si="121"/>
        <v>0</v>
      </c>
      <c r="H858" s="659">
        <f t="shared" si="122"/>
        <v>0</v>
      </c>
      <c r="I858" s="664">
        <v>0</v>
      </c>
      <c r="J858" s="88">
        <v>0</v>
      </c>
    </row>
    <row r="859" spans="1:10" ht="12.75" customHeight="1" x14ac:dyDescent="0.2">
      <c r="A859" s="1149"/>
      <c r="B859" s="1160" t="s">
        <v>1788</v>
      </c>
      <c r="C859" s="687">
        <v>200000</v>
      </c>
      <c r="D859" s="687">
        <v>200000</v>
      </c>
      <c r="E859" s="833">
        <v>36421</v>
      </c>
      <c r="F859" s="833"/>
      <c r="G859" s="643">
        <f t="shared" si="121"/>
        <v>18.2105</v>
      </c>
      <c r="H859" s="659">
        <f t="shared" si="122"/>
        <v>18.2105</v>
      </c>
      <c r="I859" s="664">
        <f t="shared" si="119"/>
        <v>492.63502454991811</v>
      </c>
      <c r="J859" s="88">
        <v>7393.1</v>
      </c>
    </row>
    <row r="860" spans="1:10" ht="12.75" customHeight="1" x14ac:dyDescent="0.2">
      <c r="A860" s="1149"/>
      <c r="B860" s="1169" t="s">
        <v>1789</v>
      </c>
      <c r="C860" s="1159">
        <v>400000</v>
      </c>
      <c r="D860" s="1159">
        <f>400000-120000</f>
        <v>280000</v>
      </c>
      <c r="E860" s="1173">
        <v>0</v>
      </c>
      <c r="F860" s="1173"/>
      <c r="G860" s="643">
        <f t="shared" si="121"/>
        <v>0</v>
      </c>
      <c r="H860" s="659">
        <f t="shared" si="122"/>
        <v>0</v>
      </c>
      <c r="I860" s="664">
        <v>0</v>
      </c>
      <c r="J860" s="88">
        <v>0</v>
      </c>
    </row>
    <row r="861" spans="1:10" ht="12.75" customHeight="1" x14ac:dyDescent="0.2">
      <c r="A861" s="639"/>
      <c r="B861" s="1160" t="s">
        <v>1790</v>
      </c>
      <c r="C861" s="687">
        <v>500000</v>
      </c>
      <c r="D861" s="687">
        <v>500000</v>
      </c>
      <c r="E861" s="1167">
        <v>205956.63</v>
      </c>
      <c r="F861" s="1167"/>
      <c r="G861" s="643">
        <f t="shared" si="121"/>
        <v>41.191326000000004</v>
      </c>
      <c r="H861" s="659">
        <f t="shared" si="122"/>
        <v>41.191326000000004</v>
      </c>
      <c r="I861" s="664">
        <f t="shared" si="119"/>
        <v>29.429398830106528</v>
      </c>
      <c r="J861" s="88">
        <v>699832.95</v>
      </c>
    </row>
    <row r="862" spans="1:10" ht="12.75" customHeight="1" x14ac:dyDescent="0.2">
      <c r="A862" s="639">
        <v>3634</v>
      </c>
      <c r="B862" s="1174" t="s">
        <v>1791</v>
      </c>
      <c r="C862" s="663">
        <f t="shared" ref="C862:D862" si="123">SUM(C863:C867)</f>
        <v>4050000</v>
      </c>
      <c r="D862" s="663">
        <f t="shared" si="123"/>
        <v>4050000</v>
      </c>
      <c r="E862" s="649">
        <v>3984926.97</v>
      </c>
      <c r="F862" s="650">
        <f>SUM(E863:E867)</f>
        <v>3984926.9699999997</v>
      </c>
      <c r="G862" s="642">
        <f t="shared" si="121"/>
        <v>98.393258518518522</v>
      </c>
      <c r="H862" s="644">
        <f t="shared" si="122"/>
        <v>98.393258518518522</v>
      </c>
      <c r="I862" s="651">
        <f t="shared" si="119"/>
        <v>79.2457787863638</v>
      </c>
      <c r="J862" s="88">
        <v>5028566.8600000003</v>
      </c>
    </row>
    <row r="863" spans="1:10" ht="25.5" x14ac:dyDescent="0.2">
      <c r="A863" s="639"/>
      <c r="B863" s="1161" t="s">
        <v>1792</v>
      </c>
      <c r="C863" s="687">
        <v>350000</v>
      </c>
      <c r="D863" s="687">
        <f>350000-101000</f>
        <v>249000</v>
      </c>
      <c r="E863" s="653">
        <v>219502.47</v>
      </c>
      <c r="F863" s="653"/>
      <c r="G863" s="643">
        <f t="shared" si="121"/>
        <v>62.71499142857143</v>
      </c>
      <c r="H863" s="659">
        <f t="shared" si="122"/>
        <v>88.153602409638552</v>
      </c>
      <c r="I863" s="664">
        <f t="shared" si="119"/>
        <v>176.32701859429827</v>
      </c>
      <c r="J863" s="32">
        <v>124486.01</v>
      </c>
    </row>
    <row r="864" spans="1:10" x14ac:dyDescent="0.2">
      <c r="A864" s="639"/>
      <c r="B864" s="1161" t="s">
        <v>1793</v>
      </c>
      <c r="C864" s="687">
        <v>300000</v>
      </c>
      <c r="D864" s="687">
        <v>300000</v>
      </c>
      <c r="E864" s="650">
        <v>295966</v>
      </c>
      <c r="F864" s="650"/>
      <c r="G864" s="643">
        <f t="shared" si="121"/>
        <v>98.655333333333331</v>
      </c>
      <c r="H864" s="659">
        <f t="shared" si="122"/>
        <v>98.655333333333331</v>
      </c>
      <c r="I864" s="664">
        <f t="shared" si="119"/>
        <v>10.03358450235196</v>
      </c>
      <c r="J864" s="88">
        <v>2949753.4</v>
      </c>
    </row>
    <row r="865" spans="1:10" ht="25.5" x14ac:dyDescent="0.2">
      <c r="A865" s="1175"/>
      <c r="B865" s="1176" t="s">
        <v>1794</v>
      </c>
      <c r="C865" s="718">
        <v>900000</v>
      </c>
      <c r="D865" s="718">
        <f>900000-350000</f>
        <v>550000</v>
      </c>
      <c r="E865" s="649">
        <v>542867.98</v>
      </c>
      <c r="F865" s="650"/>
      <c r="G865" s="642">
        <f t="shared" si="121"/>
        <v>60.318664444444451</v>
      </c>
      <c r="H865" s="644">
        <f t="shared" si="122"/>
        <v>98.703269090909089</v>
      </c>
      <c r="I865" s="651">
        <f t="shared" si="119"/>
        <v>111.91259788806885</v>
      </c>
      <c r="J865" s="32">
        <v>485082.1</v>
      </c>
    </row>
    <row r="866" spans="1:10" ht="63.75" x14ac:dyDescent="0.2">
      <c r="A866" s="1177"/>
      <c r="B866" s="1178" t="s">
        <v>1795</v>
      </c>
      <c r="C866" s="1179">
        <v>2200000</v>
      </c>
      <c r="D866" s="1179">
        <f>2200000-60000</f>
        <v>2140000</v>
      </c>
      <c r="E866" s="650">
        <v>2118892.5299999998</v>
      </c>
      <c r="F866" s="650"/>
      <c r="G866" s="643">
        <f t="shared" si="121"/>
        <v>96.313296818181797</v>
      </c>
      <c r="H866" s="659">
        <f t="shared" si="122"/>
        <v>99.013669626168209</v>
      </c>
      <c r="I866" s="664">
        <f t="shared" si="119"/>
        <v>439.12108948172897</v>
      </c>
      <c r="J866" s="32">
        <v>482530.35</v>
      </c>
    </row>
    <row r="867" spans="1:10" ht="13.5" customHeight="1" x14ac:dyDescent="0.2">
      <c r="A867" s="634"/>
      <c r="B867" s="1155" t="s">
        <v>945</v>
      </c>
      <c r="C867" s="1143">
        <f>SUM(C868:C869)</f>
        <v>300000</v>
      </c>
      <c r="D867" s="1143">
        <f>SUM(D868:D869)</f>
        <v>811000</v>
      </c>
      <c r="E867" s="1167">
        <v>807697.99</v>
      </c>
      <c r="F867" s="1167">
        <f>SUM(E868:E869)</f>
        <v>807697.99</v>
      </c>
      <c r="G867" s="1129">
        <f t="shared" si="121"/>
        <v>269.23266333333333</v>
      </c>
      <c r="H867" s="1130">
        <f t="shared" si="122"/>
        <v>99.592847102342787</v>
      </c>
      <c r="I867" s="1131">
        <f t="shared" si="119"/>
        <v>81.857272870079001</v>
      </c>
      <c r="J867" s="88">
        <v>986715</v>
      </c>
    </row>
    <row r="868" spans="1:10" ht="13.5" customHeight="1" x14ac:dyDescent="0.2">
      <c r="A868" s="665"/>
      <c r="B868" s="1180" t="s">
        <v>1796</v>
      </c>
      <c r="C868" s="715">
        <v>300000</v>
      </c>
      <c r="D868" s="715">
        <f>300000+451000</f>
        <v>751000</v>
      </c>
      <c r="E868" s="650">
        <v>750222.99</v>
      </c>
      <c r="F868" s="650"/>
      <c r="G868" s="643">
        <f t="shared" si="121"/>
        <v>250.07432999999997</v>
      </c>
      <c r="H868" s="659">
        <f t="shared" si="122"/>
        <v>99.896536617842884</v>
      </c>
      <c r="I868" s="664">
        <v>0</v>
      </c>
      <c r="J868" s="88">
        <v>0</v>
      </c>
    </row>
    <row r="869" spans="1:10" ht="13.5" customHeight="1" x14ac:dyDescent="0.2">
      <c r="A869" s="665"/>
      <c r="B869" s="1180" t="s">
        <v>1906</v>
      </c>
      <c r="C869" s="715">
        <v>0</v>
      </c>
      <c r="D869" s="715">
        <v>60000</v>
      </c>
      <c r="E869" s="650">
        <v>57475</v>
      </c>
      <c r="F869" s="650"/>
      <c r="G869" s="643">
        <v>0</v>
      </c>
      <c r="H869" s="659">
        <f t="shared" si="122"/>
        <v>95.791666666666657</v>
      </c>
      <c r="I869" s="664">
        <v>0</v>
      </c>
      <c r="J869" s="88">
        <v>0</v>
      </c>
    </row>
    <row r="870" spans="1:10" s="488" customFormat="1" ht="13.5" customHeight="1" x14ac:dyDescent="0.2">
      <c r="A870" s="639">
        <v>4351</v>
      </c>
      <c r="B870" s="1181" t="s">
        <v>1797</v>
      </c>
      <c r="C870" s="694">
        <v>15000</v>
      </c>
      <c r="D870" s="694">
        <v>15000</v>
      </c>
      <c r="E870" s="649">
        <v>3315.09</v>
      </c>
      <c r="F870" s="650"/>
      <c r="G870" s="642">
        <f t="shared" si="121"/>
        <v>22.1006</v>
      </c>
      <c r="H870" s="644">
        <f t="shared" si="122"/>
        <v>22.1006</v>
      </c>
      <c r="I870" s="651">
        <f t="shared" ref="I870:I911" si="124">E870/J870*100</f>
        <v>0.33597239324424988</v>
      </c>
      <c r="J870" s="88">
        <v>986715</v>
      </c>
    </row>
    <row r="871" spans="1:10" s="488" customFormat="1" ht="13.5" customHeight="1" x14ac:dyDescent="0.2">
      <c r="A871" s="639">
        <v>4374</v>
      </c>
      <c r="B871" s="1181" t="s">
        <v>1798</v>
      </c>
      <c r="C871" s="694">
        <f>SUM(C872:C873)</f>
        <v>940000</v>
      </c>
      <c r="D871" s="694">
        <f>SUM(D872:D873)</f>
        <v>940000</v>
      </c>
      <c r="E871" s="649">
        <v>797079.56</v>
      </c>
      <c r="F871" s="650">
        <f>SUM(E872:E873)</f>
        <v>797079.56</v>
      </c>
      <c r="G871" s="642">
        <f t="shared" si="121"/>
        <v>84.79569787234044</v>
      </c>
      <c r="H871" s="644">
        <f t="shared" si="122"/>
        <v>84.79569787234044</v>
      </c>
      <c r="I871" s="651">
        <f t="shared" si="124"/>
        <v>196.58230033726656</v>
      </c>
      <c r="J871" s="88">
        <v>405468.63</v>
      </c>
    </row>
    <row r="872" spans="1:10" s="488" customFormat="1" ht="12.75" customHeight="1" x14ac:dyDescent="0.2">
      <c r="A872" s="665"/>
      <c r="B872" s="1180" t="s">
        <v>1799</v>
      </c>
      <c r="C872" s="687">
        <v>800000</v>
      </c>
      <c r="D872" s="687">
        <v>800000</v>
      </c>
      <c r="E872" s="650">
        <v>783191.56</v>
      </c>
      <c r="F872" s="650"/>
      <c r="G872" s="643">
        <f t="shared" si="121"/>
        <v>97.898944999999998</v>
      </c>
      <c r="H872" s="659">
        <f t="shared" si="122"/>
        <v>97.898944999999998</v>
      </c>
      <c r="I872" s="664">
        <f t="shared" si="124"/>
        <v>193.15712783995153</v>
      </c>
      <c r="J872" s="88">
        <v>405468.63</v>
      </c>
    </row>
    <row r="873" spans="1:10" ht="13.5" customHeight="1" x14ac:dyDescent="0.2">
      <c r="A873" s="639"/>
      <c r="B873" s="843" t="s">
        <v>1800</v>
      </c>
      <c r="C873" s="715">
        <v>140000</v>
      </c>
      <c r="D873" s="715">
        <v>140000</v>
      </c>
      <c r="E873" s="833">
        <v>13888</v>
      </c>
      <c r="F873" s="833"/>
      <c r="G873" s="643">
        <f t="shared" si="121"/>
        <v>9.92</v>
      </c>
      <c r="H873" s="659">
        <f t="shared" si="122"/>
        <v>9.92</v>
      </c>
      <c r="I873" s="664">
        <v>0</v>
      </c>
      <c r="J873" s="88">
        <v>0</v>
      </c>
    </row>
    <row r="874" spans="1:10" ht="13.5" customHeight="1" x14ac:dyDescent="0.2">
      <c r="A874" s="639">
        <v>6171</v>
      </c>
      <c r="B874" s="1182" t="s">
        <v>969</v>
      </c>
      <c r="C874" s="663">
        <f>SUM(C875:C879)</f>
        <v>1530000</v>
      </c>
      <c r="D874" s="663">
        <f>SUM(D875:D879)</f>
        <v>1530000</v>
      </c>
      <c r="E874" s="649">
        <v>1185406.5</v>
      </c>
      <c r="F874" s="650">
        <f>SUM(E875:E879)</f>
        <v>1185406.5</v>
      </c>
      <c r="G874" s="642">
        <f t="shared" si="121"/>
        <v>77.477549019607835</v>
      </c>
      <c r="H874" s="644">
        <f t="shared" si="122"/>
        <v>77.477549019607835</v>
      </c>
      <c r="I874" s="651">
        <f t="shared" si="124"/>
        <v>350.18670219522784</v>
      </c>
      <c r="J874" s="88">
        <v>338507</v>
      </c>
    </row>
    <row r="875" spans="1:10" s="488" customFormat="1" ht="12.75" customHeight="1" x14ac:dyDescent="0.2">
      <c r="A875" s="1183"/>
      <c r="B875" s="1171" t="s">
        <v>1801</v>
      </c>
      <c r="C875" s="1184">
        <v>300000</v>
      </c>
      <c r="D875" s="1184">
        <f>300000</f>
        <v>300000</v>
      </c>
      <c r="E875" s="650">
        <v>208392</v>
      </c>
      <c r="F875" s="650"/>
      <c r="G875" s="643">
        <f t="shared" si="121"/>
        <v>69.463999999999999</v>
      </c>
      <c r="H875" s="659">
        <f t="shared" si="122"/>
        <v>69.463999999999999</v>
      </c>
      <c r="I875" s="664">
        <f t="shared" si="124"/>
        <v>125.84209954226499</v>
      </c>
      <c r="J875" s="88">
        <v>165598</v>
      </c>
    </row>
    <row r="876" spans="1:10" s="488" customFormat="1" ht="13.5" customHeight="1" x14ac:dyDescent="0.2">
      <c r="A876" s="1185"/>
      <c r="B876" s="1186" t="s">
        <v>1802</v>
      </c>
      <c r="C876" s="715">
        <v>180000</v>
      </c>
      <c r="D876" s="715">
        <f>180000-10000</f>
        <v>170000</v>
      </c>
      <c r="E876" s="650">
        <v>58080</v>
      </c>
      <c r="F876" s="650"/>
      <c r="G876" s="643">
        <f t="shared" si="121"/>
        <v>32.266666666666666</v>
      </c>
      <c r="H876" s="659">
        <f t="shared" si="122"/>
        <v>34.164705882352941</v>
      </c>
      <c r="I876" s="664">
        <f t="shared" si="124"/>
        <v>33.589923023093071</v>
      </c>
      <c r="J876" s="88">
        <v>172909</v>
      </c>
    </row>
    <row r="877" spans="1:10" s="488" customFormat="1" ht="13.5" customHeight="1" x14ac:dyDescent="0.2">
      <c r="A877" s="665"/>
      <c r="B877" s="843" t="s">
        <v>1803</v>
      </c>
      <c r="C877" s="715">
        <v>500000</v>
      </c>
      <c r="D877" s="715">
        <v>500000</v>
      </c>
      <c r="E877" s="650">
        <v>361790</v>
      </c>
      <c r="F877" s="650"/>
      <c r="G877" s="643">
        <f t="shared" si="121"/>
        <v>72.358000000000004</v>
      </c>
      <c r="H877" s="659">
        <f t="shared" si="122"/>
        <v>72.358000000000004</v>
      </c>
      <c r="I877" s="664">
        <v>0</v>
      </c>
      <c r="J877" s="88">
        <v>0</v>
      </c>
    </row>
    <row r="878" spans="1:10" s="488" customFormat="1" ht="13.5" customHeight="1" x14ac:dyDescent="0.2">
      <c r="A878" s="1185"/>
      <c r="B878" s="1187" t="s">
        <v>1804</v>
      </c>
      <c r="C878" s="801">
        <v>300000</v>
      </c>
      <c r="D878" s="801">
        <v>300000</v>
      </c>
      <c r="E878" s="650">
        <v>299959</v>
      </c>
      <c r="F878" s="650"/>
      <c r="G878" s="643">
        <f t="shared" si="121"/>
        <v>99.986333333333334</v>
      </c>
      <c r="H878" s="659">
        <f t="shared" si="122"/>
        <v>99.986333333333334</v>
      </c>
      <c r="I878" s="664">
        <v>0</v>
      </c>
      <c r="J878" s="88">
        <v>0</v>
      </c>
    </row>
    <row r="879" spans="1:10" s="488" customFormat="1" ht="13.5" customHeight="1" x14ac:dyDescent="0.2">
      <c r="A879" s="1188"/>
      <c r="B879" s="1189" t="s">
        <v>1805</v>
      </c>
      <c r="C879" s="718">
        <v>250000</v>
      </c>
      <c r="D879" s="718">
        <f>250000+10000</f>
        <v>260000</v>
      </c>
      <c r="E879" s="833">
        <v>257185.5</v>
      </c>
      <c r="F879" s="833"/>
      <c r="G879" s="643">
        <f t="shared" si="121"/>
        <v>102.8742</v>
      </c>
      <c r="H879" s="659">
        <f t="shared" si="122"/>
        <v>98.917500000000004</v>
      </c>
      <c r="I879" s="664">
        <v>0</v>
      </c>
      <c r="J879" s="88">
        <v>0</v>
      </c>
    </row>
    <row r="880" spans="1:10" s="488" customFormat="1" ht="13.5" customHeight="1" x14ac:dyDescent="0.2">
      <c r="A880" s="1190"/>
      <c r="B880" s="1191"/>
      <c r="C880" s="1192"/>
      <c r="D880" s="1192"/>
      <c r="E880" s="1193"/>
      <c r="F880" s="1193"/>
      <c r="G880" s="1193"/>
      <c r="H880" s="1193"/>
      <c r="I880" s="1194"/>
      <c r="J880" s="604"/>
    </row>
    <row r="881" spans="1:250" s="545" customFormat="1" ht="20.25" x14ac:dyDescent="0.3">
      <c r="A881" s="909"/>
      <c r="B881" s="624" t="s">
        <v>52</v>
      </c>
      <c r="C881" s="1004">
        <f>SUM(C882+C886)</f>
        <v>350000</v>
      </c>
      <c r="D881" s="1004">
        <f>SUM(D882+D886)</f>
        <v>347000</v>
      </c>
      <c r="E881" s="1005">
        <v>130850</v>
      </c>
      <c r="F881" s="816">
        <f>SUM(E882,E886)</f>
        <v>130850</v>
      </c>
      <c r="G881" s="810">
        <f t="shared" si="121"/>
        <v>37.385714285714286</v>
      </c>
      <c r="H881" s="810">
        <f t="shared" si="122"/>
        <v>37.708933717579249</v>
      </c>
      <c r="I881" s="997">
        <f t="shared" si="124"/>
        <v>17.13705716717962</v>
      </c>
      <c r="J881" s="1195">
        <v>763550</v>
      </c>
      <c r="IJ881" s="98"/>
      <c r="IK881" s="98"/>
      <c r="IL881" s="98"/>
      <c r="IM881" s="98"/>
      <c r="IN881" s="98"/>
      <c r="IO881" s="98"/>
      <c r="IP881" s="98"/>
    </row>
    <row r="882" spans="1:250" s="545" customFormat="1" x14ac:dyDescent="0.2">
      <c r="A882" s="678">
        <v>2169</v>
      </c>
      <c r="B882" s="635" t="s">
        <v>1806</v>
      </c>
      <c r="C882" s="652">
        <f>SUM(C883:C885)</f>
        <v>250000</v>
      </c>
      <c r="D882" s="652">
        <f>SUM(D883:D885)</f>
        <v>172000</v>
      </c>
      <c r="E882" s="652">
        <v>0</v>
      </c>
      <c r="F882" s="653">
        <f>SUM(E883:E885)</f>
        <v>0</v>
      </c>
      <c r="G882" s="642">
        <f t="shared" si="121"/>
        <v>0</v>
      </c>
      <c r="H882" s="644">
        <f t="shared" si="122"/>
        <v>0</v>
      </c>
      <c r="I882" s="651">
        <v>0</v>
      </c>
      <c r="J882" s="1195">
        <v>21000</v>
      </c>
      <c r="IJ882" s="98"/>
      <c r="IK882" s="98"/>
      <c r="IL882" s="98"/>
      <c r="IM882" s="98"/>
      <c r="IN882" s="98"/>
      <c r="IO882" s="98"/>
      <c r="IP882" s="98"/>
    </row>
    <row r="883" spans="1:250" s="545" customFormat="1" x14ac:dyDescent="0.2">
      <c r="A883" s="678"/>
      <c r="B883" s="682" t="s">
        <v>976</v>
      </c>
      <c r="C883" s="653">
        <v>47000</v>
      </c>
      <c r="D883" s="653">
        <v>47000</v>
      </c>
      <c r="E883" s="653">
        <v>0</v>
      </c>
      <c r="F883" s="653"/>
      <c r="G883" s="643">
        <f t="shared" si="121"/>
        <v>0</v>
      </c>
      <c r="H883" s="659">
        <f t="shared" si="122"/>
        <v>0</v>
      </c>
      <c r="I883" s="664">
        <v>0</v>
      </c>
      <c r="J883" s="1195">
        <v>0</v>
      </c>
      <c r="IJ883" s="98"/>
      <c r="IK883" s="98"/>
      <c r="IL883" s="98"/>
      <c r="IM883" s="98"/>
      <c r="IN883" s="98"/>
      <c r="IO883" s="98"/>
      <c r="IP883" s="98"/>
    </row>
    <row r="884" spans="1:250" s="545" customFormat="1" x14ac:dyDescent="0.2">
      <c r="A884" s="678"/>
      <c r="B884" s="682" t="s">
        <v>977</v>
      </c>
      <c r="C884" s="653">
        <v>200000</v>
      </c>
      <c r="D884" s="653">
        <f>200000-45000-30000</f>
        <v>125000</v>
      </c>
      <c r="E884" s="653">
        <v>0</v>
      </c>
      <c r="F884" s="653"/>
      <c r="G884" s="643">
        <f t="shared" si="121"/>
        <v>0</v>
      </c>
      <c r="H884" s="659">
        <f t="shared" si="122"/>
        <v>0</v>
      </c>
      <c r="I884" s="664">
        <v>0</v>
      </c>
      <c r="J884" s="1195">
        <v>0</v>
      </c>
      <c r="IJ884" s="98"/>
      <c r="IK884" s="98"/>
      <c r="IL884" s="98"/>
      <c r="IM884" s="98"/>
      <c r="IN884" s="98"/>
      <c r="IO884" s="98"/>
      <c r="IP884" s="98"/>
    </row>
    <row r="885" spans="1:250" s="545" customFormat="1" x14ac:dyDescent="0.2">
      <c r="A885" s="678"/>
      <c r="B885" s="682" t="s">
        <v>978</v>
      </c>
      <c r="C885" s="653">
        <v>3000</v>
      </c>
      <c r="D885" s="653">
        <f>3000-3000</f>
        <v>0</v>
      </c>
      <c r="E885" s="653">
        <v>0</v>
      </c>
      <c r="F885" s="653"/>
      <c r="G885" s="643">
        <f t="shared" si="121"/>
        <v>0</v>
      </c>
      <c r="H885" s="659">
        <v>0</v>
      </c>
      <c r="I885" s="664">
        <v>0</v>
      </c>
      <c r="J885" s="1195">
        <v>0</v>
      </c>
      <c r="IJ885" s="98"/>
      <c r="IK885" s="98"/>
      <c r="IL885" s="98"/>
      <c r="IM885" s="98"/>
      <c r="IN885" s="98"/>
      <c r="IO885" s="98"/>
      <c r="IP885" s="98"/>
    </row>
    <row r="886" spans="1:250" s="545" customFormat="1" x14ac:dyDescent="0.2">
      <c r="A886" s="683">
        <v>3635</v>
      </c>
      <c r="B886" s="640" t="s">
        <v>980</v>
      </c>
      <c r="C886" s="649">
        <f t="shared" ref="C886:D886" si="125">SUM(C887:C887)</f>
        <v>100000</v>
      </c>
      <c r="D886" s="649">
        <f t="shared" si="125"/>
        <v>175000</v>
      </c>
      <c r="E886" s="649">
        <v>130850</v>
      </c>
      <c r="F886" s="650"/>
      <c r="G886" s="642">
        <f t="shared" si="121"/>
        <v>130.85</v>
      </c>
      <c r="H886" s="644">
        <f t="shared" si="122"/>
        <v>74.771428571428572</v>
      </c>
      <c r="I886" s="651">
        <f t="shared" si="124"/>
        <v>65.539694465314298</v>
      </c>
      <c r="J886" s="1195">
        <v>199650</v>
      </c>
      <c r="IJ886" s="98"/>
      <c r="IK886" s="98"/>
      <c r="IL886" s="98"/>
      <c r="IM886" s="98"/>
      <c r="IN886" s="98"/>
      <c r="IO886" s="98"/>
      <c r="IP886" s="98"/>
    </row>
    <row r="887" spans="1:250" s="545" customFormat="1" x14ac:dyDescent="0.2">
      <c r="A887" s="684"/>
      <c r="B887" s="658" t="s">
        <v>1807</v>
      </c>
      <c r="C887" s="653">
        <v>100000</v>
      </c>
      <c r="D887" s="653">
        <f>100000+45000+30000</f>
        <v>175000</v>
      </c>
      <c r="E887" s="653">
        <v>130850</v>
      </c>
      <c r="F887" s="653"/>
      <c r="G887" s="643">
        <f t="shared" si="121"/>
        <v>130.85</v>
      </c>
      <c r="H887" s="659">
        <f t="shared" si="122"/>
        <v>74.771428571428572</v>
      </c>
      <c r="I887" s="664">
        <f t="shared" si="124"/>
        <v>65.539694465314298</v>
      </c>
      <c r="J887" s="1195">
        <v>199650</v>
      </c>
      <c r="IJ887" s="98"/>
      <c r="IK887" s="98"/>
      <c r="IL887" s="98"/>
      <c r="IM887" s="98"/>
      <c r="IN887" s="98"/>
      <c r="IO887" s="98"/>
      <c r="IP887" s="98"/>
    </row>
    <row r="888" spans="1:250" s="550" customFormat="1" x14ac:dyDescent="0.2">
      <c r="A888" s="1090"/>
      <c r="B888" s="1021"/>
      <c r="C888" s="872"/>
      <c r="D888" s="872"/>
      <c r="E888" s="872"/>
      <c r="F888" s="872"/>
      <c r="G888" s="872"/>
      <c r="H888" s="872"/>
      <c r="I888" s="1196"/>
      <c r="J888" s="1195"/>
      <c r="IJ888" s="1"/>
      <c r="IK888" s="1"/>
      <c r="IL888" s="1"/>
      <c r="IM888" s="1"/>
      <c r="IN888" s="1"/>
      <c r="IO888" s="1"/>
      <c r="IP888" s="1"/>
    </row>
    <row r="889" spans="1:250" s="244" customFormat="1" ht="20.25" x14ac:dyDescent="0.3">
      <c r="A889" s="981"/>
      <c r="B889" s="1197" t="s">
        <v>54</v>
      </c>
      <c r="C889" s="752">
        <f>SUM(C890:C891,C893:C898,C901,C906)</f>
        <v>36990000</v>
      </c>
      <c r="D889" s="752">
        <f>SUM(D890:D891,D893:D898,D901,D906)</f>
        <v>185362909.63999999</v>
      </c>
      <c r="E889" s="1019">
        <v>55782812.780000001</v>
      </c>
      <c r="F889" s="963">
        <f>SUM(E890:E891,E893:E898,E901,E906)</f>
        <v>55709087.779999994</v>
      </c>
      <c r="G889" s="810">
        <f t="shared" si="121"/>
        <v>150.80511700459584</v>
      </c>
      <c r="H889" s="810">
        <f t="shared" si="122"/>
        <v>30.09383748255669</v>
      </c>
      <c r="I889" s="997">
        <f t="shared" si="124"/>
        <v>78.674161143263916</v>
      </c>
      <c r="J889" s="29">
        <v>70903600.329999998</v>
      </c>
    </row>
    <row r="890" spans="1:250" s="553" customFormat="1" ht="13.5" customHeight="1" x14ac:dyDescent="0.2">
      <c r="A890" s="1198">
        <v>2223</v>
      </c>
      <c r="B890" s="999" t="s">
        <v>1808</v>
      </c>
      <c r="C890" s="679">
        <v>0</v>
      </c>
      <c r="D890" s="679">
        <v>0</v>
      </c>
      <c r="E890" s="652">
        <v>1000</v>
      </c>
      <c r="F890" s="653">
        <v>55709087.780000001</v>
      </c>
      <c r="G890" s="642">
        <v>0</v>
      </c>
      <c r="H890" s="644">
        <v>0</v>
      </c>
      <c r="I890" s="651">
        <v>0</v>
      </c>
      <c r="J890" s="654">
        <v>0</v>
      </c>
    </row>
    <row r="891" spans="1:250" s="98" customFormat="1" ht="13.5" customHeight="1" x14ac:dyDescent="0.2">
      <c r="A891" s="639">
        <v>3113</v>
      </c>
      <c r="B891" s="640" t="s">
        <v>1809</v>
      </c>
      <c r="C891" s="652">
        <f>C892</f>
        <v>0</v>
      </c>
      <c r="D891" s="652">
        <f>D892</f>
        <v>770594.41</v>
      </c>
      <c r="E891" s="652">
        <v>770594.41</v>
      </c>
      <c r="F891" s="653">
        <v>73725</v>
      </c>
      <c r="G891" s="642">
        <v>0</v>
      </c>
      <c r="H891" s="644">
        <f t="shared" si="122"/>
        <v>100</v>
      </c>
      <c r="I891" s="651">
        <f t="shared" si="124"/>
        <v>91.440853328531119</v>
      </c>
      <c r="J891" s="29">
        <v>842724.43</v>
      </c>
    </row>
    <row r="892" spans="1:250" s="98" customFormat="1" ht="24.75" x14ac:dyDescent="0.2">
      <c r="A892" s="683"/>
      <c r="B892" s="1199" t="s">
        <v>1810</v>
      </c>
      <c r="C892" s="653">
        <v>0</v>
      </c>
      <c r="D892" s="653">
        <f>(237967.57+45260.34+71092.03+416274.47)</f>
        <v>770594.41</v>
      </c>
      <c r="E892" s="653">
        <v>770594.41</v>
      </c>
      <c r="F892" s="653">
        <f>SUM(F890:F891)</f>
        <v>55782812.780000001</v>
      </c>
      <c r="G892" s="643">
        <v>0</v>
      </c>
      <c r="H892" s="659">
        <f t="shared" si="122"/>
        <v>100</v>
      </c>
      <c r="I892" s="664">
        <f t="shared" si="124"/>
        <v>91.440853328531119</v>
      </c>
      <c r="J892" s="654">
        <v>842724.43</v>
      </c>
    </row>
    <row r="893" spans="1:250" s="98" customFormat="1" ht="13.5" customHeight="1" x14ac:dyDescent="0.2">
      <c r="A893" s="683">
        <v>3612</v>
      </c>
      <c r="B893" s="869" t="s">
        <v>1811</v>
      </c>
      <c r="C893" s="652">
        <v>800000</v>
      </c>
      <c r="D893" s="652">
        <v>800000</v>
      </c>
      <c r="E893" s="652">
        <v>814952.71</v>
      </c>
      <c r="F893" s="653"/>
      <c r="G893" s="642">
        <f t="shared" si="121"/>
        <v>101.86908875</v>
      </c>
      <c r="H893" s="644">
        <f t="shared" si="122"/>
        <v>101.86908875</v>
      </c>
      <c r="I893" s="651">
        <f t="shared" si="124"/>
        <v>92.721612564050176</v>
      </c>
      <c r="J893" s="29">
        <v>878924.22</v>
      </c>
    </row>
    <row r="894" spans="1:250" s="553" customFormat="1" ht="13.5" customHeight="1" x14ac:dyDescent="0.2">
      <c r="A894" s="998">
        <v>3639</v>
      </c>
      <c r="B894" s="635" t="s">
        <v>1813</v>
      </c>
      <c r="C894" s="652">
        <v>250000</v>
      </c>
      <c r="D894" s="652">
        <v>250000</v>
      </c>
      <c r="E894" s="652">
        <v>158751</v>
      </c>
      <c r="F894" s="653"/>
      <c r="G894" s="642">
        <f t="shared" ref="G894:G911" si="126">E894/C894*100</f>
        <v>63.500399999999999</v>
      </c>
      <c r="H894" s="644">
        <f t="shared" si="122"/>
        <v>63.500399999999999</v>
      </c>
      <c r="I894" s="651">
        <f t="shared" si="124"/>
        <v>37.953689570277049</v>
      </c>
      <c r="J894" s="654">
        <v>418275.54</v>
      </c>
    </row>
    <row r="895" spans="1:250" ht="13.5" customHeight="1" x14ac:dyDescent="0.2">
      <c r="A895" s="683">
        <v>5292</v>
      </c>
      <c r="B895" s="640" t="s">
        <v>1907</v>
      </c>
      <c r="C895" s="652">
        <v>0</v>
      </c>
      <c r="D895" s="652">
        <v>60140.97</v>
      </c>
      <c r="E895" s="649">
        <v>60140.97</v>
      </c>
      <c r="F895" s="650"/>
      <c r="G895" s="642">
        <v>0</v>
      </c>
      <c r="H895" s="644">
        <f t="shared" si="122"/>
        <v>100</v>
      </c>
      <c r="I895" s="651">
        <v>0</v>
      </c>
      <c r="J895" s="29">
        <v>0</v>
      </c>
    </row>
    <row r="896" spans="1:250" ht="25.5" x14ac:dyDescent="0.2">
      <c r="A896" s="683">
        <v>6171</v>
      </c>
      <c r="B896" s="1201" t="s">
        <v>1814</v>
      </c>
      <c r="C896" s="652">
        <v>100000</v>
      </c>
      <c r="D896" s="652">
        <v>100000</v>
      </c>
      <c r="E896" s="652">
        <v>79804</v>
      </c>
      <c r="F896" s="653"/>
      <c r="G896" s="642">
        <f t="shared" si="126"/>
        <v>79.804000000000002</v>
      </c>
      <c r="H896" s="644">
        <f t="shared" si="122"/>
        <v>79.804000000000002</v>
      </c>
      <c r="I896" s="651">
        <f t="shared" si="124"/>
        <v>70.65364627139202</v>
      </c>
      <c r="J896" s="654">
        <v>112951</v>
      </c>
    </row>
    <row r="897" spans="1:10" ht="13.5" customHeight="1" x14ac:dyDescent="0.2">
      <c r="A897" s="683">
        <v>6310</v>
      </c>
      <c r="B897" s="640" t="s">
        <v>1815</v>
      </c>
      <c r="C897" s="652">
        <v>400000</v>
      </c>
      <c r="D897" s="652">
        <f>400000+80000+(36000+2000+9000+27000+1000+1000-36000)</f>
        <v>520000</v>
      </c>
      <c r="E897" s="649">
        <v>509638.14</v>
      </c>
      <c r="F897" s="650"/>
      <c r="G897" s="642">
        <f t="shared" si="126"/>
        <v>127.40953500000001</v>
      </c>
      <c r="H897" s="644">
        <f t="shared" si="122"/>
        <v>98.007334615384622</v>
      </c>
      <c r="I897" s="651">
        <f t="shared" si="124"/>
        <v>110.85753501833166</v>
      </c>
      <c r="J897" s="29">
        <v>459723.5</v>
      </c>
    </row>
    <row r="898" spans="1:10" ht="13.5" customHeight="1" x14ac:dyDescent="0.2">
      <c r="A898" s="683">
        <v>6399</v>
      </c>
      <c r="B898" s="640" t="s">
        <v>999</v>
      </c>
      <c r="C898" s="649">
        <f t="shared" ref="C898:D898" si="127">SUM(C899:C900)</f>
        <v>32000000</v>
      </c>
      <c r="D898" s="649">
        <f t="shared" si="127"/>
        <v>52780855</v>
      </c>
      <c r="E898" s="1202">
        <v>52780855</v>
      </c>
      <c r="F898" s="1145">
        <f>SUM(E899:E900)</f>
        <v>52780855</v>
      </c>
      <c r="G898" s="642">
        <f t="shared" si="126"/>
        <v>164.940171875</v>
      </c>
      <c r="H898" s="644">
        <f t="shared" si="122"/>
        <v>100</v>
      </c>
      <c r="I898" s="651">
        <f t="shared" si="124"/>
        <v>91.398841632824428</v>
      </c>
      <c r="J898" s="29">
        <v>57747838</v>
      </c>
    </row>
    <row r="899" spans="1:10" ht="13.5" customHeight="1" x14ac:dyDescent="0.2">
      <c r="A899" s="684"/>
      <c r="B899" s="658" t="s">
        <v>1816</v>
      </c>
      <c r="C899" s="1145">
        <v>30000000</v>
      </c>
      <c r="D899" s="1145">
        <f>30000000+16435050</f>
        <v>46435050</v>
      </c>
      <c r="E899" s="653">
        <v>46435050</v>
      </c>
      <c r="F899" s="653"/>
      <c r="G899" s="643">
        <f t="shared" si="126"/>
        <v>154.7835</v>
      </c>
      <c r="H899" s="659">
        <f t="shared" si="122"/>
        <v>100</v>
      </c>
      <c r="I899" s="664">
        <f t="shared" si="124"/>
        <v>155.04345619488674</v>
      </c>
      <c r="J899" s="29">
        <v>29949700</v>
      </c>
    </row>
    <row r="900" spans="1:10" ht="13.5" customHeight="1" x14ac:dyDescent="0.2">
      <c r="A900" s="684"/>
      <c r="B900" s="658" t="s">
        <v>1817</v>
      </c>
      <c r="C900" s="653">
        <v>2000000</v>
      </c>
      <c r="D900" s="653">
        <f>2000000+4345805</f>
        <v>6345805</v>
      </c>
      <c r="E900" s="650">
        <v>6345805</v>
      </c>
      <c r="F900" s="650"/>
      <c r="G900" s="643">
        <f t="shared" si="126"/>
        <v>317.29025000000001</v>
      </c>
      <c r="H900" s="659">
        <f t="shared" si="122"/>
        <v>100</v>
      </c>
      <c r="I900" s="664">
        <f t="shared" si="124"/>
        <v>22.828986926639715</v>
      </c>
      <c r="J900" s="29">
        <v>27797138</v>
      </c>
    </row>
    <row r="901" spans="1:10" s="98" customFormat="1" ht="13.5" customHeight="1" x14ac:dyDescent="0.2">
      <c r="A901" s="683">
        <v>6402</v>
      </c>
      <c r="B901" s="640" t="s">
        <v>1818</v>
      </c>
      <c r="C901" s="649">
        <f>SUM(C902:C905)</f>
        <v>0</v>
      </c>
      <c r="D901" s="649">
        <f>SUM(D902:D905)</f>
        <v>136544</v>
      </c>
      <c r="E901" s="652">
        <v>136544</v>
      </c>
      <c r="F901" s="653">
        <f>SUM(E902:E905)</f>
        <v>136544</v>
      </c>
      <c r="G901" s="642">
        <v>0</v>
      </c>
      <c r="H901" s="644">
        <f t="shared" si="122"/>
        <v>100</v>
      </c>
      <c r="I901" s="651">
        <f t="shared" si="124"/>
        <v>6.205364319859572</v>
      </c>
      <c r="J901" s="29">
        <v>2200418.75</v>
      </c>
    </row>
    <row r="902" spans="1:10" s="2" customFormat="1" ht="13.5" customHeight="1" x14ac:dyDescent="0.2">
      <c r="A902" s="868"/>
      <c r="B902" s="869" t="s">
        <v>1819</v>
      </c>
      <c r="C902" s="653">
        <v>0</v>
      </c>
      <c r="D902" s="653">
        <f>(5068.4+45615.6)</f>
        <v>50684</v>
      </c>
      <c r="E902" s="653">
        <v>50684</v>
      </c>
      <c r="F902" s="653"/>
      <c r="G902" s="643">
        <v>0</v>
      </c>
      <c r="H902" s="659">
        <f t="shared" si="122"/>
        <v>100</v>
      </c>
      <c r="I902" s="664">
        <v>0</v>
      </c>
      <c r="J902" s="88">
        <v>0</v>
      </c>
    </row>
    <row r="903" spans="1:10" s="2" customFormat="1" ht="13.5" customHeight="1" x14ac:dyDescent="0.2">
      <c r="A903" s="868"/>
      <c r="B903" s="869" t="s">
        <v>1820</v>
      </c>
      <c r="C903" s="653">
        <v>0</v>
      </c>
      <c r="D903" s="653">
        <f>(4089+36801)</f>
        <v>40890</v>
      </c>
      <c r="E903" s="653">
        <v>40890</v>
      </c>
      <c r="F903" s="653"/>
      <c r="G903" s="643">
        <v>0</v>
      </c>
      <c r="H903" s="659">
        <f t="shared" ref="H903:H911" si="128">E903/D903*100</f>
        <v>100</v>
      </c>
      <c r="I903" s="664">
        <v>0</v>
      </c>
      <c r="J903" s="88">
        <v>0</v>
      </c>
    </row>
    <row r="904" spans="1:10" s="2" customFormat="1" ht="13.5" customHeight="1" x14ac:dyDescent="0.2">
      <c r="A904" s="868"/>
      <c r="B904" s="869" t="s">
        <v>1821</v>
      </c>
      <c r="C904" s="653">
        <v>0</v>
      </c>
      <c r="D904" s="653">
        <f>(1835.4+16518.6)</f>
        <v>18354</v>
      </c>
      <c r="E904" s="653">
        <v>18354</v>
      </c>
      <c r="F904" s="653"/>
      <c r="G904" s="643">
        <v>0</v>
      </c>
      <c r="H904" s="659">
        <f t="shared" si="128"/>
        <v>100</v>
      </c>
      <c r="I904" s="664">
        <v>0</v>
      </c>
      <c r="J904" s="88">
        <v>0</v>
      </c>
    </row>
    <row r="905" spans="1:10" s="2" customFormat="1" ht="13.5" customHeight="1" x14ac:dyDescent="0.2">
      <c r="A905" s="868"/>
      <c r="B905" s="869" t="s">
        <v>1908</v>
      </c>
      <c r="C905" s="653">
        <v>0</v>
      </c>
      <c r="D905" s="653">
        <v>26616</v>
      </c>
      <c r="E905" s="653">
        <v>26616</v>
      </c>
      <c r="F905" s="653"/>
      <c r="G905" s="643">
        <v>0</v>
      </c>
      <c r="H905" s="659">
        <f t="shared" si="128"/>
        <v>100</v>
      </c>
      <c r="I905" s="664">
        <v>0</v>
      </c>
      <c r="J905" s="88">
        <v>0</v>
      </c>
    </row>
    <row r="906" spans="1:10" s="244" customFormat="1" ht="13.5" customHeight="1" x14ac:dyDescent="0.25">
      <c r="A906" s="683">
        <v>6409</v>
      </c>
      <c r="B906" s="640" t="s">
        <v>1008</v>
      </c>
      <c r="C906" s="649">
        <f t="shared" ref="C906:D906" si="129">SUM(C907:C909)</f>
        <v>3440000</v>
      </c>
      <c r="D906" s="649">
        <f t="shared" si="129"/>
        <v>129944775.25999999</v>
      </c>
      <c r="E906" s="899">
        <v>396807.55</v>
      </c>
      <c r="F906" s="722">
        <f>SUM(E907:E909)</f>
        <v>470532.55</v>
      </c>
      <c r="G906" s="642">
        <f t="shared" si="126"/>
        <v>11.535103197674418</v>
      </c>
      <c r="H906" s="644">
        <f t="shared" si="128"/>
        <v>0.30536629826481876</v>
      </c>
      <c r="I906" s="651">
        <f t="shared" si="124"/>
        <v>77.439296299397114</v>
      </c>
      <c r="J906" s="29">
        <v>512411.1</v>
      </c>
    </row>
    <row r="907" spans="1:10" s="98" customFormat="1" ht="13.5" customHeight="1" x14ac:dyDescent="0.2">
      <c r="A907" s="1203"/>
      <c r="B907" s="1204" t="s">
        <v>1822</v>
      </c>
      <c r="C907" s="837">
        <f>3000000+361000-361000</f>
        <v>3000000</v>
      </c>
      <c r="D907" s="837">
        <f>(3000000+361000-361000)-10000-15000-272932-3337434-192228+192228+319987.99-90488+289333-266805-96558+400000-348800+3226272.84-70000-59000+5514060+1548+5904137.5+1844214.7+1284-231352.61+21989-80000-134310+8862-313948-10000-150000+(-36900-30000)-5000-40000+(-1002336.01+943202.2)+16164266.27+13443.03-150000-250000-147000-75000-1000000+(-8304000-1693400-15114)+271932.51+21849-10000-1500000-47000-280926.31-1700000+6726142.5+(-500000-125387.36)-200000-26616-23134-300000-18000-173723-100000-77027.69+57566790-300000+11999+(335194+6150000+19000000+1500000+15000000+3750000+2859600+150000+700000)-15000-354926+(100000+1500000-250000+200000-600000+600000+900000+800000+102363+175301+150000)+102602.5-102602.5+1600+173723+88500-800000-60140.97+28000+1160+690000-214771+891942.97+79163-20673707.52+77027.69+543686.07+1089981.05+700000+503648.36+14953726</f>
        <v>129460192.20999999</v>
      </c>
      <c r="E907" s="722">
        <v>0</v>
      </c>
      <c r="F907" s="722"/>
      <c r="G907" s="643">
        <f t="shared" si="126"/>
        <v>0</v>
      </c>
      <c r="H907" s="659">
        <f t="shared" si="128"/>
        <v>0</v>
      </c>
      <c r="I907" s="664">
        <v>0</v>
      </c>
      <c r="J907" s="29">
        <v>0</v>
      </c>
    </row>
    <row r="908" spans="1:10" s="98" customFormat="1" ht="38.25" x14ac:dyDescent="0.2">
      <c r="A908" s="706"/>
      <c r="B908" s="971" t="s">
        <v>1823</v>
      </c>
      <c r="C908" s="722">
        <v>440000</v>
      </c>
      <c r="D908" s="722">
        <f>440000+75000-30416.95</f>
        <v>484583.05</v>
      </c>
      <c r="E908" s="722">
        <v>470532.55</v>
      </c>
      <c r="F908" s="722"/>
      <c r="G908" s="643">
        <f t="shared" si="126"/>
        <v>106.9392159090909</v>
      </c>
      <c r="H908" s="659">
        <f t="shared" si="128"/>
        <v>97.100497014907972</v>
      </c>
      <c r="I908" s="664">
        <f t="shared" si="124"/>
        <v>110.62110878082294</v>
      </c>
      <c r="J908" s="654">
        <v>425355.12</v>
      </c>
    </row>
    <row r="909" spans="1:10" s="98" customFormat="1" ht="13.5" customHeight="1" x14ac:dyDescent="0.2">
      <c r="A909" s="1205"/>
      <c r="B909" s="1206" t="s">
        <v>1824</v>
      </c>
      <c r="C909" s="837">
        <v>0</v>
      </c>
      <c r="D909" s="837">
        <v>0</v>
      </c>
      <c r="E909" s="722">
        <v>0</v>
      </c>
      <c r="F909" s="722"/>
      <c r="G909" s="643">
        <v>0</v>
      </c>
      <c r="H909" s="659">
        <v>0</v>
      </c>
      <c r="I909" s="664">
        <v>0</v>
      </c>
      <c r="J909" s="29">
        <v>240</v>
      </c>
    </row>
    <row r="910" spans="1:10" s="98" customFormat="1" ht="13.5" customHeight="1" x14ac:dyDescent="0.2">
      <c r="A910" s="1207"/>
      <c r="B910" s="1208"/>
      <c r="C910" s="725"/>
      <c r="D910" s="725"/>
      <c r="E910" s="671"/>
      <c r="F910" s="671"/>
      <c r="G910" s="671"/>
      <c r="H910" s="671"/>
      <c r="I910" s="1193"/>
      <c r="J910" s="29"/>
    </row>
    <row r="911" spans="1:10" s="98" customFormat="1" ht="26.25" x14ac:dyDescent="0.35">
      <c r="A911" s="619"/>
      <c r="B911" s="1209" t="s">
        <v>55</v>
      </c>
      <c r="C911" s="1249">
        <f>SUM(C264+C371+C567+C570+C576+C585+C589+C593+C678+C682+C699+C708+C740+C747+C771+C881+C889)</f>
        <v>1012540563</v>
      </c>
      <c r="D911" s="1249">
        <f>SUM(D264+D371+D567+D570+D576+D585+D589+D593+D678+D682+D699+D708+D740+D747+D771+D881+D889)</f>
        <v>1154116297.6700001</v>
      </c>
      <c r="E911" s="1250">
        <v>896469785.01999998</v>
      </c>
      <c r="F911" s="1251">
        <f>SUM(E264,E371,E567,E570,E576,E585,E589,E593,E678,E682,E699,E708,E740,E747,E771,E881,E889)</f>
        <v>896469785.01999998</v>
      </c>
      <c r="G911" s="1252">
        <f t="shared" si="126"/>
        <v>88.536678704890562</v>
      </c>
      <c r="H911" s="1252">
        <f t="shared" si="128"/>
        <v>77.675862201222486</v>
      </c>
      <c r="I911" s="1253">
        <f t="shared" si="124"/>
        <v>105.1528900163337</v>
      </c>
      <c r="J911" s="654">
        <v>852539368.99000001</v>
      </c>
    </row>
    <row r="912" spans="1:10" ht="12.75" customHeight="1" x14ac:dyDescent="0.2">
      <c r="B912" s="1212"/>
      <c r="J912" s="29"/>
    </row>
    <row r="913" spans="1:10" ht="12.75" customHeight="1" x14ac:dyDescent="0.35">
      <c r="B913" s="1213"/>
      <c r="J913" s="29"/>
    </row>
    <row r="914" spans="1:10" s="98" customFormat="1" ht="12.75" customHeight="1" x14ac:dyDescent="0.35">
      <c r="A914" s="1"/>
      <c r="B914" s="1213"/>
      <c r="C914" s="29">
        <f>C9-C911</f>
        <v>2.5000572204589844E-3</v>
      </c>
      <c r="D914" s="29">
        <f>D9-D911</f>
        <v>2.4998188018798828E-3</v>
      </c>
      <c r="E914" s="29">
        <f>E9-E911</f>
        <v>0</v>
      </c>
      <c r="F914" s="29">
        <f>F262-F911</f>
        <v>0</v>
      </c>
      <c r="G914" s="29">
        <f>G9-G911</f>
        <v>-2.1860557808395242E-10</v>
      </c>
      <c r="H914" s="29">
        <f>H9-H911</f>
        <v>-1.6825651982799172E-10</v>
      </c>
      <c r="I914" s="29">
        <f>I9-I911</f>
        <v>0</v>
      </c>
      <c r="J914" s="29"/>
    </row>
    <row r="915" spans="1:10" s="98" customFormat="1" x14ac:dyDescent="0.2">
      <c r="A915" s="1"/>
      <c r="B915" s="564"/>
      <c r="C915" s="1"/>
      <c r="D915" s="1"/>
      <c r="E915" s="1"/>
      <c r="F915" s="1"/>
      <c r="G915" s="1"/>
      <c r="H915" s="1"/>
      <c r="J915" s="1"/>
    </row>
    <row r="918" spans="1:10" x14ac:dyDescent="0.2">
      <c r="I918" s="32"/>
    </row>
  </sheetData>
  <sheetProtection selectLockedCells="1" selectUnlockedCells="1"/>
  <printOptions horizontalCentered="1"/>
  <pageMargins left="3.937007874015748E-2" right="3.937007874015748E-2" top="0.55118110236220474" bottom="0.55118110236220474" header="0.31496062992125984" footer="0.31496062992125984"/>
  <pageSetup paperSize="9" scale="65" firstPageNumber="0" fitToHeight="0" orientation="landscape" r:id="rId1"/>
  <headerFooter>
    <oddFooter>&amp;C&amp;P</oddFooter>
  </headerFooter>
  <rowBreaks count="2" manualBreakCount="2">
    <brk id="30" max="16383" man="1"/>
    <brk id="26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12</vt:i4>
      </vt:variant>
    </vt:vector>
  </HeadingPairs>
  <TitlesOfParts>
    <vt:vector size="15" baseType="lpstr">
      <vt:lpstr>priloha_1</vt:lpstr>
      <vt:lpstr>1.pol.24</vt:lpstr>
      <vt:lpstr>2.pol.24</vt:lpstr>
      <vt:lpstr>'1.pol.24'!Excel_BuiltIn_Print_Area</vt:lpstr>
      <vt:lpstr>'2.pol.24'!Excel_BuiltIn_Print_Area</vt:lpstr>
      <vt:lpstr>priloha_1!Excel_BuiltIn_Print_Area</vt:lpstr>
      <vt:lpstr>'1.pol.24'!Excel_BuiltIn_Print_Titles</vt:lpstr>
      <vt:lpstr>'2.pol.24'!Excel_BuiltIn_Print_Titles</vt:lpstr>
      <vt:lpstr>priloha_1!Excel_BuiltIn_Print_Titles</vt:lpstr>
      <vt:lpstr>'1.pol.24'!Oblast_tisku</vt:lpstr>
      <vt:lpstr>'2.pol.24'!Oblast_tisku</vt:lpstr>
      <vt:lpstr>priloha_1!Oblast_tisku</vt:lpstr>
      <vt:lpstr>'1.pol.24'!Print_Titles</vt:lpstr>
      <vt:lpstr>'2.pol.24'!Print_Titles</vt:lpstr>
      <vt:lpstr>priloha_1!Print_Titles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Jarmila Straková</dc:creator>
  <cp:lastModifiedBy>Jarmila Straková</cp:lastModifiedBy>
  <cp:revision>1</cp:revision>
  <cp:lastPrinted>2025-05-12T11:46:11Z</cp:lastPrinted>
  <dcterms:created xsi:type="dcterms:W3CDTF">2021-10-11T07:05:45Z</dcterms:created>
  <dcterms:modified xsi:type="dcterms:W3CDTF">2025-05-12T11:49:12Z</dcterms:modified>
</cp:coreProperties>
</file>